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inust41\Desktop\"/>
    </mc:Choice>
  </mc:AlternateContent>
  <bookViews>
    <workbookView xWindow="120" yWindow="75" windowWidth="19320" windowHeight="10920" activeTab="1"/>
  </bookViews>
  <sheets>
    <sheet name="Лист2" sheetId="2" r:id="rId1"/>
    <sheet name="Лист3" sheetId="4" r:id="rId2"/>
    <sheet name="Лист1" sheetId="3" r:id="rId3"/>
  </sheets>
  <calcPr calcId="152511"/>
</workbook>
</file>

<file path=xl/calcChain.xml><?xml version="1.0" encoding="utf-8"?>
<calcChain xmlns="http://schemas.openxmlformats.org/spreadsheetml/2006/main">
  <c r="C61" i="3" l="1"/>
  <c r="C62" i="3"/>
  <c r="C63" i="3"/>
  <c r="C64" i="3"/>
  <c r="C65" i="3"/>
  <c r="C66" i="3"/>
  <c r="C67" i="3"/>
  <c r="C68" i="3"/>
  <c r="C69" i="3"/>
  <c r="E69" i="3"/>
  <c r="D69" i="3"/>
  <c r="E68" i="3"/>
  <c r="D68" i="3"/>
  <c r="E67" i="3"/>
  <c r="D67" i="3"/>
  <c r="E66" i="3"/>
  <c r="D66" i="3"/>
  <c r="B66" i="3"/>
  <c r="E65" i="3"/>
  <c r="D65" i="3"/>
  <c r="E64" i="3"/>
  <c r="D64" i="3"/>
  <c r="E63" i="3"/>
  <c r="D63" i="3"/>
  <c r="E62" i="3"/>
  <c r="D62" i="3"/>
  <c r="E61" i="3"/>
  <c r="D61" i="3"/>
  <c r="D60" i="3"/>
  <c r="C60" i="3"/>
  <c r="B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B52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B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D40" i="3"/>
  <c r="C40" i="3"/>
  <c r="E39" i="3"/>
  <c r="D39" i="3"/>
  <c r="C39" i="3"/>
  <c r="B39" i="3"/>
  <c r="E38" i="3"/>
  <c r="D38" i="3"/>
  <c r="C38" i="3"/>
  <c r="E35" i="3"/>
  <c r="D35" i="3"/>
  <c r="C35" i="3"/>
  <c r="B35" i="3"/>
  <c r="E34" i="3"/>
  <c r="D34" i="3"/>
  <c r="C34" i="3"/>
  <c r="E33" i="3"/>
  <c r="D33" i="3"/>
  <c r="C33" i="3"/>
  <c r="E32" i="3"/>
  <c r="D32" i="3"/>
  <c r="C32" i="3"/>
  <c r="E31" i="3"/>
  <c r="D31" i="3"/>
  <c r="C31" i="3"/>
  <c r="C30" i="3"/>
  <c r="D29" i="3"/>
  <c r="C29" i="3"/>
  <c r="E28" i="3"/>
  <c r="D28" i="3"/>
  <c r="C28" i="3"/>
  <c r="E27" i="3"/>
  <c r="D27" i="3"/>
  <c r="C27" i="3"/>
  <c r="B27" i="3"/>
  <c r="E26" i="3"/>
  <c r="D26" i="3"/>
  <c r="C26" i="3"/>
  <c r="D25" i="3"/>
  <c r="C25" i="3"/>
  <c r="E22" i="3"/>
  <c r="D22" i="3"/>
  <c r="C22" i="3"/>
  <c r="E21" i="3"/>
  <c r="D21" i="3"/>
  <c r="C21" i="3"/>
  <c r="E13" i="3"/>
  <c r="E14" i="3"/>
  <c r="E15" i="3"/>
  <c r="D15" i="3"/>
  <c r="C15" i="3"/>
  <c r="D14" i="3"/>
  <c r="C14" i="3"/>
  <c r="D13" i="3"/>
  <c r="C13" i="3"/>
  <c r="D12" i="3"/>
  <c r="C12" i="3"/>
  <c r="E11" i="3"/>
  <c r="D11" i="3"/>
  <c r="C11" i="3"/>
  <c r="B11" i="3"/>
  <c r="D9" i="3"/>
  <c r="C9" i="3"/>
  <c r="E8" i="3"/>
  <c r="D8" i="3"/>
  <c r="C8" i="3"/>
  <c r="B8" i="3"/>
  <c r="E7" i="3" l="1"/>
  <c r="D7" i="3"/>
  <c r="C7" i="3"/>
  <c r="D6" i="3"/>
  <c r="C6" i="3"/>
  <c r="B6" i="3"/>
  <c r="E4" i="3"/>
  <c r="D4" i="3"/>
  <c r="C4" i="3"/>
  <c r="B4" i="3"/>
  <c r="E3" i="3"/>
  <c r="D3" i="3"/>
  <c r="C3" i="3"/>
  <c r="E2" i="3"/>
  <c r="D2" i="3"/>
  <c r="C2" i="3"/>
  <c r="M3" i="4" l="1"/>
  <c r="J73" i="4" l="1"/>
  <c r="K73" i="4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C73" i="4" l="1"/>
  <c r="D73" i="4"/>
  <c r="E73" i="4"/>
  <c r="F73" i="4"/>
  <c r="G73" i="4"/>
  <c r="H73" i="4"/>
  <c r="I73" i="4"/>
  <c r="B73" i="4"/>
  <c r="L73" i="4" l="1"/>
  <c r="M73" i="4" s="1"/>
  <c r="C72" i="3"/>
  <c r="D72" i="3"/>
  <c r="E72" i="3"/>
  <c r="F72" i="3"/>
  <c r="B72" i="3"/>
  <c r="G72" i="3" l="1"/>
  <c r="B74" i="2"/>
  <c r="B73" i="2" l="1"/>
</calcChain>
</file>

<file path=xl/sharedStrings.xml><?xml version="1.0" encoding="utf-8"?>
<sst xmlns="http://schemas.openxmlformats.org/spreadsheetml/2006/main" count="289" uniqueCount="79">
  <si>
    <t xml:space="preserve"> </t>
  </si>
  <si>
    <t>Общее кол-во рассмотренных дел</t>
  </si>
  <si>
    <t>Столбец1</t>
  </si>
  <si>
    <t>Всего</t>
  </si>
  <si>
    <t>Среднее</t>
  </si>
  <si>
    <t xml:space="preserve">Уголовные </t>
  </si>
  <si>
    <t>Гражданские</t>
  </si>
  <si>
    <t>Административные</t>
  </si>
  <si>
    <t>Материалы</t>
  </si>
  <si>
    <t xml:space="preserve">Итого </t>
  </si>
  <si>
    <t>Итого</t>
  </si>
  <si>
    <t>Судебный участок № 1 Алатырского района</t>
  </si>
  <si>
    <t>Судебный участок № 1 г. Алатырь</t>
  </si>
  <si>
    <t>Судебный участок № 2 г. Алатырь</t>
  </si>
  <si>
    <t>Судебный участок № 1 Аликовского района</t>
  </si>
  <si>
    <t>Судебный участок № 1 Батыревского района</t>
  </si>
  <si>
    <t>Судебный участок № 2 Батыревского района</t>
  </si>
  <si>
    <t>Судебный участок № 1 Вурнарского района</t>
  </si>
  <si>
    <t>Судебный участок № 2 Вурнарского района</t>
  </si>
  <si>
    <t>Судебный участок № 1 Ибресинского района</t>
  </si>
  <si>
    <t>Судебный участок № 1 Канашского района</t>
  </si>
  <si>
    <t>Судебный участок № 2 Канашского района</t>
  </si>
  <si>
    <t>Судебный участок № 1 г. Канаш</t>
  </si>
  <si>
    <t>Судебный участок № 2 г. Канаш</t>
  </si>
  <si>
    <t>Судебный участок № 3 г. Канаш</t>
  </si>
  <si>
    <t>Судебный участок № 1 Козловского района</t>
  </si>
  <si>
    <t>Судебный участок № 1 Комсомольского района</t>
  </si>
  <si>
    <t>Судебный участок № 1 Красноармейского района</t>
  </si>
  <si>
    <t>Судебный участок № 1 Красночетайского района</t>
  </si>
  <si>
    <t>Судебный участок № 1 Мариинско-Посадского района</t>
  </si>
  <si>
    <t>Судебный участок № 1 Моргаушского района</t>
  </si>
  <si>
    <t>Судебный участок № 2 Моргаушского района</t>
  </si>
  <si>
    <t>Судебный участок № 1 Порецкого района</t>
  </si>
  <si>
    <t>Судебный участок № 1 Урмарского района</t>
  </si>
  <si>
    <t>Судебный участок № 1 Цивильского района</t>
  </si>
  <si>
    <t>Судебный участок № 2 Цивильского района</t>
  </si>
  <si>
    <t>Судебный участок № 1 Чебоксарского района</t>
  </si>
  <si>
    <t>Судебный участок № 2 Чебоксарского района</t>
  </si>
  <si>
    <t>Судебный участок № 3 Чебоксарского района</t>
  </si>
  <si>
    <t>Судебный участок № 1 Шемуршинского района</t>
  </si>
  <si>
    <t>Судебный участок № 1 Шумерлинского района</t>
  </si>
  <si>
    <t>Судебный участок № 1 г. Шумерля</t>
  </si>
  <si>
    <t>Судебный участок № 2 г. Шумерля</t>
  </si>
  <si>
    <t>Судебный участок № 1 Ядринского района</t>
  </si>
  <si>
    <t>Судебный участок № 2 Ядринского района</t>
  </si>
  <si>
    <t>Судебный участок № 1 Яльчикского района</t>
  </si>
  <si>
    <t>Судебный участок № 1 Янтиковского района</t>
  </si>
  <si>
    <t>Судебный участок № 1 г. Новочебоксарск</t>
  </si>
  <si>
    <t>Судебный участок № 2 г. Новочебоксарск</t>
  </si>
  <si>
    <t>Судебный участок № 3 г. Новочебоксарск</t>
  </si>
  <si>
    <t>Судебный участок № 4 г. Новочебоксарск</t>
  </si>
  <si>
    <t>Судебный участок № 5 г. Новочебоксарск</t>
  </si>
  <si>
    <t>Судебный участок № 6 г. Новочебоксарск</t>
  </si>
  <si>
    <t>Судебный участок № 1 Калининского района г. Чебоксары</t>
  </si>
  <si>
    <t>Судебный участок № 2 Калининского района г. Чебоксары</t>
  </si>
  <si>
    <t>Судебный участок № 3 Калининского района г. Чебоксары</t>
  </si>
  <si>
    <t>Судебный участок № 4 Калининского района г. Чебоксары</t>
  </si>
  <si>
    <t>Судебный участок № 5 Калининского района г. Чебоксары</t>
  </si>
  <si>
    <t>Судебный участок № 6 Калининского района г. Чебоксары</t>
  </si>
  <si>
    <t>Судебный участок № 7 Калининского района г. Чебоксары</t>
  </si>
  <si>
    <t>Судебный участок № 8 Калининского района г. Чебоксары</t>
  </si>
  <si>
    <t>Судебный участок № 9 Калининского района г. Чебоксары</t>
  </si>
  <si>
    <t>Судебный участок № 1 Ленинского района г. Чебоксары</t>
  </si>
  <si>
    <t>Судебный участок № 2 Ленинского района г. Чебоксары</t>
  </si>
  <si>
    <t>Судебный участок № 3 Ленинского района г. Чебоксары</t>
  </si>
  <si>
    <t>Судебный участок № 4 Ленинского района г. Чебоксары</t>
  </si>
  <si>
    <t>Судебный участок № 5 Ленинского района г. Чебоксары</t>
  </si>
  <si>
    <t>Судебный участок № 6 Ленинского района г. Чебоксары</t>
  </si>
  <si>
    <t>Судебный участок № 7 Ленинского района г. Чебоксары</t>
  </si>
  <si>
    <t>Судебный участок № 8 Ленинского района г. Чебоксары</t>
  </si>
  <si>
    <t>Судебный участок № 1 Московского района г. Чебоксары</t>
  </si>
  <si>
    <t>Судебный участок № 2 Московского района г. Чебоксары</t>
  </si>
  <si>
    <t>Судебный участок № 3 Московского района г. Чебоксары</t>
  </si>
  <si>
    <t>Судебный участок № 4 Московского района г. Чебоксары</t>
  </si>
  <si>
    <t>Судебный участок № 5 Московского района г. Чебоксары</t>
  </si>
  <si>
    <t>Судебный участок № 6 Московского района г. Чебоксары</t>
  </si>
  <si>
    <t>Судебный участок № 7 Московского района г. Чебоксары</t>
  </si>
  <si>
    <t>Судебный участок № 8 Московского района г. Чебоксары</t>
  </si>
  <si>
    <t>Судебный участок № 9 Московского района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</si>
</sst>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Fill="1"/>
    <xf numFmtId="1" fontId="0" fillId="0" borderId="0" xfId="0" applyNumberFormat="1"/>
    <xf numFmtId="0" fontId="1" fillId="0" borderId="0" xfId="0" applyFont="1" applyBorder="1" applyAlignment="1">
      <alignment horizontal="left" vertical="center" indent="2"/>
    </xf>
    <xf numFmtId="1" fontId="0" fillId="0" borderId="0" xfId="0" applyNumberFormat="1" applyBorder="1"/>
    <xf numFmtId="0" fontId="2" fillId="0" borderId="0" xfId="0" applyFont="1" applyBorder="1" applyAlignment="1">
      <alignment horizontal="left" vertical="center" indent="2"/>
    </xf>
    <xf numFmtId="0" fontId="4" fillId="3" borderId="1" xfId="1" applyFont="1" applyFill="1" applyBorder="1"/>
    <xf numFmtId="0" fontId="0" fillId="0" borderId="1" xfId="0" applyFill="1" applyBorder="1"/>
    <xf numFmtId="0" fontId="0" fillId="3" borderId="1" xfId="0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4" fillId="0" borderId="1" xfId="1" applyFont="1" applyFill="1" applyBorder="1"/>
    <xf numFmtId="0" fontId="0" fillId="0" borderId="0" xfId="0"/>
    <xf numFmtId="0" fontId="0" fillId="0" borderId="1" xfId="0" applyBorder="1"/>
    <xf numFmtId="0" fontId="0" fillId="5" borderId="0" xfId="0" applyFill="1"/>
    <xf numFmtId="0" fontId="0" fillId="5" borderId="1" xfId="0" applyFill="1" applyBorder="1"/>
    <xf numFmtId="2" fontId="0" fillId="0" borderId="0" xfId="0" applyNumberForma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/>
    <xf numFmtId="0" fontId="0" fillId="0" borderId="1" xfId="0" applyBorder="1" applyAlignment="1"/>
  </cellXfs>
  <cellStyles count="2">
    <cellStyle name="Обычный" xfId="0" builtinId="0"/>
    <cellStyle name="Хороший" xfId="1" builtinId="26"/>
  </cellStyles>
  <dxfs count="3">
    <dxf>
      <fill>
        <patternFill patternType="none">
          <fgColor indexed="64"/>
          <bgColor indexed="65"/>
        </patternFill>
      </fill>
    </dxf>
    <dxf>
      <numFmt numFmtId="1" formatCode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СВЕДЕНИЯ О РАССМОТРЕНИИ СУДЕБНЫХ ДЕЛ МИРОВЫМИ СУДЬЯМИ ЧУВАШСКОЙ РЕСПУБЛИКИ ЗА 2020 ГОДА.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1503390872059435"/>
          <c:y val="2.58327099112304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840511642205862E-2"/>
          <c:y val="7.4358393863701855E-2"/>
          <c:w val="0.95752125771008478"/>
          <c:h val="0.6350003819601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Общее кол-во рассмотренных дел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3 г. Новочебоксарск</c:v>
                </c:pt>
                <c:pt idx="3">
                  <c:v>Судебный участок № 6 Московского района г. Чебоксары</c:v>
                </c:pt>
                <c:pt idx="4">
                  <c:v>Судебный участок № 4 Московского района г. Чебоксары</c:v>
                </c:pt>
                <c:pt idx="5">
                  <c:v>Судебный участок № 1 Ленинского района г. Чебоксары</c:v>
                </c:pt>
                <c:pt idx="6">
                  <c:v>Судебный участок № 5 Московского района г. Чебоксары</c:v>
                </c:pt>
                <c:pt idx="7">
                  <c:v>Судебный участок № 3 Ленинского района г. Чебоксары</c:v>
                </c:pt>
                <c:pt idx="8">
                  <c:v>Судебный участок № 2 г. Новочебоксарск</c:v>
                </c:pt>
                <c:pt idx="9">
                  <c:v>Судебный участок № 4 Калининского района г. Чебоксары</c:v>
                </c:pt>
                <c:pt idx="10">
                  <c:v>Судебный участок № 3 Московского района г. Чебоксары</c:v>
                </c:pt>
                <c:pt idx="11">
                  <c:v>Судебный участок № 1 г. Канаш</c:v>
                </c:pt>
                <c:pt idx="12">
                  <c:v>Судебный участок № 3 г. Канаш</c:v>
                </c:pt>
                <c:pt idx="13">
                  <c:v>Судебный участок № 7 Калининского района г. Чебоксары</c:v>
                </c:pt>
                <c:pt idx="14">
                  <c:v>Судебный участок № 6 Калининского района г. Чебоксары</c:v>
                </c:pt>
                <c:pt idx="15">
                  <c:v>Судебный участок № 5 Ленинского района г. Чебоксары</c:v>
                </c:pt>
                <c:pt idx="16">
                  <c:v>Судебный участок № 9 Калининского района г. Чебоксары</c:v>
                </c:pt>
                <c:pt idx="17">
                  <c:v>Судебный участок № 7 Московского района г. Чебоксары</c:v>
                </c:pt>
                <c:pt idx="18">
                  <c:v>Судебный участок № 8 Московского района г. Чебоксары</c:v>
                </c:pt>
                <c:pt idx="19">
                  <c:v>Судебный участок № 4 г. Новочебоксарск</c:v>
                </c:pt>
                <c:pt idx="20">
                  <c:v>Судебный участок № 6 г. Новочебоксарск</c:v>
                </c:pt>
                <c:pt idx="21">
                  <c:v>Судебный участок № 2 г. Канаш</c:v>
                </c:pt>
                <c:pt idx="22">
                  <c:v>Судебный участок № 1 Цивильского района</c:v>
                </c:pt>
                <c:pt idx="23">
                  <c:v>Судебный участок № 1 Московского района г. Чебоксары</c:v>
                </c:pt>
                <c:pt idx="24">
                  <c:v>Судебный участок № 3 Чебоксарского района</c:v>
                </c:pt>
                <c:pt idx="25">
                  <c:v>Судебный участок № 1 Козловского района</c:v>
                </c:pt>
                <c:pt idx="26">
                  <c:v>Судебный участок № 1 Урмарского района</c:v>
                </c:pt>
                <c:pt idx="27">
                  <c:v>Судебный участок № 4 Ленинского района г. Чебоксары</c:v>
                </c:pt>
                <c:pt idx="28">
                  <c:v>Судебный участок № 6 Ленинского района г. Чебоксары</c:v>
                </c:pt>
                <c:pt idx="29">
                  <c:v>Судебный участок № 1 Мариинско-Посадского района</c:v>
                </c:pt>
                <c:pt idx="30">
                  <c:v>Судебный участок № 5 г. Новочебоксарск</c:v>
                </c:pt>
                <c:pt idx="31">
                  <c:v>Судебный участок № 2 г. Алатырь</c:v>
                </c:pt>
                <c:pt idx="32">
                  <c:v>Судебный участок № 2 Чебоксарского района</c:v>
                </c:pt>
                <c:pt idx="33">
                  <c:v>Судебный участок № 2 Ленинского района г. Чебоксары</c:v>
                </c:pt>
                <c:pt idx="34">
                  <c:v>Судебный участок № 9 Московского района г. Чебоксары</c:v>
                </c:pt>
                <c:pt idx="35">
                  <c:v>Судебный участок № 2 Калининского района г. Чебоксары</c:v>
                </c:pt>
                <c:pt idx="36">
                  <c:v>Судебный участок № 1 Калининского района г. Чебоксары</c:v>
                </c:pt>
                <c:pt idx="37">
                  <c:v>Судебный участок № 1 Комсомольского района</c:v>
                </c:pt>
                <c:pt idx="38">
                  <c:v>Судебный участок № 5 Калининского района г. Чебоксары</c:v>
                </c:pt>
                <c:pt idx="39">
                  <c:v>Судебный участок № 1 г. Алатырь</c:v>
                </c:pt>
                <c:pt idx="40">
                  <c:v>Судебный участок № 2 Моргаушского района</c:v>
                </c:pt>
                <c:pt idx="41">
                  <c:v>Судебный участок № 1 Чебоксарского района</c:v>
                </c:pt>
                <c:pt idx="42">
                  <c:v>Судебный участок № 3 Калининского района г. Чебоксары</c:v>
                </c:pt>
                <c:pt idx="43">
                  <c:v>Судебный участок № 2 г. Шумерля</c:v>
                </c:pt>
                <c:pt idx="44">
                  <c:v>Судебный участок № 8 Ленинского района г. Чебоксары</c:v>
                </c:pt>
                <c:pt idx="45">
                  <c:v>Судебный участок № 1 Яльчикского района</c:v>
                </c:pt>
                <c:pt idx="46">
                  <c:v>Судебный участок № 2 Ядринского района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Батыревского района</c:v>
                </c:pt>
                <c:pt idx="49">
                  <c:v>Судебный участок № 1 Батыревского района</c:v>
                </c:pt>
                <c:pt idx="50">
                  <c:v>Судебный участок № 1 Моргаушского района</c:v>
                </c:pt>
                <c:pt idx="51">
                  <c:v>Судебный участок № 1 г. Шумерля</c:v>
                </c:pt>
                <c:pt idx="52">
                  <c:v>Судебный участок № 2 Вурнарского района</c:v>
                </c:pt>
                <c:pt idx="53">
                  <c:v>Судебный участок № 2 Канашского района</c:v>
                </c:pt>
                <c:pt idx="54">
                  <c:v>Судебный участок № 8 Калининского района г. Чебоксары</c:v>
                </c:pt>
                <c:pt idx="55">
                  <c:v>Судебный участок № 1 Красноармейского района</c:v>
                </c:pt>
                <c:pt idx="56">
                  <c:v>Судебный участок № 1 Ибресинского района</c:v>
                </c:pt>
                <c:pt idx="57">
                  <c:v>Судебный участок № 2 Цивильского района</c:v>
                </c:pt>
                <c:pt idx="58">
                  <c:v>Судебный участок № 1 Канашского района</c:v>
                </c:pt>
                <c:pt idx="59">
                  <c:v>Судебный участок № 1 Красночетайского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Алатырского района</c:v>
                </c:pt>
                <c:pt idx="62">
                  <c:v>Судебный участок № 1 Ядринского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Янтиковского района</c:v>
                </c:pt>
                <c:pt idx="66">
                  <c:v>Судебный участок № 1 Шумерлинского района</c:v>
                </c:pt>
                <c:pt idx="67">
                  <c:v>Судебный участок № 1 Порецкого района</c:v>
                </c:pt>
              </c:strCache>
            </c:strRef>
          </c:cat>
          <c:val>
            <c:numRef>
              <c:f>Лист2!$B$2:$B$71</c:f>
              <c:numCache>
                <c:formatCode>General</c:formatCode>
                <c:ptCount val="70"/>
                <c:pt idx="0">
                  <c:v>9471</c:v>
                </c:pt>
                <c:pt idx="1">
                  <c:v>7962</c:v>
                </c:pt>
                <c:pt idx="2">
                  <c:v>7392</c:v>
                </c:pt>
                <c:pt idx="3">
                  <c:v>7343</c:v>
                </c:pt>
                <c:pt idx="4">
                  <c:v>6247</c:v>
                </c:pt>
                <c:pt idx="5">
                  <c:v>6161</c:v>
                </c:pt>
                <c:pt idx="6">
                  <c:v>5942</c:v>
                </c:pt>
                <c:pt idx="7">
                  <c:v>5941</c:v>
                </c:pt>
                <c:pt idx="8">
                  <c:v>5814</c:v>
                </c:pt>
                <c:pt idx="9">
                  <c:v>5746</c:v>
                </c:pt>
                <c:pt idx="10">
                  <c:v>5701</c:v>
                </c:pt>
                <c:pt idx="11">
                  <c:v>5419</c:v>
                </c:pt>
                <c:pt idx="12">
                  <c:v>5406</c:v>
                </c:pt>
                <c:pt idx="13">
                  <c:v>5323</c:v>
                </c:pt>
                <c:pt idx="14">
                  <c:v>5233</c:v>
                </c:pt>
                <c:pt idx="15">
                  <c:v>5069</c:v>
                </c:pt>
                <c:pt idx="16">
                  <c:v>5056</c:v>
                </c:pt>
                <c:pt idx="17">
                  <c:v>5033</c:v>
                </c:pt>
                <c:pt idx="18">
                  <c:v>5013</c:v>
                </c:pt>
                <c:pt idx="19">
                  <c:v>4866</c:v>
                </c:pt>
                <c:pt idx="20">
                  <c:v>4806</c:v>
                </c:pt>
                <c:pt idx="21">
                  <c:v>4697</c:v>
                </c:pt>
                <c:pt idx="22">
                  <c:v>4697</c:v>
                </c:pt>
                <c:pt idx="23">
                  <c:v>4680</c:v>
                </c:pt>
                <c:pt idx="24">
                  <c:v>4676</c:v>
                </c:pt>
                <c:pt idx="25">
                  <c:v>4528</c:v>
                </c:pt>
                <c:pt idx="26">
                  <c:v>4523</c:v>
                </c:pt>
                <c:pt idx="27">
                  <c:v>4505</c:v>
                </c:pt>
                <c:pt idx="28">
                  <c:v>4448</c:v>
                </c:pt>
                <c:pt idx="29">
                  <c:v>4414</c:v>
                </c:pt>
                <c:pt idx="30">
                  <c:v>4389</c:v>
                </c:pt>
                <c:pt idx="31">
                  <c:v>4378</c:v>
                </c:pt>
                <c:pt idx="32">
                  <c:v>4352</c:v>
                </c:pt>
                <c:pt idx="33">
                  <c:v>4281</c:v>
                </c:pt>
                <c:pt idx="34">
                  <c:v>4274</c:v>
                </c:pt>
                <c:pt idx="35">
                  <c:v>4220</c:v>
                </c:pt>
                <c:pt idx="36">
                  <c:v>4133</c:v>
                </c:pt>
                <c:pt idx="37">
                  <c:v>3939</c:v>
                </c:pt>
                <c:pt idx="38">
                  <c:v>3932</c:v>
                </c:pt>
                <c:pt idx="39">
                  <c:v>3815</c:v>
                </c:pt>
                <c:pt idx="40">
                  <c:v>3804</c:v>
                </c:pt>
                <c:pt idx="41">
                  <c:v>3798</c:v>
                </c:pt>
                <c:pt idx="42">
                  <c:v>3787</c:v>
                </c:pt>
                <c:pt idx="43">
                  <c:v>3759</c:v>
                </c:pt>
                <c:pt idx="44">
                  <c:v>3720</c:v>
                </c:pt>
                <c:pt idx="45">
                  <c:v>3675</c:v>
                </c:pt>
                <c:pt idx="46">
                  <c:v>3561</c:v>
                </c:pt>
                <c:pt idx="47">
                  <c:v>3472</c:v>
                </c:pt>
                <c:pt idx="48">
                  <c:v>3448</c:v>
                </c:pt>
                <c:pt idx="49">
                  <c:v>3385</c:v>
                </c:pt>
                <c:pt idx="50">
                  <c:v>3384</c:v>
                </c:pt>
                <c:pt idx="51">
                  <c:v>3368</c:v>
                </c:pt>
                <c:pt idx="52">
                  <c:v>3328</c:v>
                </c:pt>
                <c:pt idx="53">
                  <c:v>3253</c:v>
                </c:pt>
                <c:pt idx="54">
                  <c:v>3166</c:v>
                </c:pt>
                <c:pt idx="55">
                  <c:v>3141</c:v>
                </c:pt>
                <c:pt idx="56">
                  <c:v>3071</c:v>
                </c:pt>
                <c:pt idx="57">
                  <c:v>2931</c:v>
                </c:pt>
                <c:pt idx="58">
                  <c:v>2882</c:v>
                </c:pt>
                <c:pt idx="59">
                  <c:v>2816</c:v>
                </c:pt>
                <c:pt idx="60">
                  <c:v>2790</c:v>
                </c:pt>
                <c:pt idx="61">
                  <c:v>2710</c:v>
                </c:pt>
                <c:pt idx="62">
                  <c:v>2649</c:v>
                </c:pt>
                <c:pt idx="63">
                  <c:v>2607</c:v>
                </c:pt>
                <c:pt idx="64">
                  <c:v>2513</c:v>
                </c:pt>
                <c:pt idx="65">
                  <c:v>2343</c:v>
                </c:pt>
                <c:pt idx="66">
                  <c:v>2241</c:v>
                </c:pt>
                <c:pt idx="67">
                  <c:v>2171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96000"/>
        <c:axId val="206796392"/>
      </c:barChart>
      <c:lineChart>
        <c:grouping val="stacked"/>
        <c:varyColors val="0"/>
        <c:ser>
          <c:idx val="1"/>
          <c:order val="1"/>
          <c:tx>
            <c:strRef>
              <c:f>Лист2!$C$1</c:f>
              <c:strCache>
                <c:ptCount val="1"/>
                <c:pt idx="0">
                  <c:v>Столбец1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3 г. Новочебоксарск</c:v>
                </c:pt>
                <c:pt idx="3">
                  <c:v>Судебный участок № 6 Московского района г. Чебоксары</c:v>
                </c:pt>
                <c:pt idx="4">
                  <c:v>Судебный участок № 4 Московского района г. Чебоксары</c:v>
                </c:pt>
                <c:pt idx="5">
                  <c:v>Судебный участок № 1 Ленинского района г. Чебоксары</c:v>
                </c:pt>
                <c:pt idx="6">
                  <c:v>Судебный участок № 5 Московского района г. Чебоксары</c:v>
                </c:pt>
                <c:pt idx="7">
                  <c:v>Судебный участок № 3 Ленинского района г. Чебоксары</c:v>
                </c:pt>
                <c:pt idx="8">
                  <c:v>Судебный участок № 2 г. Новочебоксарск</c:v>
                </c:pt>
                <c:pt idx="9">
                  <c:v>Судебный участок № 4 Калининского района г. Чебоксары</c:v>
                </c:pt>
                <c:pt idx="10">
                  <c:v>Судебный участок № 3 Московского района г. Чебоксары</c:v>
                </c:pt>
                <c:pt idx="11">
                  <c:v>Судебный участок № 1 г. Канаш</c:v>
                </c:pt>
                <c:pt idx="12">
                  <c:v>Судебный участок № 3 г. Канаш</c:v>
                </c:pt>
                <c:pt idx="13">
                  <c:v>Судебный участок № 7 Калининского района г. Чебоксары</c:v>
                </c:pt>
                <c:pt idx="14">
                  <c:v>Судебный участок № 6 Калининского района г. Чебоксары</c:v>
                </c:pt>
                <c:pt idx="15">
                  <c:v>Судебный участок № 5 Ленинского района г. Чебоксары</c:v>
                </c:pt>
                <c:pt idx="16">
                  <c:v>Судебный участок № 9 Калининского района г. Чебоксары</c:v>
                </c:pt>
                <c:pt idx="17">
                  <c:v>Судебный участок № 7 Московского района г. Чебоксары</c:v>
                </c:pt>
                <c:pt idx="18">
                  <c:v>Судебный участок № 8 Московского района г. Чебоксары</c:v>
                </c:pt>
                <c:pt idx="19">
                  <c:v>Судебный участок № 4 г. Новочебоксарск</c:v>
                </c:pt>
                <c:pt idx="20">
                  <c:v>Судебный участок № 6 г. Новочебоксарск</c:v>
                </c:pt>
                <c:pt idx="21">
                  <c:v>Судебный участок № 2 г. Канаш</c:v>
                </c:pt>
                <c:pt idx="22">
                  <c:v>Судебный участок № 1 Цивильского района</c:v>
                </c:pt>
                <c:pt idx="23">
                  <c:v>Судебный участок № 1 Московского района г. Чебоксары</c:v>
                </c:pt>
                <c:pt idx="24">
                  <c:v>Судебный участок № 3 Чебоксарского района</c:v>
                </c:pt>
                <c:pt idx="25">
                  <c:v>Судебный участок № 1 Козловского района</c:v>
                </c:pt>
                <c:pt idx="26">
                  <c:v>Судебный участок № 1 Урмарского района</c:v>
                </c:pt>
                <c:pt idx="27">
                  <c:v>Судебный участок № 4 Ленинского района г. Чебоксары</c:v>
                </c:pt>
                <c:pt idx="28">
                  <c:v>Судебный участок № 6 Ленинского района г. Чебоксары</c:v>
                </c:pt>
                <c:pt idx="29">
                  <c:v>Судебный участок № 1 Мариинско-Посадского района</c:v>
                </c:pt>
                <c:pt idx="30">
                  <c:v>Судебный участок № 5 г. Новочебоксарск</c:v>
                </c:pt>
                <c:pt idx="31">
                  <c:v>Судебный участок № 2 г. Алатырь</c:v>
                </c:pt>
                <c:pt idx="32">
                  <c:v>Судебный участок № 2 Чебоксарского района</c:v>
                </c:pt>
                <c:pt idx="33">
                  <c:v>Судебный участок № 2 Ленинского района г. Чебоксары</c:v>
                </c:pt>
                <c:pt idx="34">
                  <c:v>Судебный участок № 9 Московского района г. Чебоксары</c:v>
                </c:pt>
                <c:pt idx="35">
                  <c:v>Судебный участок № 2 Калининского района г. Чебоксары</c:v>
                </c:pt>
                <c:pt idx="36">
                  <c:v>Судебный участок № 1 Калининского района г. Чебоксары</c:v>
                </c:pt>
                <c:pt idx="37">
                  <c:v>Судебный участок № 1 Комсомольского района</c:v>
                </c:pt>
                <c:pt idx="38">
                  <c:v>Судебный участок № 5 Калининского района г. Чебоксары</c:v>
                </c:pt>
                <c:pt idx="39">
                  <c:v>Судебный участок № 1 г. Алатырь</c:v>
                </c:pt>
                <c:pt idx="40">
                  <c:v>Судебный участок № 2 Моргаушского района</c:v>
                </c:pt>
                <c:pt idx="41">
                  <c:v>Судебный участок № 1 Чебоксарского района</c:v>
                </c:pt>
                <c:pt idx="42">
                  <c:v>Судебный участок № 3 Калининского района г. Чебоксары</c:v>
                </c:pt>
                <c:pt idx="43">
                  <c:v>Судебный участок № 2 г. Шумерля</c:v>
                </c:pt>
                <c:pt idx="44">
                  <c:v>Судебный участок № 8 Ленинского района г. Чебоксары</c:v>
                </c:pt>
                <c:pt idx="45">
                  <c:v>Судебный участок № 1 Яльчикского района</c:v>
                </c:pt>
                <c:pt idx="46">
                  <c:v>Судебный участок № 2 Ядринского района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Батыревского района</c:v>
                </c:pt>
                <c:pt idx="49">
                  <c:v>Судебный участок № 1 Батыревского района</c:v>
                </c:pt>
                <c:pt idx="50">
                  <c:v>Судебный участок № 1 Моргаушского района</c:v>
                </c:pt>
                <c:pt idx="51">
                  <c:v>Судебный участок № 1 г. Шумерля</c:v>
                </c:pt>
                <c:pt idx="52">
                  <c:v>Судебный участок № 2 Вурнарского района</c:v>
                </c:pt>
                <c:pt idx="53">
                  <c:v>Судебный участок № 2 Канашского района</c:v>
                </c:pt>
                <c:pt idx="54">
                  <c:v>Судебный участок № 8 Калининского района г. Чебоксары</c:v>
                </c:pt>
                <c:pt idx="55">
                  <c:v>Судебный участок № 1 Красноармейского района</c:v>
                </c:pt>
                <c:pt idx="56">
                  <c:v>Судебный участок № 1 Ибресинского района</c:v>
                </c:pt>
                <c:pt idx="57">
                  <c:v>Судебный участок № 2 Цивильского района</c:v>
                </c:pt>
                <c:pt idx="58">
                  <c:v>Судебный участок № 1 Канашского района</c:v>
                </c:pt>
                <c:pt idx="59">
                  <c:v>Судебный участок № 1 Красночетайского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Алатырского района</c:v>
                </c:pt>
                <c:pt idx="62">
                  <c:v>Судебный участок № 1 Ядринского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Янтиковского района</c:v>
                </c:pt>
                <c:pt idx="66">
                  <c:v>Судебный участок № 1 Шумерлинского района</c:v>
                </c:pt>
                <c:pt idx="67">
                  <c:v>Судебный участок № 1 Порецкого района</c:v>
                </c:pt>
              </c:strCache>
            </c:strRef>
          </c:cat>
          <c:val>
            <c:numRef>
              <c:f>Лист2!$C$2:$C$71</c:f>
              <c:numCache>
                <c:formatCode>0</c:formatCode>
                <c:ptCount val="70"/>
                <c:pt idx="0">
                  <c:v>4347</c:v>
                </c:pt>
                <c:pt idx="1">
                  <c:v>4347</c:v>
                </c:pt>
                <c:pt idx="2">
                  <c:v>4347</c:v>
                </c:pt>
                <c:pt idx="3">
                  <c:v>4347</c:v>
                </c:pt>
                <c:pt idx="4">
                  <c:v>4347</c:v>
                </c:pt>
                <c:pt idx="5">
                  <c:v>4347</c:v>
                </c:pt>
                <c:pt idx="6">
                  <c:v>4347</c:v>
                </c:pt>
                <c:pt idx="7">
                  <c:v>4347</c:v>
                </c:pt>
                <c:pt idx="8">
                  <c:v>4347</c:v>
                </c:pt>
                <c:pt idx="9">
                  <c:v>4347</c:v>
                </c:pt>
                <c:pt idx="10">
                  <c:v>4347</c:v>
                </c:pt>
                <c:pt idx="11">
                  <c:v>4347</c:v>
                </c:pt>
                <c:pt idx="12">
                  <c:v>4347</c:v>
                </c:pt>
                <c:pt idx="13">
                  <c:v>4347</c:v>
                </c:pt>
                <c:pt idx="14">
                  <c:v>4347</c:v>
                </c:pt>
                <c:pt idx="15">
                  <c:v>4347</c:v>
                </c:pt>
                <c:pt idx="16">
                  <c:v>4347</c:v>
                </c:pt>
                <c:pt idx="17">
                  <c:v>4347</c:v>
                </c:pt>
                <c:pt idx="18">
                  <c:v>4347</c:v>
                </c:pt>
                <c:pt idx="19">
                  <c:v>4347</c:v>
                </c:pt>
                <c:pt idx="20">
                  <c:v>4347</c:v>
                </c:pt>
                <c:pt idx="21">
                  <c:v>4347</c:v>
                </c:pt>
                <c:pt idx="22">
                  <c:v>4347</c:v>
                </c:pt>
                <c:pt idx="23">
                  <c:v>4347</c:v>
                </c:pt>
                <c:pt idx="24">
                  <c:v>4347</c:v>
                </c:pt>
                <c:pt idx="25">
                  <c:v>4347</c:v>
                </c:pt>
                <c:pt idx="26">
                  <c:v>4347</c:v>
                </c:pt>
                <c:pt idx="27">
                  <c:v>4347</c:v>
                </c:pt>
                <c:pt idx="28">
                  <c:v>4347</c:v>
                </c:pt>
                <c:pt idx="29">
                  <c:v>4347</c:v>
                </c:pt>
                <c:pt idx="30">
                  <c:v>4347</c:v>
                </c:pt>
                <c:pt idx="31">
                  <c:v>4347</c:v>
                </c:pt>
                <c:pt idx="32">
                  <c:v>4347</c:v>
                </c:pt>
                <c:pt idx="33">
                  <c:v>4347</c:v>
                </c:pt>
                <c:pt idx="34">
                  <c:v>4347</c:v>
                </c:pt>
                <c:pt idx="35">
                  <c:v>4347</c:v>
                </c:pt>
                <c:pt idx="36">
                  <c:v>4347</c:v>
                </c:pt>
                <c:pt idx="37">
                  <c:v>4347</c:v>
                </c:pt>
                <c:pt idx="38">
                  <c:v>4347</c:v>
                </c:pt>
                <c:pt idx="39">
                  <c:v>4347</c:v>
                </c:pt>
                <c:pt idx="40">
                  <c:v>4347</c:v>
                </c:pt>
                <c:pt idx="41">
                  <c:v>4347</c:v>
                </c:pt>
                <c:pt idx="42">
                  <c:v>4347</c:v>
                </c:pt>
                <c:pt idx="43">
                  <c:v>4347</c:v>
                </c:pt>
                <c:pt idx="44">
                  <c:v>4347</c:v>
                </c:pt>
                <c:pt idx="45">
                  <c:v>4347</c:v>
                </c:pt>
                <c:pt idx="46">
                  <c:v>4347</c:v>
                </c:pt>
                <c:pt idx="47">
                  <c:v>4347</c:v>
                </c:pt>
                <c:pt idx="48">
                  <c:v>4347</c:v>
                </c:pt>
                <c:pt idx="49">
                  <c:v>4347</c:v>
                </c:pt>
                <c:pt idx="50">
                  <c:v>4347</c:v>
                </c:pt>
                <c:pt idx="51">
                  <c:v>4347</c:v>
                </c:pt>
                <c:pt idx="52">
                  <c:v>4347</c:v>
                </c:pt>
                <c:pt idx="53">
                  <c:v>4347</c:v>
                </c:pt>
                <c:pt idx="54">
                  <c:v>4347</c:v>
                </c:pt>
                <c:pt idx="55">
                  <c:v>4347</c:v>
                </c:pt>
                <c:pt idx="56">
                  <c:v>4347</c:v>
                </c:pt>
                <c:pt idx="57">
                  <c:v>4347</c:v>
                </c:pt>
                <c:pt idx="58">
                  <c:v>4347</c:v>
                </c:pt>
                <c:pt idx="59">
                  <c:v>4347</c:v>
                </c:pt>
                <c:pt idx="60">
                  <c:v>4347</c:v>
                </c:pt>
                <c:pt idx="61">
                  <c:v>4347</c:v>
                </c:pt>
                <c:pt idx="62">
                  <c:v>4347</c:v>
                </c:pt>
                <c:pt idx="63">
                  <c:v>4347</c:v>
                </c:pt>
                <c:pt idx="64">
                  <c:v>4347</c:v>
                </c:pt>
                <c:pt idx="65">
                  <c:v>4347</c:v>
                </c:pt>
                <c:pt idx="66">
                  <c:v>4347</c:v>
                </c:pt>
                <c:pt idx="67">
                  <c:v>4347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3 г. Новочебоксарск</c:v>
                </c:pt>
                <c:pt idx="3">
                  <c:v>Судебный участок № 6 Московского района г. Чебоксары</c:v>
                </c:pt>
                <c:pt idx="4">
                  <c:v>Судебный участок № 4 Московского района г. Чебоксары</c:v>
                </c:pt>
                <c:pt idx="5">
                  <c:v>Судебный участок № 1 Ленинского района г. Чебоксары</c:v>
                </c:pt>
                <c:pt idx="6">
                  <c:v>Судебный участок № 5 Московского района г. Чебоксары</c:v>
                </c:pt>
                <c:pt idx="7">
                  <c:v>Судебный участок № 3 Ленинского района г. Чебоксары</c:v>
                </c:pt>
                <c:pt idx="8">
                  <c:v>Судебный участок № 2 г. Новочебоксарск</c:v>
                </c:pt>
                <c:pt idx="9">
                  <c:v>Судебный участок № 4 Калининского района г. Чебоксары</c:v>
                </c:pt>
                <c:pt idx="10">
                  <c:v>Судебный участок № 3 Московского района г. Чебоксары</c:v>
                </c:pt>
                <c:pt idx="11">
                  <c:v>Судебный участок № 1 г. Канаш</c:v>
                </c:pt>
                <c:pt idx="12">
                  <c:v>Судебный участок № 3 г. Канаш</c:v>
                </c:pt>
                <c:pt idx="13">
                  <c:v>Судебный участок № 7 Калининского района г. Чебоксары</c:v>
                </c:pt>
                <c:pt idx="14">
                  <c:v>Судебный участок № 6 Калининского района г. Чебоксары</c:v>
                </c:pt>
                <c:pt idx="15">
                  <c:v>Судебный участок № 5 Ленинского района г. Чебоксары</c:v>
                </c:pt>
                <c:pt idx="16">
                  <c:v>Судебный участок № 9 Калининского района г. Чебоксары</c:v>
                </c:pt>
                <c:pt idx="17">
                  <c:v>Судебный участок № 7 Московского района г. Чебоксары</c:v>
                </c:pt>
                <c:pt idx="18">
                  <c:v>Судебный участок № 8 Московского района г. Чебоксары</c:v>
                </c:pt>
                <c:pt idx="19">
                  <c:v>Судебный участок № 4 г. Новочебоксарск</c:v>
                </c:pt>
                <c:pt idx="20">
                  <c:v>Судебный участок № 6 г. Новочебоксарск</c:v>
                </c:pt>
                <c:pt idx="21">
                  <c:v>Судебный участок № 2 г. Канаш</c:v>
                </c:pt>
                <c:pt idx="22">
                  <c:v>Судебный участок № 1 Цивильского района</c:v>
                </c:pt>
                <c:pt idx="23">
                  <c:v>Судебный участок № 1 Московского района г. Чебоксары</c:v>
                </c:pt>
                <c:pt idx="24">
                  <c:v>Судебный участок № 3 Чебоксарского района</c:v>
                </c:pt>
                <c:pt idx="25">
                  <c:v>Судебный участок № 1 Козловского района</c:v>
                </c:pt>
                <c:pt idx="26">
                  <c:v>Судебный участок № 1 Урмарского района</c:v>
                </c:pt>
                <c:pt idx="27">
                  <c:v>Судебный участок № 4 Ленинского района г. Чебоксары</c:v>
                </c:pt>
                <c:pt idx="28">
                  <c:v>Судебный участок № 6 Ленинского района г. Чебоксары</c:v>
                </c:pt>
                <c:pt idx="29">
                  <c:v>Судебный участок № 1 Мариинско-Посадского района</c:v>
                </c:pt>
                <c:pt idx="30">
                  <c:v>Судебный участок № 5 г. Новочебоксарск</c:v>
                </c:pt>
                <c:pt idx="31">
                  <c:v>Судебный участок № 2 г. Алатырь</c:v>
                </c:pt>
                <c:pt idx="32">
                  <c:v>Судебный участок № 2 Чебоксарского района</c:v>
                </c:pt>
                <c:pt idx="33">
                  <c:v>Судебный участок № 2 Ленинского района г. Чебоксары</c:v>
                </c:pt>
                <c:pt idx="34">
                  <c:v>Судебный участок № 9 Московского района г. Чебоксары</c:v>
                </c:pt>
                <c:pt idx="35">
                  <c:v>Судебный участок № 2 Калининского района г. Чебоксары</c:v>
                </c:pt>
                <c:pt idx="36">
                  <c:v>Судебный участок № 1 Калининского района г. Чебоксары</c:v>
                </c:pt>
                <c:pt idx="37">
                  <c:v>Судебный участок № 1 Комсомольского района</c:v>
                </c:pt>
                <c:pt idx="38">
                  <c:v>Судебный участок № 5 Калининского района г. Чебоксары</c:v>
                </c:pt>
                <c:pt idx="39">
                  <c:v>Судебный участок № 1 г. Алатырь</c:v>
                </c:pt>
                <c:pt idx="40">
                  <c:v>Судебный участок № 2 Моргаушского района</c:v>
                </c:pt>
                <c:pt idx="41">
                  <c:v>Судебный участок № 1 Чебоксарского района</c:v>
                </c:pt>
                <c:pt idx="42">
                  <c:v>Судебный участок № 3 Калининского района г. Чебоксары</c:v>
                </c:pt>
                <c:pt idx="43">
                  <c:v>Судебный участок № 2 г. Шумерля</c:v>
                </c:pt>
                <c:pt idx="44">
                  <c:v>Судебный участок № 8 Ленинского района г. Чебоксары</c:v>
                </c:pt>
                <c:pt idx="45">
                  <c:v>Судебный участок № 1 Яльчикского района</c:v>
                </c:pt>
                <c:pt idx="46">
                  <c:v>Судебный участок № 2 Ядринского района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Батыревского района</c:v>
                </c:pt>
                <c:pt idx="49">
                  <c:v>Судебный участок № 1 Батыревского района</c:v>
                </c:pt>
                <c:pt idx="50">
                  <c:v>Судебный участок № 1 Моргаушского района</c:v>
                </c:pt>
                <c:pt idx="51">
                  <c:v>Судебный участок № 1 г. Шумерля</c:v>
                </c:pt>
                <c:pt idx="52">
                  <c:v>Судебный участок № 2 Вурнарского района</c:v>
                </c:pt>
                <c:pt idx="53">
                  <c:v>Судебный участок № 2 Канашского района</c:v>
                </c:pt>
                <c:pt idx="54">
                  <c:v>Судебный участок № 8 Калининского района г. Чебоксары</c:v>
                </c:pt>
                <c:pt idx="55">
                  <c:v>Судебный участок № 1 Красноармейского района</c:v>
                </c:pt>
                <c:pt idx="56">
                  <c:v>Судебный участок № 1 Ибресинского района</c:v>
                </c:pt>
                <c:pt idx="57">
                  <c:v>Судебный участок № 2 Цивильского района</c:v>
                </c:pt>
                <c:pt idx="58">
                  <c:v>Судебный участок № 1 Канашского района</c:v>
                </c:pt>
                <c:pt idx="59">
                  <c:v>Судебный участок № 1 Красночетайского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Алатырского района</c:v>
                </c:pt>
                <c:pt idx="62">
                  <c:v>Судебный участок № 1 Ядринского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Янтиковского района</c:v>
                </c:pt>
                <c:pt idx="66">
                  <c:v>Судебный участок № 1 Шумерлинского района</c:v>
                </c:pt>
                <c:pt idx="67">
                  <c:v>Судебный участок № 1 Порецкого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3 г. Новочебоксарск</c:v>
                </c:pt>
                <c:pt idx="3">
                  <c:v>Судебный участок № 6 Московского района г. Чебоксары</c:v>
                </c:pt>
                <c:pt idx="4">
                  <c:v>Судебный участок № 4 Московского района г. Чебоксары</c:v>
                </c:pt>
                <c:pt idx="5">
                  <c:v>Судебный участок № 1 Ленинского района г. Чебоксары</c:v>
                </c:pt>
                <c:pt idx="6">
                  <c:v>Судебный участок № 5 Московского района г. Чебоксары</c:v>
                </c:pt>
                <c:pt idx="7">
                  <c:v>Судебный участок № 3 Ленинского района г. Чебоксары</c:v>
                </c:pt>
                <c:pt idx="8">
                  <c:v>Судебный участок № 2 г. Новочебоксарск</c:v>
                </c:pt>
                <c:pt idx="9">
                  <c:v>Судебный участок № 4 Калининского района г. Чебоксары</c:v>
                </c:pt>
                <c:pt idx="10">
                  <c:v>Судебный участок № 3 Московского района г. Чебоксары</c:v>
                </c:pt>
                <c:pt idx="11">
                  <c:v>Судебный участок № 1 г. Канаш</c:v>
                </c:pt>
                <c:pt idx="12">
                  <c:v>Судебный участок № 3 г. Канаш</c:v>
                </c:pt>
                <c:pt idx="13">
                  <c:v>Судебный участок № 7 Калининского района г. Чебоксары</c:v>
                </c:pt>
                <c:pt idx="14">
                  <c:v>Судебный участок № 6 Калининского района г. Чебоксары</c:v>
                </c:pt>
                <c:pt idx="15">
                  <c:v>Судебный участок № 5 Ленинского района г. Чебоксары</c:v>
                </c:pt>
                <c:pt idx="16">
                  <c:v>Судебный участок № 9 Калининского района г. Чебоксары</c:v>
                </c:pt>
                <c:pt idx="17">
                  <c:v>Судебный участок № 7 Московского района г. Чебоксары</c:v>
                </c:pt>
                <c:pt idx="18">
                  <c:v>Судебный участок № 8 Московского района г. Чебоксары</c:v>
                </c:pt>
                <c:pt idx="19">
                  <c:v>Судебный участок № 4 г. Новочебоксарск</c:v>
                </c:pt>
                <c:pt idx="20">
                  <c:v>Судебный участок № 6 г. Новочебоксарск</c:v>
                </c:pt>
                <c:pt idx="21">
                  <c:v>Судебный участок № 2 г. Канаш</c:v>
                </c:pt>
                <c:pt idx="22">
                  <c:v>Судебный участок № 1 Цивильского района</c:v>
                </c:pt>
                <c:pt idx="23">
                  <c:v>Судебный участок № 1 Московского района г. Чебоксары</c:v>
                </c:pt>
                <c:pt idx="24">
                  <c:v>Судебный участок № 3 Чебоксарского района</c:v>
                </c:pt>
                <c:pt idx="25">
                  <c:v>Судебный участок № 1 Козловского района</c:v>
                </c:pt>
                <c:pt idx="26">
                  <c:v>Судебный участок № 1 Урмарского района</c:v>
                </c:pt>
                <c:pt idx="27">
                  <c:v>Судебный участок № 4 Ленинского района г. Чебоксары</c:v>
                </c:pt>
                <c:pt idx="28">
                  <c:v>Судебный участок № 6 Ленинского района г. Чебоксары</c:v>
                </c:pt>
                <c:pt idx="29">
                  <c:v>Судебный участок № 1 Мариинско-Посадского района</c:v>
                </c:pt>
                <c:pt idx="30">
                  <c:v>Судебный участок № 5 г. Новочебоксарск</c:v>
                </c:pt>
                <c:pt idx="31">
                  <c:v>Судебный участок № 2 г. Алатырь</c:v>
                </c:pt>
                <c:pt idx="32">
                  <c:v>Судебный участок № 2 Чебоксарского района</c:v>
                </c:pt>
                <c:pt idx="33">
                  <c:v>Судебный участок № 2 Ленинского района г. Чебоксары</c:v>
                </c:pt>
                <c:pt idx="34">
                  <c:v>Судебный участок № 9 Московского района г. Чебоксары</c:v>
                </c:pt>
                <c:pt idx="35">
                  <c:v>Судебный участок № 2 Калининского района г. Чебоксары</c:v>
                </c:pt>
                <c:pt idx="36">
                  <c:v>Судебный участок № 1 Калининского района г. Чебоксары</c:v>
                </c:pt>
                <c:pt idx="37">
                  <c:v>Судебный участок № 1 Комсомольского района</c:v>
                </c:pt>
                <c:pt idx="38">
                  <c:v>Судебный участок № 5 Калининского района г. Чебоксары</c:v>
                </c:pt>
                <c:pt idx="39">
                  <c:v>Судебный участок № 1 г. Алатырь</c:v>
                </c:pt>
                <c:pt idx="40">
                  <c:v>Судебный участок № 2 Моргаушского района</c:v>
                </c:pt>
                <c:pt idx="41">
                  <c:v>Судебный участок № 1 Чебоксарского района</c:v>
                </c:pt>
                <c:pt idx="42">
                  <c:v>Судебный участок № 3 Калининского района г. Чебоксары</c:v>
                </c:pt>
                <c:pt idx="43">
                  <c:v>Судебный участок № 2 г. Шумерля</c:v>
                </c:pt>
                <c:pt idx="44">
                  <c:v>Судебный участок № 8 Ленинского района г. Чебоксары</c:v>
                </c:pt>
                <c:pt idx="45">
                  <c:v>Судебный участок № 1 Яльчикского района</c:v>
                </c:pt>
                <c:pt idx="46">
                  <c:v>Судебный участок № 2 Ядринского района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Батыревского района</c:v>
                </c:pt>
                <c:pt idx="49">
                  <c:v>Судебный участок № 1 Батыревского района</c:v>
                </c:pt>
                <c:pt idx="50">
                  <c:v>Судебный участок № 1 Моргаушского района</c:v>
                </c:pt>
                <c:pt idx="51">
                  <c:v>Судебный участок № 1 г. Шумерля</c:v>
                </c:pt>
                <c:pt idx="52">
                  <c:v>Судебный участок № 2 Вурнарского района</c:v>
                </c:pt>
                <c:pt idx="53">
                  <c:v>Судебный участок № 2 Канашского района</c:v>
                </c:pt>
                <c:pt idx="54">
                  <c:v>Судебный участок № 8 Калининского района г. Чебоксары</c:v>
                </c:pt>
                <c:pt idx="55">
                  <c:v>Судебный участок № 1 Красноармейского района</c:v>
                </c:pt>
                <c:pt idx="56">
                  <c:v>Судебный участок № 1 Ибресинского района</c:v>
                </c:pt>
                <c:pt idx="57">
                  <c:v>Судебный участок № 2 Цивильского района</c:v>
                </c:pt>
                <c:pt idx="58">
                  <c:v>Судебный участок № 1 Канашского района</c:v>
                </c:pt>
                <c:pt idx="59">
                  <c:v>Судебный участок № 1 Красночетайского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Алатырского района</c:v>
                </c:pt>
                <c:pt idx="62">
                  <c:v>Судебный участок № 1 Ядринского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Янтиковского района</c:v>
                </c:pt>
                <c:pt idx="66">
                  <c:v>Судебный участок № 1 Шумерлинского района</c:v>
                </c:pt>
                <c:pt idx="67">
                  <c:v>Судебный участок № 1 Порецкого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3 г. Новочебоксарск</c:v>
                </c:pt>
                <c:pt idx="3">
                  <c:v>Судебный участок № 6 Московского района г. Чебоксары</c:v>
                </c:pt>
                <c:pt idx="4">
                  <c:v>Судебный участок № 4 Московского района г. Чебоксары</c:v>
                </c:pt>
                <c:pt idx="5">
                  <c:v>Судебный участок № 1 Ленинского района г. Чебоксары</c:v>
                </c:pt>
                <c:pt idx="6">
                  <c:v>Судебный участок № 5 Московского района г. Чебоксары</c:v>
                </c:pt>
                <c:pt idx="7">
                  <c:v>Судебный участок № 3 Ленинского района г. Чебоксары</c:v>
                </c:pt>
                <c:pt idx="8">
                  <c:v>Судебный участок № 2 г. Новочебоксарск</c:v>
                </c:pt>
                <c:pt idx="9">
                  <c:v>Судебный участок № 4 Калининского района г. Чебоксары</c:v>
                </c:pt>
                <c:pt idx="10">
                  <c:v>Судебный участок № 3 Московского района г. Чебоксары</c:v>
                </c:pt>
                <c:pt idx="11">
                  <c:v>Судебный участок № 1 г. Канаш</c:v>
                </c:pt>
                <c:pt idx="12">
                  <c:v>Судебный участок № 3 г. Канаш</c:v>
                </c:pt>
                <c:pt idx="13">
                  <c:v>Судебный участок № 7 Калининского района г. Чебоксары</c:v>
                </c:pt>
                <c:pt idx="14">
                  <c:v>Судебный участок № 6 Калининского района г. Чебоксары</c:v>
                </c:pt>
                <c:pt idx="15">
                  <c:v>Судебный участок № 5 Ленинского района г. Чебоксары</c:v>
                </c:pt>
                <c:pt idx="16">
                  <c:v>Судебный участок № 9 Калининского района г. Чебоксары</c:v>
                </c:pt>
                <c:pt idx="17">
                  <c:v>Судебный участок № 7 Московского района г. Чебоксары</c:v>
                </c:pt>
                <c:pt idx="18">
                  <c:v>Судебный участок № 8 Московского района г. Чебоксары</c:v>
                </c:pt>
                <c:pt idx="19">
                  <c:v>Судебный участок № 4 г. Новочебоксарск</c:v>
                </c:pt>
                <c:pt idx="20">
                  <c:v>Судебный участок № 6 г. Новочебоксарск</c:v>
                </c:pt>
                <c:pt idx="21">
                  <c:v>Судебный участок № 2 г. Канаш</c:v>
                </c:pt>
                <c:pt idx="22">
                  <c:v>Судебный участок № 1 Цивильского района</c:v>
                </c:pt>
                <c:pt idx="23">
                  <c:v>Судебный участок № 1 Московского района г. Чебоксары</c:v>
                </c:pt>
                <c:pt idx="24">
                  <c:v>Судебный участок № 3 Чебоксарского района</c:v>
                </c:pt>
                <c:pt idx="25">
                  <c:v>Судебный участок № 1 Козловского района</c:v>
                </c:pt>
                <c:pt idx="26">
                  <c:v>Судебный участок № 1 Урмарского района</c:v>
                </c:pt>
                <c:pt idx="27">
                  <c:v>Судебный участок № 4 Ленинского района г. Чебоксары</c:v>
                </c:pt>
                <c:pt idx="28">
                  <c:v>Судебный участок № 6 Ленинского района г. Чебоксары</c:v>
                </c:pt>
                <c:pt idx="29">
                  <c:v>Судебный участок № 1 Мариинско-Посадского района</c:v>
                </c:pt>
                <c:pt idx="30">
                  <c:v>Судебный участок № 5 г. Новочебоксарск</c:v>
                </c:pt>
                <c:pt idx="31">
                  <c:v>Судебный участок № 2 г. Алатырь</c:v>
                </c:pt>
                <c:pt idx="32">
                  <c:v>Судебный участок № 2 Чебоксарского района</c:v>
                </c:pt>
                <c:pt idx="33">
                  <c:v>Судебный участок № 2 Ленинского района г. Чебоксары</c:v>
                </c:pt>
                <c:pt idx="34">
                  <c:v>Судебный участок № 9 Московского района г. Чебоксары</c:v>
                </c:pt>
                <c:pt idx="35">
                  <c:v>Судебный участок № 2 Калининского района г. Чебоксары</c:v>
                </c:pt>
                <c:pt idx="36">
                  <c:v>Судебный участок № 1 Калининского района г. Чебоксары</c:v>
                </c:pt>
                <c:pt idx="37">
                  <c:v>Судебный участок № 1 Комсомольского района</c:v>
                </c:pt>
                <c:pt idx="38">
                  <c:v>Судебный участок № 5 Калининского района г. Чебоксары</c:v>
                </c:pt>
                <c:pt idx="39">
                  <c:v>Судебный участок № 1 г. Алатырь</c:v>
                </c:pt>
                <c:pt idx="40">
                  <c:v>Судебный участок № 2 Моргаушского района</c:v>
                </c:pt>
                <c:pt idx="41">
                  <c:v>Судебный участок № 1 Чебоксарского района</c:v>
                </c:pt>
                <c:pt idx="42">
                  <c:v>Судебный участок № 3 Калининского района г. Чебоксары</c:v>
                </c:pt>
                <c:pt idx="43">
                  <c:v>Судебный участок № 2 г. Шумерля</c:v>
                </c:pt>
                <c:pt idx="44">
                  <c:v>Судебный участок № 8 Ленинского района г. Чебоксары</c:v>
                </c:pt>
                <c:pt idx="45">
                  <c:v>Судебный участок № 1 Яльчикского района</c:v>
                </c:pt>
                <c:pt idx="46">
                  <c:v>Судебный участок № 2 Ядринского района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Батыревского района</c:v>
                </c:pt>
                <c:pt idx="49">
                  <c:v>Судебный участок № 1 Батыревского района</c:v>
                </c:pt>
                <c:pt idx="50">
                  <c:v>Судебный участок № 1 Моргаушского района</c:v>
                </c:pt>
                <c:pt idx="51">
                  <c:v>Судебный участок № 1 г. Шумерля</c:v>
                </c:pt>
                <c:pt idx="52">
                  <c:v>Судебный участок № 2 Вурнарского района</c:v>
                </c:pt>
                <c:pt idx="53">
                  <c:v>Судебный участок № 2 Канашского района</c:v>
                </c:pt>
                <c:pt idx="54">
                  <c:v>Судебный участок № 8 Калининского района г. Чебоксары</c:v>
                </c:pt>
                <c:pt idx="55">
                  <c:v>Судебный участок № 1 Красноармейского района</c:v>
                </c:pt>
                <c:pt idx="56">
                  <c:v>Судебный участок № 1 Ибресинского района</c:v>
                </c:pt>
                <c:pt idx="57">
                  <c:v>Судебный участок № 2 Цивильского района</c:v>
                </c:pt>
                <c:pt idx="58">
                  <c:v>Судебный участок № 1 Канашского района</c:v>
                </c:pt>
                <c:pt idx="59">
                  <c:v>Судебный участок № 1 Красночетайского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Алатырского района</c:v>
                </c:pt>
                <c:pt idx="62">
                  <c:v>Судебный участок № 1 Ядринского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Янтиковского района</c:v>
                </c:pt>
                <c:pt idx="66">
                  <c:v>Судебный участок № 1 Шумерлинского района</c:v>
                </c:pt>
                <c:pt idx="67">
                  <c:v>Судебный участок № 1 Порецкого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Лист2!$A$2:$A$71</c:f>
              <c:strCache>
                <c:ptCount val="68"/>
                <c:pt idx="0">
                  <c:v>Судебный участок № 1 г. Новочебоксарск</c:v>
                </c:pt>
                <c:pt idx="1">
                  <c:v>Судебный участок № 2 Московского района г. Чебоксары</c:v>
                </c:pt>
                <c:pt idx="2">
                  <c:v>Судебный участок № 3 г. Новочебоксарск</c:v>
                </c:pt>
                <c:pt idx="3">
                  <c:v>Судебный участок № 6 Московского района г. Чебоксары</c:v>
                </c:pt>
                <c:pt idx="4">
                  <c:v>Судебный участок № 4 Московского района г. Чебоксары</c:v>
                </c:pt>
                <c:pt idx="5">
                  <c:v>Судебный участок № 1 Ленинского района г. Чебоксары</c:v>
                </c:pt>
                <c:pt idx="6">
                  <c:v>Судебный участок № 5 Московского района г. Чебоксары</c:v>
                </c:pt>
                <c:pt idx="7">
                  <c:v>Судебный участок № 3 Ленинского района г. Чебоксары</c:v>
                </c:pt>
                <c:pt idx="8">
                  <c:v>Судебный участок № 2 г. Новочебоксарск</c:v>
                </c:pt>
                <c:pt idx="9">
                  <c:v>Судебный участок № 4 Калининского района г. Чебоксары</c:v>
                </c:pt>
                <c:pt idx="10">
                  <c:v>Судебный участок № 3 Московского района г. Чебоксары</c:v>
                </c:pt>
                <c:pt idx="11">
                  <c:v>Судебный участок № 1 г. Канаш</c:v>
                </c:pt>
                <c:pt idx="12">
                  <c:v>Судебный участок № 3 г. Канаш</c:v>
                </c:pt>
                <c:pt idx="13">
                  <c:v>Судебный участок № 7 Калининского района г. Чебоксары</c:v>
                </c:pt>
                <c:pt idx="14">
                  <c:v>Судебный участок № 6 Калининского района г. Чебоксары</c:v>
                </c:pt>
                <c:pt idx="15">
                  <c:v>Судебный участок № 5 Ленинского района г. Чебоксары</c:v>
                </c:pt>
                <c:pt idx="16">
                  <c:v>Судебный участок № 9 Калининского района г. Чебоксары</c:v>
                </c:pt>
                <c:pt idx="17">
                  <c:v>Судебный участок № 7 Московского района г. Чебоксары</c:v>
                </c:pt>
                <c:pt idx="18">
                  <c:v>Судебный участок № 8 Московского района г. Чебоксары</c:v>
                </c:pt>
                <c:pt idx="19">
                  <c:v>Судебный участок № 4 г. Новочебоксарск</c:v>
                </c:pt>
                <c:pt idx="20">
                  <c:v>Судебный участок № 6 г. Новочебоксарск</c:v>
                </c:pt>
                <c:pt idx="21">
                  <c:v>Судебный участок № 2 г. Канаш</c:v>
                </c:pt>
                <c:pt idx="22">
                  <c:v>Судебный участок № 1 Цивильского района</c:v>
                </c:pt>
                <c:pt idx="23">
                  <c:v>Судебный участок № 1 Московского района г. Чебоксары</c:v>
                </c:pt>
                <c:pt idx="24">
                  <c:v>Судебный участок № 3 Чебоксарского района</c:v>
                </c:pt>
                <c:pt idx="25">
                  <c:v>Судебный участок № 1 Козловского района</c:v>
                </c:pt>
                <c:pt idx="26">
                  <c:v>Судебный участок № 1 Урмарского района</c:v>
                </c:pt>
                <c:pt idx="27">
                  <c:v>Судебный участок № 4 Ленинского района г. Чебоксары</c:v>
                </c:pt>
                <c:pt idx="28">
                  <c:v>Судебный участок № 6 Ленинского района г. Чебоксары</c:v>
                </c:pt>
                <c:pt idx="29">
                  <c:v>Судебный участок № 1 Мариинско-Посадского района</c:v>
                </c:pt>
                <c:pt idx="30">
                  <c:v>Судебный участок № 5 г. Новочебоксарск</c:v>
                </c:pt>
                <c:pt idx="31">
                  <c:v>Судебный участок № 2 г. Алатырь</c:v>
                </c:pt>
                <c:pt idx="32">
                  <c:v>Судебный участок № 2 Чебоксарского района</c:v>
                </c:pt>
                <c:pt idx="33">
                  <c:v>Судебный участок № 2 Ленинского района г. Чебоксары</c:v>
                </c:pt>
                <c:pt idx="34">
                  <c:v>Судебный участок № 9 Московского района г. Чебоксары</c:v>
                </c:pt>
                <c:pt idx="35">
                  <c:v>Судебный участок № 2 Калининского района г. Чебоксары</c:v>
                </c:pt>
                <c:pt idx="36">
                  <c:v>Судебный участок № 1 Калининского района г. Чебоксары</c:v>
                </c:pt>
                <c:pt idx="37">
                  <c:v>Судебный участок № 1 Комсомольского района</c:v>
                </c:pt>
                <c:pt idx="38">
                  <c:v>Судебный участок № 5 Калининского района г. Чебоксары</c:v>
                </c:pt>
                <c:pt idx="39">
                  <c:v>Судебный участок № 1 г. Алатырь</c:v>
                </c:pt>
                <c:pt idx="40">
                  <c:v>Судебный участок № 2 Моргаушского района</c:v>
                </c:pt>
                <c:pt idx="41">
                  <c:v>Судебный участок № 1 Чебоксарского района</c:v>
                </c:pt>
                <c:pt idx="42">
                  <c:v>Судебный участок № 3 Калининского района г. Чебоксары</c:v>
                </c:pt>
                <c:pt idx="43">
                  <c:v>Судебный участок № 2 г. Шумерля</c:v>
                </c:pt>
                <c:pt idx="44">
                  <c:v>Судебный участок № 8 Ленинского района г. Чебоксары</c:v>
                </c:pt>
                <c:pt idx="45">
                  <c:v>Судебный участок № 1 Яльчикского района</c:v>
                </c:pt>
                <c:pt idx="46">
                  <c:v>Судебный участок № 2 Ядринского района</c:v>
                </c:pt>
                <c:pt idx="47">
                  <c:v>Судебный участок № 7 Ленинского района г. Чебоксары</c:v>
                </c:pt>
                <c:pt idx="48">
                  <c:v>Судебный участок № 2 Батыревского района</c:v>
                </c:pt>
                <c:pt idx="49">
                  <c:v>Судебный участок № 1 Батыревского района</c:v>
                </c:pt>
                <c:pt idx="50">
                  <c:v>Судебный участок № 1 Моргаушского района</c:v>
                </c:pt>
                <c:pt idx="51">
                  <c:v>Судебный участок № 1 г. Шумерля</c:v>
                </c:pt>
                <c:pt idx="52">
                  <c:v>Судебный участок № 2 Вурнарского района</c:v>
                </c:pt>
                <c:pt idx="53">
                  <c:v>Судебный участок № 2 Канашского района</c:v>
                </c:pt>
                <c:pt idx="54">
                  <c:v>Судебный участок № 8 Калининского района г. Чебоксары</c:v>
                </c:pt>
                <c:pt idx="55">
                  <c:v>Судебный участок № 1 Красноармейского района</c:v>
                </c:pt>
                <c:pt idx="56">
                  <c:v>Судебный участок № 1 Ибресинского района</c:v>
                </c:pt>
                <c:pt idx="57">
                  <c:v>Судебный участок № 2 Цивильского района</c:v>
                </c:pt>
                <c:pt idx="58">
                  <c:v>Судебный участок № 1 Канашского района</c:v>
                </c:pt>
                <c:pt idx="59">
                  <c:v>Судебный участок № 1 Красночетайского района</c:v>
                </c:pt>
                <c:pt idx="60">
                  <c:v>Судебный участок № 1 Вурнарского района</c:v>
                </c:pt>
                <c:pt idx="61">
                  <c:v>Судебный участок № 1 Алатырского района</c:v>
                </c:pt>
                <c:pt idx="62">
                  <c:v>Судебный участок № 1 Ядринского района</c:v>
                </c:pt>
                <c:pt idx="63">
                  <c:v>Судебный участок № 1 Шемуршинского района</c:v>
                </c:pt>
                <c:pt idx="64">
                  <c:v>Судебный участок № 1 Аликовского района</c:v>
                </c:pt>
                <c:pt idx="65">
                  <c:v>Судебный участок № 1 Янтиковского района</c:v>
                </c:pt>
                <c:pt idx="66">
                  <c:v>Судебный участок № 1 Шумерлинского района</c:v>
                </c:pt>
                <c:pt idx="67">
                  <c:v>Судебный участок № 1 Порецкого района</c:v>
                </c:pt>
              </c:strCache>
            </c:str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96000"/>
        <c:axId val="206796392"/>
      </c:lineChart>
      <c:catAx>
        <c:axId val="206796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206796392"/>
        <c:crosses val="autoZero"/>
        <c:auto val="1"/>
        <c:lblAlgn val="ctr"/>
        <c:lblOffset val="100"/>
        <c:noMultiLvlLbl val="0"/>
      </c:catAx>
      <c:valAx>
        <c:axId val="206796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679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landscape" horizontalDpi="-2" vertic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588816</xdr:colOff>
      <xdr:row>2</xdr:row>
      <xdr:rowOff>152827</xdr:rowOff>
    </xdr:from>
    <xdr:to>
      <xdr:col>29</xdr:col>
      <xdr:colOff>103909</xdr:colOff>
      <xdr:row>70</xdr:row>
      <xdr:rowOff>13607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13" displayName="Таблица13" ref="A1:C72" totalsRowCount="1" tableBorderDxfId="2">
  <sortState ref="A2:C69">
    <sortCondition descending="1" ref="B69"/>
  </sortState>
  <tableColumns count="3">
    <tableColumn id="1" name=" "/>
    <tableColumn id="2" name="Общее кол-во рассмотренных дел" dataDxfId="1"/>
    <tableColumn id="3" name="Столбец1" totalsRowDxfId="0" dataCellStyle="Обычн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51"/>
  <sheetViews>
    <sheetView zoomScale="70" zoomScaleNormal="70" workbookViewId="0">
      <selection activeCell="C2" sqref="C2:C69"/>
    </sheetView>
  </sheetViews>
  <sheetFormatPr defaultRowHeight="15" x14ac:dyDescent="0.25"/>
  <cols>
    <col min="1" max="1" width="75.42578125" customWidth="1"/>
    <col min="2" max="2" width="24.42578125" customWidth="1"/>
    <col min="3" max="3" width="30.7109375" customWidth="1"/>
    <col min="4" max="4" width="12.42578125" customWidth="1"/>
    <col min="5" max="5" width="13.5703125" customWidth="1"/>
    <col min="6" max="6" width="18.710937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5">
      <c r="A2" s="14" t="s">
        <v>47</v>
      </c>
      <c r="B2" s="14">
        <v>9471</v>
      </c>
      <c r="C2" s="3">
        <v>4347</v>
      </c>
    </row>
    <row r="3" spans="1:3" x14ac:dyDescent="0.25">
      <c r="A3" s="14" t="s">
        <v>71</v>
      </c>
      <c r="B3" s="14">
        <v>7962</v>
      </c>
      <c r="C3" s="3">
        <v>4347</v>
      </c>
    </row>
    <row r="4" spans="1:3" x14ac:dyDescent="0.25">
      <c r="A4" s="14" t="s">
        <v>49</v>
      </c>
      <c r="B4" s="14">
        <v>7392</v>
      </c>
      <c r="C4" s="3">
        <v>4347</v>
      </c>
    </row>
    <row r="5" spans="1:3" x14ac:dyDescent="0.25">
      <c r="A5" s="14" t="s">
        <v>75</v>
      </c>
      <c r="B5" s="14">
        <v>7343</v>
      </c>
      <c r="C5" s="3">
        <v>4347</v>
      </c>
    </row>
    <row r="6" spans="1:3" x14ac:dyDescent="0.25">
      <c r="A6" s="14" t="s">
        <v>73</v>
      </c>
      <c r="B6" s="14">
        <v>6247</v>
      </c>
      <c r="C6" s="3">
        <v>4347</v>
      </c>
    </row>
    <row r="7" spans="1:3" x14ac:dyDescent="0.25">
      <c r="A7" s="14" t="s">
        <v>62</v>
      </c>
      <c r="B7" s="14">
        <v>6161</v>
      </c>
      <c r="C7" s="3">
        <v>4347</v>
      </c>
    </row>
    <row r="8" spans="1:3" x14ac:dyDescent="0.25">
      <c r="A8" s="14" t="s">
        <v>74</v>
      </c>
      <c r="B8" s="14">
        <v>5942</v>
      </c>
      <c r="C8" s="3">
        <v>4347</v>
      </c>
    </row>
    <row r="9" spans="1:3" x14ac:dyDescent="0.25">
      <c r="A9" s="14" t="s">
        <v>64</v>
      </c>
      <c r="B9" s="14">
        <v>5941</v>
      </c>
      <c r="C9" s="3">
        <v>4347</v>
      </c>
    </row>
    <row r="10" spans="1:3" x14ac:dyDescent="0.25">
      <c r="A10" s="14" t="s">
        <v>48</v>
      </c>
      <c r="B10" s="14">
        <v>5814</v>
      </c>
      <c r="C10" s="3">
        <v>4347</v>
      </c>
    </row>
    <row r="11" spans="1:3" x14ac:dyDescent="0.25">
      <c r="A11" s="14" t="s">
        <v>56</v>
      </c>
      <c r="B11" s="14">
        <v>5746</v>
      </c>
      <c r="C11" s="3">
        <v>4347</v>
      </c>
    </row>
    <row r="12" spans="1:3" x14ac:dyDescent="0.25">
      <c r="A12" s="14" t="s">
        <v>72</v>
      </c>
      <c r="B12" s="14">
        <v>5701</v>
      </c>
      <c r="C12" s="3">
        <v>4347</v>
      </c>
    </row>
    <row r="13" spans="1:3" x14ac:dyDescent="0.25">
      <c r="A13" s="14" t="s">
        <v>22</v>
      </c>
      <c r="B13" s="14">
        <v>5419</v>
      </c>
      <c r="C13" s="3">
        <v>4347</v>
      </c>
    </row>
    <row r="14" spans="1:3" x14ac:dyDescent="0.25">
      <c r="A14" s="14" t="s">
        <v>24</v>
      </c>
      <c r="B14" s="14">
        <v>5406</v>
      </c>
      <c r="C14" s="3">
        <v>4347</v>
      </c>
    </row>
    <row r="15" spans="1:3" x14ac:dyDescent="0.25">
      <c r="A15" s="14" t="s">
        <v>59</v>
      </c>
      <c r="B15" s="14">
        <v>5323</v>
      </c>
      <c r="C15" s="3">
        <v>4347</v>
      </c>
    </row>
    <row r="16" spans="1:3" x14ac:dyDescent="0.25">
      <c r="A16" s="14" t="s">
        <v>58</v>
      </c>
      <c r="B16" s="14">
        <v>5233</v>
      </c>
      <c r="C16" s="3">
        <v>4347</v>
      </c>
    </row>
    <row r="17" spans="1:3" x14ac:dyDescent="0.25">
      <c r="A17" s="14" t="s">
        <v>66</v>
      </c>
      <c r="B17" s="14">
        <v>5069</v>
      </c>
      <c r="C17" s="3">
        <v>4347</v>
      </c>
    </row>
    <row r="18" spans="1:3" x14ac:dyDescent="0.25">
      <c r="A18" s="14" t="s">
        <v>61</v>
      </c>
      <c r="B18" s="14">
        <v>5056</v>
      </c>
      <c r="C18" s="3">
        <v>4347</v>
      </c>
    </row>
    <row r="19" spans="1:3" x14ac:dyDescent="0.25">
      <c r="A19" s="14" t="s">
        <v>76</v>
      </c>
      <c r="B19" s="14">
        <v>5033</v>
      </c>
      <c r="C19" s="3">
        <v>4347</v>
      </c>
    </row>
    <row r="20" spans="1:3" x14ac:dyDescent="0.25">
      <c r="A20" s="14" t="s">
        <v>77</v>
      </c>
      <c r="B20" s="14">
        <v>5013</v>
      </c>
      <c r="C20" s="3">
        <v>4347</v>
      </c>
    </row>
    <row r="21" spans="1:3" x14ac:dyDescent="0.25">
      <c r="A21" s="14" t="s">
        <v>50</v>
      </c>
      <c r="B21" s="14">
        <v>4866</v>
      </c>
      <c r="C21" s="3">
        <v>4347</v>
      </c>
    </row>
    <row r="22" spans="1:3" x14ac:dyDescent="0.25">
      <c r="A22" s="14" t="s">
        <v>52</v>
      </c>
      <c r="B22" s="14">
        <v>4806</v>
      </c>
      <c r="C22" s="3">
        <v>4347</v>
      </c>
    </row>
    <row r="23" spans="1:3" x14ac:dyDescent="0.25">
      <c r="A23" s="14" t="s">
        <v>23</v>
      </c>
      <c r="B23" s="14">
        <v>4697</v>
      </c>
      <c r="C23" s="3">
        <v>4347</v>
      </c>
    </row>
    <row r="24" spans="1:3" x14ac:dyDescent="0.25">
      <c r="A24" s="14" t="s">
        <v>34</v>
      </c>
      <c r="B24" s="14">
        <v>4697</v>
      </c>
      <c r="C24" s="3">
        <v>4347</v>
      </c>
    </row>
    <row r="25" spans="1:3" x14ac:dyDescent="0.25">
      <c r="A25" s="14" t="s">
        <v>70</v>
      </c>
      <c r="B25" s="14">
        <v>4680</v>
      </c>
      <c r="C25" s="3">
        <v>4347</v>
      </c>
    </row>
    <row r="26" spans="1:3" x14ac:dyDescent="0.25">
      <c r="A26" s="14" t="s">
        <v>38</v>
      </c>
      <c r="B26" s="14">
        <v>4676</v>
      </c>
      <c r="C26" s="3">
        <v>4347</v>
      </c>
    </row>
    <row r="27" spans="1:3" x14ac:dyDescent="0.25">
      <c r="A27" s="14" t="s">
        <v>25</v>
      </c>
      <c r="B27" s="14">
        <v>4528</v>
      </c>
      <c r="C27" s="3">
        <v>4347</v>
      </c>
    </row>
    <row r="28" spans="1:3" x14ac:dyDescent="0.25">
      <c r="A28" s="14" t="s">
        <v>33</v>
      </c>
      <c r="B28" s="14">
        <v>4523</v>
      </c>
      <c r="C28" s="3">
        <v>4347</v>
      </c>
    </row>
    <row r="29" spans="1:3" x14ac:dyDescent="0.25">
      <c r="A29" s="14" t="s">
        <v>65</v>
      </c>
      <c r="B29" s="14">
        <v>4505</v>
      </c>
      <c r="C29" s="3">
        <v>4347</v>
      </c>
    </row>
    <row r="30" spans="1:3" x14ac:dyDescent="0.25">
      <c r="A30" s="14" t="s">
        <v>67</v>
      </c>
      <c r="B30" s="14">
        <v>4448</v>
      </c>
      <c r="C30" s="3">
        <v>4347</v>
      </c>
    </row>
    <row r="31" spans="1:3" x14ac:dyDescent="0.25">
      <c r="A31" s="14" t="s">
        <v>29</v>
      </c>
      <c r="B31" s="14">
        <v>4414</v>
      </c>
      <c r="C31" s="3">
        <v>4347</v>
      </c>
    </row>
    <row r="32" spans="1:3" x14ac:dyDescent="0.25">
      <c r="A32" s="14" t="s">
        <v>51</v>
      </c>
      <c r="B32" s="14">
        <v>4389</v>
      </c>
      <c r="C32" s="3">
        <v>4347</v>
      </c>
    </row>
    <row r="33" spans="1:3" x14ac:dyDescent="0.25">
      <c r="A33" s="14" t="s">
        <v>13</v>
      </c>
      <c r="B33" s="14">
        <v>4378</v>
      </c>
      <c r="C33" s="3">
        <v>4347</v>
      </c>
    </row>
    <row r="34" spans="1:3" x14ac:dyDescent="0.25">
      <c r="A34" s="14" t="s">
        <v>37</v>
      </c>
      <c r="B34" s="14">
        <v>4352</v>
      </c>
      <c r="C34" s="3">
        <v>4347</v>
      </c>
    </row>
    <row r="35" spans="1:3" x14ac:dyDescent="0.25">
      <c r="A35" s="14" t="s">
        <v>63</v>
      </c>
      <c r="B35" s="14">
        <v>4281</v>
      </c>
      <c r="C35" s="3">
        <v>4347</v>
      </c>
    </row>
    <row r="36" spans="1:3" x14ac:dyDescent="0.25">
      <c r="A36" s="14" t="s">
        <v>78</v>
      </c>
      <c r="B36" s="14">
        <v>4274</v>
      </c>
      <c r="C36" s="3">
        <v>4347</v>
      </c>
    </row>
    <row r="37" spans="1:3" x14ac:dyDescent="0.25">
      <c r="A37" s="14" t="s">
        <v>54</v>
      </c>
      <c r="B37" s="14">
        <v>4220</v>
      </c>
      <c r="C37" s="3">
        <v>4347</v>
      </c>
    </row>
    <row r="38" spans="1:3" x14ac:dyDescent="0.25">
      <c r="A38" s="14" t="s">
        <v>53</v>
      </c>
      <c r="B38" s="14">
        <v>4133</v>
      </c>
      <c r="C38" s="3">
        <v>4347</v>
      </c>
    </row>
    <row r="39" spans="1:3" x14ac:dyDescent="0.25">
      <c r="A39" s="14" t="s">
        <v>26</v>
      </c>
      <c r="B39" s="14">
        <v>3939</v>
      </c>
      <c r="C39" s="3">
        <v>4347</v>
      </c>
    </row>
    <row r="40" spans="1:3" x14ac:dyDescent="0.25">
      <c r="A40" s="14" t="s">
        <v>57</v>
      </c>
      <c r="B40" s="14">
        <v>3932</v>
      </c>
      <c r="C40" s="3">
        <v>4347</v>
      </c>
    </row>
    <row r="41" spans="1:3" x14ac:dyDescent="0.25">
      <c r="A41" s="14" t="s">
        <v>12</v>
      </c>
      <c r="B41" s="14">
        <v>3815</v>
      </c>
      <c r="C41" s="3">
        <v>4347</v>
      </c>
    </row>
    <row r="42" spans="1:3" x14ac:dyDescent="0.25">
      <c r="A42" s="14" t="s">
        <v>31</v>
      </c>
      <c r="B42" s="14">
        <v>3804</v>
      </c>
      <c r="C42" s="3">
        <v>4347</v>
      </c>
    </row>
    <row r="43" spans="1:3" x14ac:dyDescent="0.25">
      <c r="A43" s="14" t="s">
        <v>36</v>
      </c>
      <c r="B43" s="14">
        <v>3798</v>
      </c>
      <c r="C43" s="3">
        <v>4347</v>
      </c>
    </row>
    <row r="44" spans="1:3" ht="15.75" customHeight="1" x14ac:dyDescent="0.25">
      <c r="A44" s="14" t="s">
        <v>55</v>
      </c>
      <c r="B44" s="14">
        <v>3787</v>
      </c>
      <c r="C44" s="3">
        <v>4347</v>
      </c>
    </row>
    <row r="45" spans="1:3" x14ac:dyDescent="0.25">
      <c r="A45" s="14" t="s">
        <v>42</v>
      </c>
      <c r="B45" s="14">
        <v>3759</v>
      </c>
      <c r="C45" s="3">
        <v>4347</v>
      </c>
    </row>
    <row r="46" spans="1:3" x14ac:dyDescent="0.25">
      <c r="A46" s="14" t="s">
        <v>69</v>
      </c>
      <c r="B46" s="14">
        <v>3720</v>
      </c>
      <c r="C46" s="3">
        <v>4347</v>
      </c>
    </row>
    <row r="47" spans="1:3" x14ac:dyDescent="0.25">
      <c r="A47" s="14" t="s">
        <v>45</v>
      </c>
      <c r="B47" s="14">
        <v>3675</v>
      </c>
      <c r="C47" s="3">
        <v>4347</v>
      </c>
    </row>
    <row r="48" spans="1:3" x14ac:dyDescent="0.25">
      <c r="A48" s="14" t="s">
        <v>44</v>
      </c>
      <c r="B48" s="14">
        <v>3561</v>
      </c>
      <c r="C48" s="3">
        <v>4347</v>
      </c>
    </row>
    <row r="49" spans="1:3" x14ac:dyDescent="0.25">
      <c r="A49" s="14" t="s">
        <v>68</v>
      </c>
      <c r="B49" s="14">
        <v>3472</v>
      </c>
      <c r="C49" s="3">
        <v>4347</v>
      </c>
    </row>
    <row r="50" spans="1:3" x14ac:dyDescent="0.25">
      <c r="A50" s="14" t="s">
        <v>16</v>
      </c>
      <c r="B50" s="14">
        <v>3448</v>
      </c>
      <c r="C50" s="3">
        <v>4347</v>
      </c>
    </row>
    <row r="51" spans="1:3" x14ac:dyDescent="0.25">
      <c r="A51" s="14" t="s">
        <v>15</v>
      </c>
      <c r="B51" s="14">
        <v>3385</v>
      </c>
      <c r="C51" s="3">
        <v>4347</v>
      </c>
    </row>
    <row r="52" spans="1:3" x14ac:dyDescent="0.25">
      <c r="A52" s="14" t="s">
        <v>30</v>
      </c>
      <c r="B52" s="14">
        <v>3384</v>
      </c>
      <c r="C52" s="3">
        <v>4347</v>
      </c>
    </row>
    <row r="53" spans="1:3" x14ac:dyDescent="0.25">
      <c r="A53" s="14" t="s">
        <v>41</v>
      </c>
      <c r="B53" s="14">
        <v>3368</v>
      </c>
      <c r="C53" s="3">
        <v>4347</v>
      </c>
    </row>
    <row r="54" spans="1:3" x14ac:dyDescent="0.25">
      <c r="A54" s="14" t="s">
        <v>18</v>
      </c>
      <c r="B54" s="14">
        <v>3328</v>
      </c>
      <c r="C54" s="3">
        <v>4347</v>
      </c>
    </row>
    <row r="55" spans="1:3" x14ac:dyDescent="0.25">
      <c r="A55" s="14" t="s">
        <v>21</v>
      </c>
      <c r="B55" s="14">
        <v>3253</v>
      </c>
      <c r="C55" s="3">
        <v>4347</v>
      </c>
    </row>
    <row r="56" spans="1:3" x14ac:dyDescent="0.25">
      <c r="A56" s="14" t="s">
        <v>60</v>
      </c>
      <c r="B56" s="14">
        <v>3166</v>
      </c>
      <c r="C56" s="3">
        <v>4347</v>
      </c>
    </row>
    <row r="57" spans="1:3" x14ac:dyDescent="0.25">
      <c r="A57" s="14" t="s">
        <v>27</v>
      </c>
      <c r="B57" s="14">
        <v>3141</v>
      </c>
      <c r="C57" s="3">
        <v>4347</v>
      </c>
    </row>
    <row r="58" spans="1:3" x14ac:dyDescent="0.25">
      <c r="A58" s="14" t="s">
        <v>19</v>
      </c>
      <c r="B58" s="14">
        <v>3071</v>
      </c>
      <c r="C58" s="3">
        <v>4347</v>
      </c>
    </row>
    <row r="59" spans="1:3" x14ac:dyDescent="0.25">
      <c r="A59" s="14" t="s">
        <v>35</v>
      </c>
      <c r="B59" s="14">
        <v>2931</v>
      </c>
      <c r="C59" s="3">
        <v>4347</v>
      </c>
    </row>
    <row r="60" spans="1:3" x14ac:dyDescent="0.25">
      <c r="A60" s="14" t="s">
        <v>20</v>
      </c>
      <c r="B60" s="14">
        <v>2882</v>
      </c>
      <c r="C60" s="3">
        <v>4347</v>
      </c>
    </row>
    <row r="61" spans="1:3" x14ac:dyDescent="0.25">
      <c r="A61" s="14" t="s">
        <v>28</v>
      </c>
      <c r="B61" s="14">
        <v>2816</v>
      </c>
      <c r="C61" s="3">
        <v>4347</v>
      </c>
    </row>
    <row r="62" spans="1:3" x14ac:dyDescent="0.25">
      <c r="A62" s="14" t="s">
        <v>17</v>
      </c>
      <c r="B62" s="14">
        <v>2790</v>
      </c>
      <c r="C62" s="3">
        <v>4347</v>
      </c>
    </row>
    <row r="63" spans="1:3" x14ac:dyDescent="0.25">
      <c r="A63" s="14" t="s">
        <v>11</v>
      </c>
      <c r="B63" s="14">
        <v>2710</v>
      </c>
      <c r="C63" s="3">
        <v>4347</v>
      </c>
    </row>
    <row r="64" spans="1:3" x14ac:dyDescent="0.25">
      <c r="A64" s="14" t="s">
        <v>43</v>
      </c>
      <c r="B64" s="14">
        <v>2649</v>
      </c>
      <c r="C64" s="3">
        <v>4347</v>
      </c>
    </row>
    <row r="65" spans="1:6" x14ac:dyDescent="0.25">
      <c r="A65" s="14" t="s">
        <v>39</v>
      </c>
      <c r="B65" s="14">
        <v>2607</v>
      </c>
      <c r="C65" s="3">
        <v>4347</v>
      </c>
    </row>
    <row r="66" spans="1:6" x14ac:dyDescent="0.25">
      <c r="A66" s="14" t="s">
        <v>14</v>
      </c>
      <c r="B66" s="14">
        <v>2513</v>
      </c>
      <c r="C66" s="3">
        <v>4347</v>
      </c>
    </row>
    <row r="67" spans="1:6" x14ac:dyDescent="0.25">
      <c r="A67" s="14" t="s">
        <v>46</v>
      </c>
      <c r="B67" s="14">
        <v>2343</v>
      </c>
      <c r="C67" s="3">
        <v>4347</v>
      </c>
    </row>
    <row r="68" spans="1:6" x14ac:dyDescent="0.25">
      <c r="A68" s="14" t="s">
        <v>40</v>
      </c>
      <c r="B68" s="14">
        <v>2241</v>
      </c>
      <c r="C68" s="3">
        <v>4347</v>
      </c>
    </row>
    <row r="69" spans="1:6" x14ac:dyDescent="0.25">
      <c r="A69" s="14" t="s">
        <v>32</v>
      </c>
      <c r="B69" s="14">
        <v>2171</v>
      </c>
      <c r="C69" s="3">
        <v>4347</v>
      </c>
    </row>
    <row r="70" spans="1:6" x14ac:dyDescent="0.25">
      <c r="C70" s="3"/>
    </row>
    <row r="71" spans="1:6" x14ac:dyDescent="0.25">
      <c r="C71" s="2"/>
    </row>
    <row r="72" spans="1:6" x14ac:dyDescent="0.25">
      <c r="C72" s="2"/>
    </row>
    <row r="73" spans="1:6" x14ac:dyDescent="0.25">
      <c r="A73" t="s">
        <v>3</v>
      </c>
      <c r="B73">
        <f xml:space="preserve"> SUM(Таблица13[Общее кол-во рассмотренных дел])</f>
        <v>295598</v>
      </c>
    </row>
    <row r="74" spans="1:6" x14ac:dyDescent="0.25">
      <c r="A74" t="s">
        <v>4</v>
      </c>
      <c r="B74">
        <f>AVERAGE(Таблица13[Общее кол-во рассмотренных дел])</f>
        <v>4347.0294117647063</v>
      </c>
    </row>
    <row r="75" spans="1:6" x14ac:dyDescent="0.25"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ht="15.75" x14ac:dyDescent="0.25">
      <c r="A78" s="4"/>
      <c r="B78" s="5"/>
      <c r="C78" s="1"/>
      <c r="D78" s="1"/>
      <c r="E78" s="1"/>
      <c r="F78" s="1"/>
    </row>
    <row r="79" spans="1:6" ht="15.75" x14ac:dyDescent="0.25">
      <c r="A79" s="4"/>
      <c r="B79" s="5"/>
      <c r="C79" s="1"/>
      <c r="D79" s="1"/>
      <c r="E79" s="1"/>
      <c r="F79" s="1"/>
    </row>
    <row r="80" spans="1:6" ht="15.75" x14ac:dyDescent="0.25">
      <c r="A80" s="6"/>
      <c r="B80" s="5"/>
      <c r="C80" s="1"/>
      <c r="D80" s="1"/>
      <c r="E80" s="1"/>
      <c r="F80" s="1"/>
    </row>
    <row r="81" spans="1:6" ht="15.75" x14ac:dyDescent="0.25">
      <c r="A81" s="19" t="s">
        <v>47</v>
      </c>
      <c r="B81" s="5">
        <v>9471</v>
      </c>
      <c r="C81" s="1"/>
      <c r="D81" s="1"/>
      <c r="E81" s="1"/>
      <c r="F81" s="1"/>
    </row>
    <row r="82" spans="1:6" ht="15.75" x14ac:dyDescent="0.25">
      <c r="A82" s="20" t="s">
        <v>71</v>
      </c>
      <c r="B82" s="1">
        <v>7962</v>
      </c>
      <c r="C82" s="1"/>
      <c r="D82" s="1"/>
      <c r="E82" s="1"/>
      <c r="F82" s="1"/>
    </row>
    <row r="83" spans="1:6" ht="15.75" x14ac:dyDescent="0.25">
      <c r="A83" s="19" t="s">
        <v>49</v>
      </c>
      <c r="B83" s="5">
        <v>7392</v>
      </c>
      <c r="C83" s="1"/>
      <c r="D83" s="1"/>
      <c r="E83" s="1"/>
      <c r="F83" s="1"/>
    </row>
    <row r="84" spans="1:6" ht="15.75" x14ac:dyDescent="0.25">
      <c r="A84" s="19" t="s">
        <v>75</v>
      </c>
      <c r="B84" s="5">
        <v>7343</v>
      </c>
      <c r="C84" s="1"/>
      <c r="D84" s="1"/>
      <c r="E84" s="1"/>
      <c r="F84" s="1"/>
    </row>
    <row r="85" spans="1:6" ht="15.75" x14ac:dyDescent="0.25">
      <c r="A85" s="20" t="s">
        <v>73</v>
      </c>
      <c r="B85" s="1">
        <v>6247</v>
      </c>
      <c r="C85" s="1"/>
      <c r="D85" s="1"/>
      <c r="E85" s="1"/>
      <c r="F85" s="1"/>
    </row>
    <row r="86" spans="1:6" ht="15.75" x14ac:dyDescent="0.25">
      <c r="A86" s="19" t="s">
        <v>62</v>
      </c>
      <c r="B86" s="5">
        <v>6161</v>
      </c>
      <c r="C86" s="1"/>
      <c r="D86" s="1"/>
      <c r="E86" s="1"/>
      <c r="F86" s="1"/>
    </row>
    <row r="87" spans="1:6" ht="15.75" x14ac:dyDescent="0.25">
      <c r="A87" s="19" t="s">
        <v>74</v>
      </c>
      <c r="B87" s="5">
        <v>5942</v>
      </c>
      <c r="C87" s="1"/>
      <c r="D87" s="1"/>
      <c r="E87" s="1"/>
      <c r="F87" s="1"/>
    </row>
    <row r="88" spans="1:6" ht="15.75" x14ac:dyDescent="0.25">
      <c r="A88" s="19" t="s">
        <v>64</v>
      </c>
      <c r="B88" s="5">
        <v>5941</v>
      </c>
      <c r="C88" s="1"/>
      <c r="D88" s="1"/>
      <c r="E88" s="1"/>
      <c r="F88" s="1"/>
    </row>
    <row r="89" spans="1:6" ht="15.75" x14ac:dyDescent="0.25">
      <c r="A89" s="19" t="s">
        <v>48</v>
      </c>
      <c r="B89" s="5">
        <v>5814</v>
      </c>
      <c r="C89" s="1"/>
      <c r="D89" s="1"/>
      <c r="E89" s="1"/>
      <c r="F89" s="1"/>
    </row>
    <row r="90" spans="1:6" ht="15.75" x14ac:dyDescent="0.25">
      <c r="A90" s="19" t="s">
        <v>56</v>
      </c>
      <c r="B90" s="5">
        <v>5746</v>
      </c>
      <c r="C90" s="1"/>
      <c r="D90" s="1"/>
      <c r="E90" s="1"/>
      <c r="F90" s="1"/>
    </row>
    <row r="91" spans="1:6" ht="15.75" x14ac:dyDescent="0.25">
      <c r="A91" s="19" t="s">
        <v>72</v>
      </c>
      <c r="B91" s="5">
        <v>5701</v>
      </c>
      <c r="C91" s="1"/>
      <c r="D91" s="1"/>
      <c r="E91" s="1"/>
      <c r="F91" s="1"/>
    </row>
    <row r="92" spans="1:6" ht="15.75" x14ac:dyDescent="0.25">
      <c r="A92" s="19" t="s">
        <v>22</v>
      </c>
      <c r="B92" s="5">
        <v>5419</v>
      </c>
      <c r="C92" s="1"/>
      <c r="D92" s="1"/>
      <c r="E92" s="1"/>
      <c r="F92" s="1"/>
    </row>
    <row r="93" spans="1:6" ht="15.75" x14ac:dyDescent="0.25">
      <c r="A93" s="20" t="s">
        <v>24</v>
      </c>
      <c r="B93" s="5">
        <v>5406</v>
      </c>
      <c r="C93" s="1"/>
      <c r="D93" s="1"/>
      <c r="E93" s="1"/>
      <c r="F93" s="1"/>
    </row>
    <row r="94" spans="1:6" ht="15.75" x14ac:dyDescent="0.25">
      <c r="A94" s="19" t="s">
        <v>59</v>
      </c>
      <c r="B94" s="5">
        <v>5323</v>
      </c>
      <c r="C94" s="1"/>
      <c r="D94" s="1"/>
      <c r="E94" s="1"/>
      <c r="F94" s="1"/>
    </row>
    <row r="95" spans="1:6" ht="15.75" x14ac:dyDescent="0.25">
      <c r="A95" s="19" t="s">
        <v>58</v>
      </c>
      <c r="B95" s="5">
        <v>5233</v>
      </c>
      <c r="C95" s="1"/>
      <c r="D95" s="1"/>
      <c r="E95" s="1"/>
      <c r="F95" s="1"/>
    </row>
    <row r="96" spans="1:6" ht="15.75" x14ac:dyDescent="0.25">
      <c r="A96" s="19" t="s">
        <v>66</v>
      </c>
      <c r="B96" s="5">
        <v>5069</v>
      </c>
      <c r="C96" s="1"/>
      <c r="D96" s="1"/>
      <c r="E96" s="1"/>
      <c r="F96" s="1"/>
    </row>
    <row r="97" spans="1:6" ht="15.75" x14ac:dyDescent="0.25">
      <c r="A97" s="19" t="s">
        <v>61</v>
      </c>
      <c r="B97" s="5">
        <v>5056</v>
      </c>
      <c r="C97" s="1"/>
      <c r="D97" s="1"/>
      <c r="E97" s="1"/>
      <c r="F97" s="1"/>
    </row>
    <row r="98" spans="1:6" ht="15.75" x14ac:dyDescent="0.25">
      <c r="A98" s="19" t="s">
        <v>76</v>
      </c>
      <c r="B98" s="5">
        <v>5033</v>
      </c>
      <c r="C98" s="1"/>
      <c r="D98" s="1"/>
      <c r="E98" s="1"/>
      <c r="F98" s="1"/>
    </row>
    <row r="99" spans="1:6" ht="15.75" x14ac:dyDescent="0.25">
      <c r="A99" s="19" t="s">
        <v>77</v>
      </c>
      <c r="B99" s="5">
        <v>5013</v>
      </c>
      <c r="C99" s="1"/>
      <c r="D99" s="1"/>
      <c r="E99" s="1"/>
      <c r="F99" s="1"/>
    </row>
    <row r="100" spans="1:6" ht="15.75" x14ac:dyDescent="0.25">
      <c r="A100" s="19" t="s">
        <v>50</v>
      </c>
      <c r="B100" s="5">
        <v>4866</v>
      </c>
      <c r="C100" s="1"/>
      <c r="D100" s="1"/>
      <c r="E100" s="1"/>
      <c r="F100" s="1"/>
    </row>
    <row r="101" spans="1:6" ht="15.75" x14ac:dyDescent="0.25">
      <c r="A101" s="19" t="s">
        <v>52</v>
      </c>
      <c r="B101" s="5">
        <v>4806</v>
      </c>
      <c r="C101" s="1"/>
      <c r="D101" s="1"/>
      <c r="E101" s="1"/>
      <c r="F101" s="1"/>
    </row>
    <row r="102" spans="1:6" ht="15.75" x14ac:dyDescent="0.25">
      <c r="A102" s="19" t="s">
        <v>23</v>
      </c>
      <c r="B102" s="5">
        <v>4697</v>
      </c>
      <c r="C102" s="1"/>
      <c r="D102" s="1"/>
      <c r="E102" s="1"/>
      <c r="F102" s="1"/>
    </row>
    <row r="103" spans="1:6" ht="15.75" x14ac:dyDescent="0.25">
      <c r="A103" s="19" t="s">
        <v>34</v>
      </c>
      <c r="B103" s="5">
        <v>4697</v>
      </c>
      <c r="C103" s="1"/>
      <c r="D103" s="1"/>
      <c r="E103" s="1"/>
      <c r="F103" s="1"/>
    </row>
    <row r="104" spans="1:6" ht="15.75" x14ac:dyDescent="0.25">
      <c r="A104" s="19" t="s">
        <v>70</v>
      </c>
      <c r="B104" s="5">
        <v>4680</v>
      </c>
      <c r="C104" s="1"/>
      <c r="D104" s="1"/>
      <c r="E104" s="1"/>
      <c r="F104" s="1"/>
    </row>
    <row r="105" spans="1:6" ht="15.75" x14ac:dyDescent="0.25">
      <c r="A105" s="19" t="s">
        <v>38</v>
      </c>
      <c r="B105" s="5">
        <v>4676</v>
      </c>
      <c r="C105" s="1"/>
      <c r="D105" s="1"/>
      <c r="E105" s="1"/>
      <c r="F105" s="1"/>
    </row>
    <row r="106" spans="1:6" ht="15.75" x14ac:dyDescent="0.25">
      <c r="A106" s="19" t="s">
        <v>25</v>
      </c>
      <c r="B106" s="5">
        <v>4528</v>
      </c>
      <c r="C106" s="1"/>
      <c r="D106" s="1"/>
      <c r="E106" s="1"/>
      <c r="F106" s="1"/>
    </row>
    <row r="107" spans="1:6" ht="15.75" x14ac:dyDescent="0.25">
      <c r="A107" s="19" t="s">
        <v>33</v>
      </c>
      <c r="B107" s="5">
        <v>4523</v>
      </c>
      <c r="C107" s="1"/>
      <c r="D107" s="1"/>
      <c r="E107" s="1"/>
      <c r="F107" s="1"/>
    </row>
    <row r="108" spans="1:6" ht="15.75" x14ac:dyDescent="0.25">
      <c r="A108" s="19" t="s">
        <v>65</v>
      </c>
      <c r="B108" s="5">
        <v>4505</v>
      </c>
      <c r="C108" s="1"/>
      <c r="D108" s="1"/>
      <c r="E108" s="1"/>
      <c r="F108" s="1"/>
    </row>
    <row r="109" spans="1:6" ht="15.75" x14ac:dyDescent="0.25">
      <c r="A109" s="19" t="s">
        <v>67</v>
      </c>
      <c r="B109" s="5">
        <v>4448</v>
      </c>
      <c r="C109" s="1"/>
      <c r="D109" s="1"/>
      <c r="E109" s="1"/>
      <c r="F109" s="1"/>
    </row>
    <row r="110" spans="1:6" ht="15.75" x14ac:dyDescent="0.25">
      <c r="A110" s="19" t="s">
        <v>29</v>
      </c>
      <c r="B110" s="5">
        <v>4414</v>
      </c>
      <c r="C110" s="1"/>
      <c r="D110" s="1"/>
      <c r="E110" s="1"/>
      <c r="F110" s="1"/>
    </row>
    <row r="111" spans="1:6" ht="15.75" x14ac:dyDescent="0.25">
      <c r="A111" s="19" t="s">
        <v>51</v>
      </c>
      <c r="B111" s="5">
        <v>4389</v>
      </c>
      <c r="C111" s="1"/>
      <c r="D111" s="1"/>
      <c r="E111" s="1"/>
      <c r="F111" s="1"/>
    </row>
    <row r="112" spans="1:6" ht="15.75" x14ac:dyDescent="0.25">
      <c r="A112" s="19" t="s">
        <v>13</v>
      </c>
      <c r="B112" s="5">
        <v>4378</v>
      </c>
      <c r="C112" s="1"/>
      <c r="D112" s="1"/>
      <c r="E112" s="1"/>
      <c r="F112" s="1"/>
    </row>
    <row r="113" spans="1:6" ht="15.75" x14ac:dyDescent="0.25">
      <c r="A113" s="19" t="s">
        <v>37</v>
      </c>
      <c r="B113" s="5">
        <v>4352</v>
      </c>
      <c r="C113" s="1"/>
      <c r="D113" s="1"/>
      <c r="E113" s="1"/>
      <c r="F113" s="1"/>
    </row>
    <row r="114" spans="1:6" ht="15.75" x14ac:dyDescent="0.25">
      <c r="A114" s="19" t="s">
        <v>63</v>
      </c>
      <c r="B114" s="5">
        <v>4281</v>
      </c>
      <c r="C114" s="1"/>
      <c r="D114" s="1"/>
      <c r="E114" s="1"/>
      <c r="F114" s="1"/>
    </row>
    <row r="115" spans="1:6" ht="15.75" x14ac:dyDescent="0.25">
      <c r="A115" s="19" t="s">
        <v>78</v>
      </c>
      <c r="B115" s="5">
        <v>4274</v>
      </c>
      <c r="C115" s="1"/>
      <c r="D115" s="1"/>
      <c r="E115" s="1"/>
      <c r="F115" s="1"/>
    </row>
    <row r="116" spans="1:6" ht="15.75" x14ac:dyDescent="0.25">
      <c r="A116" s="19" t="s">
        <v>54</v>
      </c>
      <c r="B116" s="5">
        <v>4220</v>
      </c>
      <c r="C116" s="1"/>
      <c r="D116" s="1"/>
      <c r="E116" s="1"/>
      <c r="F116" s="1"/>
    </row>
    <row r="117" spans="1:6" ht="15.75" x14ac:dyDescent="0.25">
      <c r="A117" s="19" t="s">
        <v>53</v>
      </c>
      <c r="B117" s="5">
        <v>4133</v>
      </c>
      <c r="C117" s="1"/>
      <c r="D117" s="1"/>
      <c r="E117" s="1"/>
      <c r="F117" s="1"/>
    </row>
    <row r="118" spans="1:6" ht="15.75" x14ac:dyDescent="0.25">
      <c r="A118" s="19" t="s">
        <v>26</v>
      </c>
      <c r="B118" s="5">
        <v>3939</v>
      </c>
      <c r="C118" s="1"/>
      <c r="D118" s="1"/>
      <c r="E118" s="1"/>
      <c r="F118" s="1"/>
    </row>
    <row r="119" spans="1:6" ht="15.75" x14ac:dyDescent="0.25">
      <c r="A119" s="19" t="s">
        <v>57</v>
      </c>
      <c r="B119" s="5">
        <v>3932</v>
      </c>
      <c r="C119" s="1"/>
      <c r="D119" s="1"/>
      <c r="E119" s="1"/>
      <c r="F119" s="1"/>
    </row>
    <row r="120" spans="1:6" ht="15.75" x14ac:dyDescent="0.25">
      <c r="A120" s="19" t="s">
        <v>12</v>
      </c>
      <c r="B120" s="5">
        <v>3815</v>
      </c>
      <c r="C120" s="1"/>
      <c r="D120" s="1"/>
      <c r="E120" s="1"/>
      <c r="F120" s="1"/>
    </row>
    <row r="121" spans="1:6" ht="15.75" x14ac:dyDescent="0.25">
      <c r="A121" s="19" t="s">
        <v>31</v>
      </c>
      <c r="B121" s="5">
        <v>3804</v>
      </c>
      <c r="C121" s="1"/>
      <c r="D121" s="1"/>
      <c r="E121" s="1"/>
      <c r="F121" s="1"/>
    </row>
    <row r="122" spans="1:6" ht="15.75" x14ac:dyDescent="0.25">
      <c r="A122" s="19" t="s">
        <v>36</v>
      </c>
      <c r="B122" s="5">
        <v>3798</v>
      </c>
      <c r="C122" s="1"/>
      <c r="D122" s="1"/>
      <c r="E122" s="1"/>
      <c r="F122" s="1"/>
    </row>
    <row r="123" spans="1:6" ht="15.75" x14ac:dyDescent="0.25">
      <c r="A123" s="19" t="s">
        <v>55</v>
      </c>
      <c r="B123" s="5">
        <v>3787</v>
      </c>
      <c r="C123" s="1"/>
      <c r="D123" s="1"/>
      <c r="E123" s="1"/>
      <c r="F123" s="1"/>
    </row>
    <row r="124" spans="1:6" ht="15.75" x14ac:dyDescent="0.25">
      <c r="A124" s="19" t="s">
        <v>42</v>
      </c>
      <c r="B124" s="5">
        <v>3759</v>
      </c>
      <c r="C124" s="1"/>
      <c r="D124" s="1"/>
      <c r="E124" s="1"/>
      <c r="F124" s="1"/>
    </row>
    <row r="125" spans="1:6" ht="15.75" x14ac:dyDescent="0.25">
      <c r="A125" s="19" t="s">
        <v>69</v>
      </c>
      <c r="B125" s="5">
        <v>3720</v>
      </c>
      <c r="C125" s="1"/>
      <c r="D125" s="1"/>
      <c r="E125" s="1"/>
      <c r="F125" s="1"/>
    </row>
    <row r="126" spans="1:6" ht="15.75" x14ac:dyDescent="0.25">
      <c r="A126" s="19" t="s">
        <v>45</v>
      </c>
      <c r="B126" s="5">
        <v>3675</v>
      </c>
      <c r="C126" s="1"/>
      <c r="D126" s="1"/>
      <c r="E126" s="1"/>
      <c r="F126" s="1"/>
    </row>
    <row r="127" spans="1:6" ht="15.75" x14ac:dyDescent="0.25">
      <c r="A127" s="19" t="s">
        <v>44</v>
      </c>
      <c r="B127" s="5">
        <v>3561</v>
      </c>
      <c r="C127" s="1"/>
      <c r="D127" s="1"/>
      <c r="E127" s="1"/>
      <c r="F127" s="1"/>
    </row>
    <row r="128" spans="1:6" ht="15.75" x14ac:dyDescent="0.25">
      <c r="A128" s="19" t="s">
        <v>68</v>
      </c>
      <c r="B128" s="5">
        <v>3472</v>
      </c>
      <c r="C128" s="1"/>
      <c r="D128" s="1"/>
      <c r="E128" s="1"/>
      <c r="F128" s="1"/>
    </row>
    <row r="129" spans="1:6" ht="15.75" x14ac:dyDescent="0.25">
      <c r="A129" s="19" t="s">
        <v>16</v>
      </c>
      <c r="B129" s="5">
        <v>3448</v>
      </c>
      <c r="C129" s="1"/>
      <c r="D129" s="1"/>
      <c r="E129" s="1"/>
      <c r="F129" s="1"/>
    </row>
    <row r="130" spans="1:6" ht="15.75" x14ac:dyDescent="0.25">
      <c r="A130" s="19" t="s">
        <v>15</v>
      </c>
      <c r="B130" s="5">
        <v>3385</v>
      </c>
      <c r="C130" s="1"/>
      <c r="D130" s="1"/>
      <c r="E130" s="1"/>
      <c r="F130" s="1"/>
    </row>
    <row r="131" spans="1:6" ht="15.75" x14ac:dyDescent="0.25">
      <c r="A131" s="19" t="s">
        <v>30</v>
      </c>
      <c r="B131" s="5">
        <v>3384</v>
      </c>
      <c r="C131" s="1"/>
      <c r="D131" s="1"/>
      <c r="E131" s="1"/>
      <c r="F131" s="1"/>
    </row>
    <row r="132" spans="1:6" ht="15.75" x14ac:dyDescent="0.25">
      <c r="A132" s="19" t="s">
        <v>41</v>
      </c>
      <c r="B132" s="5">
        <v>3368</v>
      </c>
      <c r="C132" s="1"/>
      <c r="D132" s="1"/>
      <c r="E132" s="1"/>
      <c r="F132" s="1"/>
    </row>
    <row r="133" spans="1:6" ht="15.75" x14ac:dyDescent="0.25">
      <c r="A133" s="19" t="s">
        <v>18</v>
      </c>
      <c r="B133" s="5">
        <v>3328</v>
      </c>
      <c r="C133" s="1"/>
      <c r="D133" s="1"/>
      <c r="E133" s="1"/>
      <c r="F133" s="1"/>
    </row>
    <row r="134" spans="1:6" ht="15.75" x14ac:dyDescent="0.25">
      <c r="A134" s="19" t="s">
        <v>21</v>
      </c>
      <c r="B134" s="5">
        <v>3253</v>
      </c>
      <c r="C134" s="1"/>
      <c r="D134" s="1"/>
      <c r="E134" s="1"/>
      <c r="F134" s="1"/>
    </row>
    <row r="135" spans="1:6" ht="15.75" x14ac:dyDescent="0.25">
      <c r="A135" s="19" t="s">
        <v>60</v>
      </c>
      <c r="B135" s="5">
        <v>3166</v>
      </c>
      <c r="C135" s="1"/>
      <c r="D135" s="1"/>
      <c r="E135" s="1"/>
      <c r="F135" s="1"/>
    </row>
    <row r="136" spans="1:6" ht="15.75" x14ac:dyDescent="0.25">
      <c r="A136" s="19" t="s">
        <v>27</v>
      </c>
      <c r="B136" s="5">
        <v>3141</v>
      </c>
      <c r="C136" s="1"/>
      <c r="D136" s="1"/>
      <c r="E136" s="1"/>
      <c r="F136" s="1"/>
    </row>
    <row r="137" spans="1:6" ht="15.75" x14ac:dyDescent="0.25">
      <c r="A137" s="19" t="s">
        <v>19</v>
      </c>
      <c r="B137" s="5">
        <v>3071</v>
      </c>
      <c r="C137" s="1"/>
      <c r="D137" s="1"/>
      <c r="E137" s="1"/>
      <c r="F137" s="1"/>
    </row>
    <row r="138" spans="1:6" ht="15.75" x14ac:dyDescent="0.25">
      <c r="A138" s="21" t="s">
        <v>35</v>
      </c>
      <c r="B138" s="5">
        <v>2931</v>
      </c>
      <c r="C138" s="1"/>
      <c r="D138" s="1"/>
      <c r="E138" s="1"/>
      <c r="F138" s="1"/>
    </row>
    <row r="139" spans="1:6" ht="15.75" x14ac:dyDescent="0.25">
      <c r="A139" s="19" t="s">
        <v>20</v>
      </c>
      <c r="B139" s="5">
        <v>2882</v>
      </c>
      <c r="C139" s="1"/>
      <c r="D139" s="1"/>
      <c r="E139" s="1"/>
      <c r="F139" s="1"/>
    </row>
    <row r="140" spans="1:6" ht="15.75" x14ac:dyDescent="0.25">
      <c r="A140" s="19" t="s">
        <v>28</v>
      </c>
      <c r="B140" s="5">
        <v>2816</v>
      </c>
      <c r="C140" s="1"/>
      <c r="D140" s="1"/>
      <c r="E140" s="1"/>
      <c r="F140" s="1"/>
    </row>
    <row r="141" spans="1:6" ht="15.75" x14ac:dyDescent="0.25">
      <c r="A141" s="19" t="s">
        <v>17</v>
      </c>
      <c r="B141" s="5">
        <v>2790</v>
      </c>
      <c r="C141" s="1"/>
      <c r="D141" s="1"/>
      <c r="E141" s="1"/>
      <c r="F141" s="1"/>
    </row>
    <row r="142" spans="1:6" ht="15.75" x14ac:dyDescent="0.25">
      <c r="A142" s="19" t="s">
        <v>11</v>
      </c>
      <c r="B142" s="5">
        <v>2710</v>
      </c>
      <c r="C142" s="1"/>
      <c r="D142" s="1"/>
      <c r="E142" s="1"/>
      <c r="F142" s="1"/>
    </row>
    <row r="143" spans="1:6" ht="15.75" x14ac:dyDescent="0.25">
      <c r="A143" s="19" t="s">
        <v>43</v>
      </c>
      <c r="B143" s="5">
        <v>2649</v>
      </c>
      <c r="C143" s="1"/>
      <c r="D143" s="1"/>
      <c r="E143" s="1"/>
      <c r="F143" s="1"/>
    </row>
    <row r="144" spans="1:6" ht="15.75" x14ac:dyDescent="0.25">
      <c r="A144" s="19" t="s">
        <v>39</v>
      </c>
      <c r="B144" s="5">
        <v>2607</v>
      </c>
      <c r="C144" s="1"/>
      <c r="D144" s="1"/>
      <c r="E144" s="1"/>
      <c r="F144" s="1"/>
    </row>
    <row r="145" spans="1:6" ht="15.75" x14ac:dyDescent="0.25">
      <c r="A145" s="19" t="s">
        <v>14</v>
      </c>
      <c r="B145" s="5">
        <v>2513</v>
      </c>
      <c r="C145" s="1"/>
      <c r="D145" s="1"/>
      <c r="E145" s="1"/>
      <c r="F145" s="1"/>
    </row>
    <row r="146" spans="1:6" ht="15.75" x14ac:dyDescent="0.25">
      <c r="A146" s="19" t="s">
        <v>46</v>
      </c>
      <c r="B146" s="5">
        <v>2343</v>
      </c>
      <c r="C146" s="1"/>
      <c r="D146" s="1"/>
      <c r="E146" s="1"/>
      <c r="F146" s="1"/>
    </row>
    <row r="147" spans="1:6" ht="15.75" x14ac:dyDescent="0.25">
      <c r="A147" s="19" t="s">
        <v>40</v>
      </c>
      <c r="B147" s="5">
        <v>2241</v>
      </c>
      <c r="C147" s="1"/>
      <c r="D147" s="1"/>
      <c r="E147" s="1"/>
      <c r="F147" s="1"/>
    </row>
    <row r="148" spans="1:6" ht="15.75" x14ac:dyDescent="0.25">
      <c r="A148" s="19" t="s">
        <v>32</v>
      </c>
      <c r="B148" s="5">
        <v>2171</v>
      </c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</row>
  </sheetData>
  <sortState ref="A81:B148">
    <sortCondition descending="1" ref="B81:B148"/>
  </sortState>
  <pageMargins left="0.7" right="0.7" top="0.75" bottom="0.75" header="0.3" footer="0.3"/>
  <pageSetup paperSize="9" scale="9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61" workbookViewId="0">
      <selection activeCell="E8" sqref="E8"/>
    </sheetView>
  </sheetViews>
  <sheetFormatPr defaultRowHeight="15" x14ac:dyDescent="0.25"/>
  <cols>
    <col min="1" max="1" width="53" customWidth="1"/>
    <col min="2" max="2" width="8.42578125" style="16" customWidth="1"/>
    <col min="3" max="3" width="8.85546875" style="14" customWidth="1"/>
    <col min="4" max="4" width="8" style="16" customWidth="1"/>
    <col min="5" max="5" width="8.7109375" style="14" customWidth="1"/>
    <col min="6" max="6" width="8.28515625" style="16" customWidth="1"/>
    <col min="7" max="7" width="11.42578125" style="14" customWidth="1"/>
    <col min="8" max="8" width="9" style="16" customWidth="1"/>
    <col min="9" max="9" width="7.28515625" style="14" customWidth="1"/>
    <col min="11" max="11" width="9.140625" style="16"/>
    <col min="13" max="13" width="10.140625" bestFit="1" customWidth="1"/>
  </cols>
  <sheetData>
    <row r="1" spans="1:13" x14ac:dyDescent="0.25">
      <c r="A1" s="15"/>
      <c r="B1" s="22" t="s">
        <v>5</v>
      </c>
      <c r="C1" s="22"/>
      <c r="D1" s="22" t="s">
        <v>6</v>
      </c>
      <c r="E1" s="22"/>
      <c r="F1" s="22" t="s">
        <v>7</v>
      </c>
      <c r="G1" s="22"/>
      <c r="H1" s="22" t="s">
        <v>8</v>
      </c>
      <c r="I1" s="22"/>
      <c r="J1" s="15"/>
      <c r="K1" s="23" t="s">
        <v>9</v>
      </c>
      <c r="L1" s="24"/>
    </row>
    <row r="2" spans="1:13" s="14" customFormat="1" x14ac:dyDescent="0.25">
      <c r="A2" s="15"/>
      <c r="B2" s="17">
        <v>2020</v>
      </c>
      <c r="C2" s="15">
        <v>2019</v>
      </c>
      <c r="D2" s="17">
        <v>2020</v>
      </c>
      <c r="E2" s="15">
        <v>2019</v>
      </c>
      <c r="F2" s="17">
        <v>2020</v>
      </c>
      <c r="G2" s="15">
        <v>2019</v>
      </c>
      <c r="H2" s="17">
        <v>2020</v>
      </c>
      <c r="I2" s="15">
        <v>2019</v>
      </c>
      <c r="J2" s="15"/>
      <c r="K2" s="17">
        <v>2020</v>
      </c>
      <c r="L2" s="15">
        <v>2019</v>
      </c>
    </row>
    <row r="3" spans="1:13" ht="15.75" customHeight="1" x14ac:dyDescent="0.25">
      <c r="A3" s="15" t="s">
        <v>11</v>
      </c>
      <c r="B3" s="17">
        <v>14</v>
      </c>
      <c r="C3" s="15">
        <v>33</v>
      </c>
      <c r="D3" s="17">
        <v>1849</v>
      </c>
      <c r="E3" s="15">
        <v>1098</v>
      </c>
      <c r="F3" s="17">
        <v>472</v>
      </c>
      <c r="G3" s="15">
        <v>556</v>
      </c>
      <c r="H3" s="17">
        <v>375</v>
      </c>
      <c r="I3" s="15">
        <v>182</v>
      </c>
      <c r="J3" s="15"/>
      <c r="K3" s="17">
        <v>2710</v>
      </c>
      <c r="L3" s="15">
        <v>1869</v>
      </c>
      <c r="M3" s="18">
        <f>((K3-L3)/L3)*100</f>
        <v>44.997324772605673</v>
      </c>
    </row>
    <row r="4" spans="1:13" x14ac:dyDescent="0.25">
      <c r="A4" s="15" t="s">
        <v>12</v>
      </c>
      <c r="B4" s="17">
        <v>21</v>
      </c>
      <c r="C4" s="15">
        <v>24</v>
      </c>
      <c r="D4" s="17">
        <v>2771</v>
      </c>
      <c r="E4" s="15">
        <v>2032</v>
      </c>
      <c r="F4" s="17">
        <v>559</v>
      </c>
      <c r="G4" s="15">
        <v>758</v>
      </c>
      <c r="H4" s="17">
        <v>464</v>
      </c>
      <c r="I4" s="15">
        <v>419</v>
      </c>
      <c r="J4" s="15"/>
      <c r="K4" s="17">
        <v>3815</v>
      </c>
      <c r="L4" s="15">
        <v>3233</v>
      </c>
      <c r="M4" s="18">
        <f>((K4-L4)/L4)*100</f>
        <v>18.001855861429014</v>
      </c>
    </row>
    <row r="5" spans="1:13" x14ac:dyDescent="0.25">
      <c r="A5" s="15" t="s">
        <v>13</v>
      </c>
      <c r="B5" s="17">
        <v>13</v>
      </c>
      <c r="C5" s="15">
        <v>31</v>
      </c>
      <c r="D5" s="17">
        <v>3125</v>
      </c>
      <c r="E5" s="15">
        <v>2084</v>
      </c>
      <c r="F5" s="17">
        <v>533</v>
      </c>
      <c r="G5" s="15">
        <v>788</v>
      </c>
      <c r="H5" s="17">
        <v>707</v>
      </c>
      <c r="I5" s="15">
        <v>715</v>
      </c>
      <c r="J5" s="15"/>
      <c r="K5" s="17">
        <v>4378</v>
      </c>
      <c r="L5" s="15">
        <v>3618</v>
      </c>
      <c r="M5" s="18">
        <f>((K5-L5)/L5)*100</f>
        <v>21.006080707573243</v>
      </c>
    </row>
    <row r="6" spans="1:13" x14ac:dyDescent="0.25">
      <c r="A6" s="15" t="s">
        <v>14</v>
      </c>
      <c r="B6" s="17">
        <v>27</v>
      </c>
      <c r="C6" s="15">
        <v>23</v>
      </c>
      <c r="D6" s="17">
        <v>1431</v>
      </c>
      <c r="E6" s="15">
        <v>1127</v>
      </c>
      <c r="F6" s="17">
        <v>743</v>
      </c>
      <c r="G6" s="15">
        <v>881</v>
      </c>
      <c r="H6" s="17">
        <v>312</v>
      </c>
      <c r="I6" s="15">
        <v>187</v>
      </c>
      <c r="J6" s="15"/>
      <c r="K6" s="17">
        <v>2513</v>
      </c>
      <c r="L6" s="15">
        <v>2218</v>
      </c>
      <c r="M6" s="18">
        <f>((K6-L6)/L6)*100</f>
        <v>13.300270513976557</v>
      </c>
    </row>
    <row r="7" spans="1:13" x14ac:dyDescent="0.25">
      <c r="A7" s="15" t="s">
        <v>15</v>
      </c>
      <c r="B7" s="17">
        <v>16</v>
      </c>
      <c r="C7" s="15">
        <v>20</v>
      </c>
      <c r="D7" s="17">
        <v>2079</v>
      </c>
      <c r="E7" s="15">
        <v>1182</v>
      </c>
      <c r="F7" s="17">
        <v>1128</v>
      </c>
      <c r="G7" s="15">
        <v>1292</v>
      </c>
      <c r="H7" s="17">
        <v>162</v>
      </c>
      <c r="I7" s="15">
        <v>147</v>
      </c>
      <c r="J7" s="15"/>
      <c r="K7" s="17">
        <v>3385</v>
      </c>
      <c r="L7" s="15">
        <v>2641</v>
      </c>
      <c r="M7" s="18">
        <f>((K7-L7)/L7)*100</f>
        <v>28.171147292692162</v>
      </c>
    </row>
    <row r="8" spans="1:13" x14ac:dyDescent="0.25">
      <c r="A8" s="15" t="s">
        <v>16</v>
      </c>
      <c r="B8" s="17">
        <v>12</v>
      </c>
      <c r="C8" s="15">
        <v>24</v>
      </c>
      <c r="D8" s="17">
        <v>1507</v>
      </c>
      <c r="E8" s="15">
        <v>960</v>
      </c>
      <c r="F8" s="17">
        <v>1565</v>
      </c>
      <c r="G8" s="15">
        <v>1492</v>
      </c>
      <c r="H8" s="17">
        <v>364</v>
      </c>
      <c r="I8" s="15">
        <v>218</v>
      </c>
      <c r="J8" s="15"/>
      <c r="K8" s="17">
        <v>3448</v>
      </c>
      <c r="L8" s="15">
        <v>2694</v>
      </c>
      <c r="M8" s="18">
        <f>((K8-L8)/L8)*100</f>
        <v>27.988121752041572</v>
      </c>
    </row>
    <row r="9" spans="1:13" x14ac:dyDescent="0.25">
      <c r="A9" s="15" t="s">
        <v>17</v>
      </c>
      <c r="B9" s="17">
        <v>26</v>
      </c>
      <c r="C9" s="15">
        <v>43</v>
      </c>
      <c r="D9" s="17">
        <v>1900</v>
      </c>
      <c r="E9" s="15">
        <v>1213</v>
      </c>
      <c r="F9" s="17">
        <v>615</v>
      </c>
      <c r="G9" s="15">
        <v>773</v>
      </c>
      <c r="H9" s="17">
        <v>249</v>
      </c>
      <c r="I9" s="15">
        <v>199</v>
      </c>
      <c r="J9" s="15"/>
      <c r="K9" s="17">
        <v>2790</v>
      </c>
      <c r="L9" s="15">
        <v>2228</v>
      </c>
      <c r="M9" s="18">
        <f>((K9-L9)/L9)*100</f>
        <v>25.224416517055655</v>
      </c>
    </row>
    <row r="10" spans="1:13" x14ac:dyDescent="0.25">
      <c r="A10" s="15" t="s">
        <v>18</v>
      </c>
      <c r="B10" s="17">
        <v>26</v>
      </c>
      <c r="C10" s="15">
        <v>26</v>
      </c>
      <c r="D10" s="17">
        <v>2304</v>
      </c>
      <c r="E10" s="15">
        <v>1302</v>
      </c>
      <c r="F10" s="17">
        <v>742</v>
      </c>
      <c r="G10" s="15">
        <v>885</v>
      </c>
      <c r="H10" s="17">
        <v>256</v>
      </c>
      <c r="I10" s="15">
        <v>187</v>
      </c>
      <c r="J10" s="15"/>
      <c r="K10" s="17">
        <v>3328</v>
      </c>
      <c r="L10" s="15">
        <v>2400</v>
      </c>
      <c r="M10" s="18">
        <f>((K10-L10)/L10)*100</f>
        <v>38.666666666666664</v>
      </c>
    </row>
    <row r="11" spans="1:13" x14ac:dyDescent="0.25">
      <c r="A11" s="15" t="s">
        <v>19</v>
      </c>
      <c r="B11" s="17">
        <v>47</v>
      </c>
      <c r="C11" s="15">
        <v>37</v>
      </c>
      <c r="D11" s="17">
        <v>1790</v>
      </c>
      <c r="E11" s="15">
        <v>1918</v>
      </c>
      <c r="F11" s="17">
        <v>1072</v>
      </c>
      <c r="G11" s="15">
        <v>1262</v>
      </c>
      <c r="H11" s="17">
        <v>162</v>
      </c>
      <c r="I11" s="15">
        <v>207</v>
      </c>
      <c r="J11" s="15"/>
      <c r="K11" s="17">
        <v>3071</v>
      </c>
      <c r="L11" s="15">
        <v>3424</v>
      </c>
      <c r="M11" s="18">
        <f>((K11-L11)/L11)*100</f>
        <v>-10.309579439252337</v>
      </c>
    </row>
    <row r="12" spans="1:13" x14ac:dyDescent="0.25">
      <c r="A12" s="15" t="s">
        <v>20</v>
      </c>
      <c r="B12" s="17">
        <v>29</v>
      </c>
      <c r="C12" s="15">
        <v>24</v>
      </c>
      <c r="D12" s="17">
        <v>1725</v>
      </c>
      <c r="E12" s="15">
        <v>1296</v>
      </c>
      <c r="F12" s="17">
        <v>871</v>
      </c>
      <c r="G12" s="15">
        <v>996</v>
      </c>
      <c r="H12" s="17">
        <v>257</v>
      </c>
      <c r="I12" s="15">
        <v>227</v>
      </c>
      <c r="J12" s="15"/>
      <c r="K12" s="17">
        <v>2882</v>
      </c>
      <c r="L12" s="15">
        <v>2543</v>
      </c>
      <c r="M12" s="18">
        <f>((K12-L12)/L12)*100</f>
        <v>13.330711757766418</v>
      </c>
    </row>
    <row r="13" spans="1:13" x14ac:dyDescent="0.25">
      <c r="A13" s="15" t="s">
        <v>21</v>
      </c>
      <c r="B13" s="17">
        <v>22</v>
      </c>
      <c r="C13" s="15">
        <v>26</v>
      </c>
      <c r="D13" s="17">
        <v>2104</v>
      </c>
      <c r="E13" s="15">
        <v>1581</v>
      </c>
      <c r="F13" s="17">
        <v>916</v>
      </c>
      <c r="G13" s="15">
        <v>944</v>
      </c>
      <c r="H13" s="17">
        <v>211</v>
      </c>
      <c r="I13" s="15">
        <v>177</v>
      </c>
      <c r="J13" s="15"/>
      <c r="K13" s="17">
        <v>3253</v>
      </c>
      <c r="L13" s="15">
        <v>2728</v>
      </c>
      <c r="M13" s="18">
        <f>((K13-L13)/L13)*100</f>
        <v>19.244868035190617</v>
      </c>
    </row>
    <row r="14" spans="1:13" x14ac:dyDescent="0.25">
      <c r="A14" s="15" t="s">
        <v>22</v>
      </c>
      <c r="B14" s="17">
        <v>34</v>
      </c>
      <c r="C14" s="15">
        <v>40</v>
      </c>
      <c r="D14" s="17">
        <v>3952</v>
      </c>
      <c r="E14" s="15">
        <v>3692</v>
      </c>
      <c r="F14" s="17">
        <v>985</v>
      </c>
      <c r="G14" s="15">
        <v>1011</v>
      </c>
      <c r="H14" s="17">
        <v>448</v>
      </c>
      <c r="I14" s="15">
        <v>429</v>
      </c>
      <c r="J14" s="15"/>
      <c r="K14" s="17">
        <v>5419</v>
      </c>
      <c r="L14" s="15">
        <v>5172</v>
      </c>
      <c r="M14" s="18">
        <f>((K14-L14)/L14)*100</f>
        <v>4.7757153905645788</v>
      </c>
    </row>
    <row r="15" spans="1:13" x14ac:dyDescent="0.25">
      <c r="A15" s="15" t="s">
        <v>23</v>
      </c>
      <c r="B15" s="17">
        <v>35</v>
      </c>
      <c r="C15" s="15">
        <v>33</v>
      </c>
      <c r="D15" s="17">
        <v>3242</v>
      </c>
      <c r="E15" s="15">
        <v>3372</v>
      </c>
      <c r="F15" s="17">
        <v>958</v>
      </c>
      <c r="G15" s="15">
        <v>1118</v>
      </c>
      <c r="H15" s="17">
        <v>462</v>
      </c>
      <c r="I15" s="15">
        <v>593</v>
      </c>
      <c r="J15" s="15"/>
      <c r="K15" s="17">
        <v>4697</v>
      </c>
      <c r="L15" s="15">
        <v>5116</v>
      </c>
      <c r="M15" s="18">
        <f>((K15-L15)/L15)*100</f>
        <v>-8.1899921813917125</v>
      </c>
    </row>
    <row r="16" spans="1:13" x14ac:dyDescent="0.25">
      <c r="A16" s="15" t="s">
        <v>24</v>
      </c>
      <c r="B16" s="17">
        <v>32</v>
      </c>
      <c r="C16" s="15">
        <v>53</v>
      </c>
      <c r="D16" s="17">
        <v>4116</v>
      </c>
      <c r="E16" s="15">
        <v>2702</v>
      </c>
      <c r="F16" s="17">
        <v>963</v>
      </c>
      <c r="G16" s="15">
        <v>1214</v>
      </c>
      <c r="H16" s="17">
        <v>295</v>
      </c>
      <c r="I16" s="15">
        <v>475</v>
      </c>
      <c r="J16" s="15"/>
      <c r="K16" s="17">
        <v>5406</v>
      </c>
      <c r="L16" s="15">
        <v>4444</v>
      </c>
      <c r="M16" s="18">
        <f>((K16-L16)/L16)*100</f>
        <v>21.647164716471647</v>
      </c>
    </row>
    <row r="17" spans="1:13" x14ac:dyDescent="0.25">
      <c r="A17" s="15" t="s">
        <v>25</v>
      </c>
      <c r="B17" s="17">
        <v>46</v>
      </c>
      <c r="C17" s="15">
        <v>45</v>
      </c>
      <c r="D17" s="17">
        <v>3270</v>
      </c>
      <c r="E17" s="15">
        <v>2753</v>
      </c>
      <c r="F17" s="17">
        <v>994</v>
      </c>
      <c r="G17" s="15">
        <v>1237</v>
      </c>
      <c r="H17" s="17">
        <v>218</v>
      </c>
      <c r="I17" s="15">
        <v>359</v>
      </c>
      <c r="J17" s="15"/>
      <c r="K17" s="17">
        <v>4528</v>
      </c>
      <c r="L17" s="15">
        <v>4394</v>
      </c>
      <c r="M17" s="18">
        <f>((K17-L17)/L17)*100</f>
        <v>3.0496131087847065</v>
      </c>
    </row>
    <row r="18" spans="1:13" x14ac:dyDescent="0.25">
      <c r="A18" s="15" t="s">
        <v>26</v>
      </c>
      <c r="B18" s="17">
        <v>39</v>
      </c>
      <c r="C18" s="15">
        <v>40</v>
      </c>
      <c r="D18" s="17">
        <v>2622</v>
      </c>
      <c r="E18" s="15">
        <v>1619</v>
      </c>
      <c r="F18" s="17">
        <v>1122</v>
      </c>
      <c r="G18" s="15">
        <v>1389</v>
      </c>
      <c r="H18" s="17">
        <v>156</v>
      </c>
      <c r="I18" s="15">
        <v>201</v>
      </c>
      <c r="J18" s="15"/>
      <c r="K18" s="17">
        <v>3939</v>
      </c>
      <c r="L18" s="15">
        <v>3249</v>
      </c>
      <c r="M18" s="18">
        <f>((K18-L18)/L18)*100</f>
        <v>21.237303785780242</v>
      </c>
    </row>
    <row r="19" spans="1:13" x14ac:dyDescent="0.25">
      <c r="A19" s="15" t="s">
        <v>27</v>
      </c>
      <c r="B19" s="17">
        <v>23</v>
      </c>
      <c r="C19" s="15">
        <v>32</v>
      </c>
      <c r="D19" s="17">
        <v>1555</v>
      </c>
      <c r="E19" s="15">
        <v>1547</v>
      </c>
      <c r="F19" s="17">
        <v>833</v>
      </c>
      <c r="G19" s="15">
        <v>968</v>
      </c>
      <c r="H19" s="17">
        <v>730</v>
      </c>
      <c r="I19" s="15">
        <v>597</v>
      </c>
      <c r="J19" s="15"/>
      <c r="K19" s="17">
        <v>3141</v>
      </c>
      <c r="L19" s="15">
        <v>3144</v>
      </c>
      <c r="M19" s="18">
        <f>((K19-L19)/L19)*100</f>
        <v>-9.5419847328244267E-2</v>
      </c>
    </row>
    <row r="20" spans="1:13" x14ac:dyDescent="0.25">
      <c r="A20" s="15" t="s">
        <v>28</v>
      </c>
      <c r="B20" s="17">
        <v>33</v>
      </c>
      <c r="C20" s="15">
        <v>23</v>
      </c>
      <c r="D20" s="17">
        <v>1772</v>
      </c>
      <c r="E20" s="15">
        <v>839</v>
      </c>
      <c r="F20" s="17">
        <v>747</v>
      </c>
      <c r="G20" s="15">
        <v>766</v>
      </c>
      <c r="H20" s="17">
        <v>264</v>
      </c>
      <c r="I20" s="15">
        <v>127</v>
      </c>
      <c r="J20" s="15"/>
      <c r="K20" s="17">
        <v>2816</v>
      </c>
      <c r="L20" s="15">
        <v>1755</v>
      </c>
      <c r="M20" s="18">
        <f>((K20-L20)/L20)*100</f>
        <v>60.455840455840459</v>
      </c>
    </row>
    <row r="21" spans="1:13" x14ac:dyDescent="0.25">
      <c r="A21" s="15" t="s">
        <v>29</v>
      </c>
      <c r="B21" s="17">
        <v>51</v>
      </c>
      <c r="C21" s="15">
        <v>59</v>
      </c>
      <c r="D21" s="17">
        <v>2655</v>
      </c>
      <c r="E21" s="15">
        <v>2948</v>
      </c>
      <c r="F21" s="17">
        <v>1284</v>
      </c>
      <c r="G21" s="15">
        <v>1507</v>
      </c>
      <c r="H21" s="17">
        <v>424</v>
      </c>
      <c r="I21" s="15">
        <v>717</v>
      </c>
      <c r="J21" s="15"/>
      <c r="K21" s="17">
        <v>4414</v>
      </c>
      <c r="L21" s="15">
        <v>5231</v>
      </c>
      <c r="M21" s="18">
        <f>((K21-L21)/L21)*100</f>
        <v>-15.618428598738291</v>
      </c>
    </row>
    <row r="22" spans="1:13" x14ac:dyDescent="0.25">
      <c r="A22" s="15" t="s">
        <v>30</v>
      </c>
      <c r="B22" s="17">
        <v>23</v>
      </c>
      <c r="C22" s="8">
        <v>34</v>
      </c>
      <c r="D22" s="17">
        <v>2146</v>
      </c>
      <c r="E22" s="15">
        <v>1343</v>
      </c>
      <c r="F22" s="17">
        <v>839</v>
      </c>
      <c r="G22" s="15">
        <v>1193</v>
      </c>
      <c r="H22" s="17">
        <v>376</v>
      </c>
      <c r="I22" s="15">
        <v>233</v>
      </c>
      <c r="J22" s="15"/>
      <c r="K22" s="17">
        <v>3384</v>
      </c>
      <c r="L22" s="15">
        <v>2803</v>
      </c>
      <c r="M22" s="18">
        <f>((K22-L22)/L22)*100</f>
        <v>20.727791651801642</v>
      </c>
    </row>
    <row r="23" spans="1:13" x14ac:dyDescent="0.25">
      <c r="A23" s="15" t="s">
        <v>31</v>
      </c>
      <c r="B23" s="17">
        <v>25</v>
      </c>
      <c r="C23" s="8">
        <v>34</v>
      </c>
      <c r="D23" s="17">
        <v>2650</v>
      </c>
      <c r="E23" s="15">
        <v>1546</v>
      </c>
      <c r="F23" s="17">
        <v>913</v>
      </c>
      <c r="G23" s="15">
        <v>1220</v>
      </c>
      <c r="H23" s="17">
        <v>216</v>
      </c>
      <c r="I23" s="15">
        <v>227</v>
      </c>
      <c r="J23" s="15"/>
      <c r="K23" s="17">
        <v>3804</v>
      </c>
      <c r="L23" s="15">
        <v>3027</v>
      </c>
      <c r="M23" s="18">
        <f>((K23-L23)/L23)*100</f>
        <v>25.668979187314171</v>
      </c>
    </row>
    <row r="24" spans="1:13" x14ac:dyDescent="0.25">
      <c r="A24" s="15" t="s">
        <v>32</v>
      </c>
      <c r="B24" s="17">
        <v>11</v>
      </c>
      <c r="C24" s="8">
        <v>22</v>
      </c>
      <c r="D24" s="17">
        <v>1514</v>
      </c>
      <c r="E24" s="15">
        <v>1179</v>
      </c>
      <c r="F24" s="17">
        <v>459</v>
      </c>
      <c r="G24" s="15">
        <v>483</v>
      </c>
      <c r="H24" s="17">
        <v>187</v>
      </c>
      <c r="I24" s="15">
        <v>181</v>
      </c>
      <c r="J24" s="15"/>
      <c r="K24" s="17">
        <v>2171</v>
      </c>
      <c r="L24" s="15">
        <v>1865</v>
      </c>
      <c r="M24" s="18">
        <f>((K24-L24)/L24)*100</f>
        <v>16.407506702412871</v>
      </c>
    </row>
    <row r="25" spans="1:13" x14ac:dyDescent="0.25">
      <c r="A25" s="15" t="s">
        <v>33</v>
      </c>
      <c r="B25" s="17">
        <v>37</v>
      </c>
      <c r="C25" s="15">
        <v>47</v>
      </c>
      <c r="D25" s="17">
        <v>3201</v>
      </c>
      <c r="E25" s="15">
        <v>1943</v>
      </c>
      <c r="F25" s="17">
        <v>1152</v>
      </c>
      <c r="G25" s="15">
        <v>1121</v>
      </c>
      <c r="H25" s="17">
        <v>133</v>
      </c>
      <c r="I25" s="15">
        <v>147</v>
      </c>
      <c r="J25" s="15"/>
      <c r="K25" s="17">
        <v>4523</v>
      </c>
      <c r="L25" s="15">
        <v>3258</v>
      </c>
      <c r="M25" s="18">
        <f>((K25-L25)/L25)*100</f>
        <v>38.827501534683854</v>
      </c>
    </row>
    <row r="26" spans="1:13" x14ac:dyDescent="0.25">
      <c r="A26" s="15" t="s">
        <v>34</v>
      </c>
      <c r="B26" s="17">
        <v>37</v>
      </c>
      <c r="C26" s="15">
        <v>35</v>
      </c>
      <c r="D26" s="17">
        <v>3115</v>
      </c>
      <c r="E26" s="15">
        <v>2522</v>
      </c>
      <c r="F26" s="17">
        <v>1404</v>
      </c>
      <c r="G26" s="15">
        <v>1583</v>
      </c>
      <c r="H26" s="17">
        <v>141</v>
      </c>
      <c r="I26" s="15">
        <v>211</v>
      </c>
      <c r="J26" s="15"/>
      <c r="K26" s="17">
        <v>4697</v>
      </c>
      <c r="L26" s="15">
        <v>4351</v>
      </c>
      <c r="M26" s="18">
        <f>((K26-L26)/L26)*100</f>
        <v>7.9521948977246613</v>
      </c>
    </row>
    <row r="27" spans="1:13" x14ac:dyDescent="0.25">
      <c r="A27" s="15" t="s">
        <v>35</v>
      </c>
      <c r="B27" s="17">
        <v>16</v>
      </c>
      <c r="C27" s="15">
        <v>20</v>
      </c>
      <c r="D27" s="17">
        <v>2013</v>
      </c>
      <c r="E27" s="15">
        <v>1475</v>
      </c>
      <c r="F27" s="17">
        <v>827</v>
      </c>
      <c r="G27" s="15">
        <v>1031</v>
      </c>
      <c r="H27" s="17">
        <v>75</v>
      </c>
      <c r="I27" s="15">
        <v>98</v>
      </c>
      <c r="J27" s="15"/>
      <c r="K27" s="17">
        <v>2931</v>
      </c>
      <c r="L27" s="15">
        <v>2624</v>
      </c>
      <c r="M27" s="18">
        <f>((K27-L27)/L27)*100</f>
        <v>11.699695121951221</v>
      </c>
    </row>
    <row r="28" spans="1:13" x14ac:dyDescent="0.25">
      <c r="A28" s="15" t="s">
        <v>36</v>
      </c>
      <c r="B28" s="17">
        <v>21</v>
      </c>
      <c r="C28" s="15">
        <v>26</v>
      </c>
      <c r="D28" s="17">
        <v>2361</v>
      </c>
      <c r="E28" s="15">
        <v>1848</v>
      </c>
      <c r="F28" s="17">
        <v>1137</v>
      </c>
      <c r="G28" s="15">
        <v>1414</v>
      </c>
      <c r="H28" s="17">
        <v>279</v>
      </c>
      <c r="I28" s="15">
        <v>139</v>
      </c>
      <c r="J28" s="15"/>
      <c r="K28" s="17">
        <v>3798</v>
      </c>
      <c r="L28" s="15">
        <v>3427</v>
      </c>
      <c r="M28" s="18">
        <f>((K28-L28)/L28)*100</f>
        <v>10.82579515611322</v>
      </c>
    </row>
    <row r="29" spans="1:13" x14ac:dyDescent="0.25">
      <c r="A29" s="15" t="s">
        <v>37</v>
      </c>
      <c r="B29" s="17">
        <v>24</v>
      </c>
      <c r="C29" s="15">
        <v>34</v>
      </c>
      <c r="D29" s="17">
        <v>2804</v>
      </c>
      <c r="E29" s="15">
        <v>2084</v>
      </c>
      <c r="F29" s="17">
        <v>1320</v>
      </c>
      <c r="G29" s="15">
        <v>1672</v>
      </c>
      <c r="H29" s="17">
        <v>204</v>
      </c>
      <c r="I29" s="15">
        <v>127</v>
      </c>
      <c r="J29" s="15"/>
      <c r="K29" s="17">
        <v>4352</v>
      </c>
      <c r="L29" s="15">
        <v>3917</v>
      </c>
      <c r="M29" s="18">
        <f>((K29-L29)/L29)*100</f>
        <v>11.105437835077865</v>
      </c>
    </row>
    <row r="30" spans="1:13" x14ac:dyDescent="0.25">
      <c r="A30" s="15" t="s">
        <v>38</v>
      </c>
      <c r="B30" s="17">
        <v>13</v>
      </c>
      <c r="C30" s="15">
        <v>33</v>
      </c>
      <c r="D30" s="17">
        <v>3192</v>
      </c>
      <c r="E30" s="15">
        <v>2923</v>
      </c>
      <c r="F30" s="17">
        <v>1217</v>
      </c>
      <c r="G30" s="15">
        <v>1617</v>
      </c>
      <c r="H30" s="17">
        <v>254</v>
      </c>
      <c r="I30" s="15">
        <v>162</v>
      </c>
      <c r="J30" s="15"/>
      <c r="K30" s="17">
        <v>4676</v>
      </c>
      <c r="L30" s="15">
        <v>4735</v>
      </c>
      <c r="M30" s="18">
        <f>((K30-L30)/L30)*100</f>
        <v>-1.2460401267159451</v>
      </c>
    </row>
    <row r="31" spans="1:13" x14ac:dyDescent="0.25">
      <c r="A31" s="15" t="s">
        <v>39</v>
      </c>
      <c r="B31" s="17">
        <v>15</v>
      </c>
      <c r="C31" s="15">
        <v>27</v>
      </c>
      <c r="D31" s="17">
        <v>1721</v>
      </c>
      <c r="E31" s="15">
        <v>871</v>
      </c>
      <c r="F31" s="17">
        <v>618</v>
      </c>
      <c r="G31" s="15">
        <v>765</v>
      </c>
      <c r="H31" s="17">
        <v>253</v>
      </c>
      <c r="I31" s="15">
        <v>152</v>
      </c>
      <c r="J31" s="15"/>
      <c r="K31" s="17">
        <v>2607</v>
      </c>
      <c r="L31" s="15">
        <v>1815</v>
      </c>
      <c r="M31" s="18">
        <f>((K31-L31)/L31)*100</f>
        <v>43.636363636363633</v>
      </c>
    </row>
    <row r="32" spans="1:13" x14ac:dyDescent="0.25">
      <c r="A32" s="15" t="s">
        <v>40</v>
      </c>
      <c r="B32" s="17">
        <v>12</v>
      </c>
      <c r="C32" s="15">
        <v>7</v>
      </c>
      <c r="D32" s="17">
        <v>1624</v>
      </c>
      <c r="E32" s="15">
        <v>766</v>
      </c>
      <c r="F32" s="17">
        <v>470</v>
      </c>
      <c r="G32" s="15">
        <v>487</v>
      </c>
      <c r="H32" s="17">
        <v>135</v>
      </c>
      <c r="I32" s="15">
        <v>89</v>
      </c>
      <c r="J32" s="15"/>
      <c r="K32" s="17">
        <v>2241</v>
      </c>
      <c r="L32" s="15">
        <v>1349</v>
      </c>
      <c r="M32" s="18">
        <f>((K32-L32)/L32)*100</f>
        <v>66.123054114158634</v>
      </c>
    </row>
    <row r="33" spans="1:13" x14ac:dyDescent="0.25">
      <c r="A33" s="15" t="s">
        <v>41</v>
      </c>
      <c r="B33" s="17">
        <v>18</v>
      </c>
      <c r="C33" s="15">
        <v>19</v>
      </c>
      <c r="D33" s="17">
        <v>2166</v>
      </c>
      <c r="E33" s="15">
        <v>1711</v>
      </c>
      <c r="F33" s="17">
        <v>584</v>
      </c>
      <c r="G33" s="15">
        <v>727</v>
      </c>
      <c r="H33" s="17">
        <v>600</v>
      </c>
      <c r="I33" s="15">
        <v>528</v>
      </c>
      <c r="J33" s="15"/>
      <c r="K33" s="17">
        <v>3368</v>
      </c>
      <c r="L33" s="15">
        <v>2985</v>
      </c>
      <c r="M33" s="18">
        <f>((K33-L33)/L33)*100</f>
        <v>12.830820770519264</v>
      </c>
    </row>
    <row r="34" spans="1:13" x14ac:dyDescent="0.25">
      <c r="A34" s="15" t="s">
        <v>42</v>
      </c>
      <c r="B34" s="17">
        <v>21</v>
      </c>
      <c r="C34" s="15">
        <v>15</v>
      </c>
      <c r="D34" s="17">
        <v>2314</v>
      </c>
      <c r="E34" s="15">
        <v>1752</v>
      </c>
      <c r="F34" s="17">
        <v>783</v>
      </c>
      <c r="G34" s="15">
        <v>848</v>
      </c>
      <c r="H34" s="17">
        <v>641</v>
      </c>
      <c r="I34" s="15">
        <v>525</v>
      </c>
      <c r="J34" s="15"/>
      <c r="K34" s="17">
        <v>3759</v>
      </c>
      <c r="L34" s="15">
        <v>3140</v>
      </c>
      <c r="M34" s="18">
        <f>((K34-L34)/L34)*100</f>
        <v>19.713375796178344</v>
      </c>
    </row>
    <row r="35" spans="1:13" x14ac:dyDescent="0.25">
      <c r="A35" s="15" t="s">
        <v>43</v>
      </c>
      <c r="B35" s="17">
        <v>31</v>
      </c>
      <c r="C35" s="15">
        <v>41</v>
      </c>
      <c r="D35" s="17">
        <v>1791</v>
      </c>
      <c r="E35" s="15">
        <v>1350</v>
      </c>
      <c r="F35" s="17">
        <v>635</v>
      </c>
      <c r="G35" s="15">
        <v>773</v>
      </c>
      <c r="H35" s="17">
        <v>192</v>
      </c>
      <c r="I35" s="15">
        <v>152</v>
      </c>
      <c r="J35" s="15"/>
      <c r="K35" s="17">
        <v>2649</v>
      </c>
      <c r="L35" s="15">
        <v>2316</v>
      </c>
      <c r="M35" s="18">
        <f>((K35-L35)/L35)*100</f>
        <v>14.378238341968913</v>
      </c>
    </row>
    <row r="36" spans="1:13" x14ac:dyDescent="0.25">
      <c r="A36" s="15" t="s">
        <v>44</v>
      </c>
      <c r="B36" s="17">
        <v>32</v>
      </c>
      <c r="C36" s="15">
        <v>59</v>
      </c>
      <c r="D36" s="17">
        <v>2469</v>
      </c>
      <c r="E36" s="15">
        <v>1836</v>
      </c>
      <c r="F36" s="17">
        <v>747</v>
      </c>
      <c r="G36" s="15">
        <v>903</v>
      </c>
      <c r="H36" s="17">
        <v>313</v>
      </c>
      <c r="I36" s="15">
        <v>406</v>
      </c>
      <c r="J36" s="15"/>
      <c r="K36" s="17">
        <v>3561</v>
      </c>
      <c r="L36" s="15">
        <v>3204</v>
      </c>
      <c r="M36" s="18">
        <f>((K36-L36)/L36)*100</f>
        <v>11.142322097378276</v>
      </c>
    </row>
    <row r="37" spans="1:13" x14ac:dyDescent="0.25">
      <c r="A37" s="15" t="s">
        <v>45</v>
      </c>
      <c r="B37" s="17">
        <v>26</v>
      </c>
      <c r="C37" s="15">
        <v>25</v>
      </c>
      <c r="D37" s="17">
        <v>2519</v>
      </c>
      <c r="E37" s="15">
        <v>1403</v>
      </c>
      <c r="F37" s="17">
        <v>916</v>
      </c>
      <c r="G37" s="15">
        <v>989</v>
      </c>
      <c r="H37" s="17">
        <v>214</v>
      </c>
      <c r="I37" s="15">
        <v>163</v>
      </c>
      <c r="J37" s="15"/>
      <c r="K37" s="17">
        <v>3675</v>
      </c>
      <c r="L37" s="15">
        <v>2580</v>
      </c>
      <c r="M37" s="18">
        <f>((K37-L37)/L37)*100</f>
        <v>42.441860465116278</v>
      </c>
    </row>
    <row r="38" spans="1:13" x14ac:dyDescent="0.25">
      <c r="A38" s="15" t="s">
        <v>46</v>
      </c>
      <c r="B38" s="17">
        <v>11</v>
      </c>
      <c r="C38" s="15">
        <v>24</v>
      </c>
      <c r="D38" s="17">
        <v>1633</v>
      </c>
      <c r="E38" s="15">
        <v>1072</v>
      </c>
      <c r="F38" s="17">
        <v>588</v>
      </c>
      <c r="G38" s="15">
        <v>663</v>
      </c>
      <c r="H38" s="17">
        <v>111</v>
      </c>
      <c r="I38" s="15">
        <v>139</v>
      </c>
      <c r="J38" s="15"/>
      <c r="K38" s="17">
        <v>2343</v>
      </c>
      <c r="L38" s="15">
        <v>1898</v>
      </c>
      <c r="M38" s="18">
        <f>((K38-L38)/L38)*100</f>
        <v>23.44573234984194</v>
      </c>
    </row>
    <row r="39" spans="1:13" x14ac:dyDescent="0.25">
      <c r="A39" s="15" t="s">
        <v>47</v>
      </c>
      <c r="B39" s="17">
        <v>31</v>
      </c>
      <c r="C39" s="15">
        <v>32</v>
      </c>
      <c r="D39" s="17">
        <v>6634</v>
      </c>
      <c r="E39" s="15">
        <v>5503</v>
      </c>
      <c r="F39" s="17">
        <v>1163</v>
      </c>
      <c r="G39" s="15">
        <v>1203</v>
      </c>
      <c r="H39" s="17">
        <v>1643</v>
      </c>
      <c r="I39" s="15">
        <v>872</v>
      </c>
      <c r="J39" s="15"/>
      <c r="K39" s="17">
        <v>9471</v>
      </c>
      <c r="L39" s="15">
        <v>7610</v>
      </c>
      <c r="M39" s="18">
        <f>((K39-L39)/L39)*100</f>
        <v>24.454664914586072</v>
      </c>
    </row>
    <row r="40" spans="1:13" x14ac:dyDescent="0.25">
      <c r="A40" s="15" t="s">
        <v>48</v>
      </c>
      <c r="B40" s="17">
        <v>38</v>
      </c>
      <c r="C40" s="15">
        <v>42</v>
      </c>
      <c r="D40" s="17">
        <v>4432</v>
      </c>
      <c r="E40" s="15">
        <v>3345</v>
      </c>
      <c r="F40" s="17">
        <v>871</v>
      </c>
      <c r="G40" s="15">
        <v>816</v>
      </c>
      <c r="H40" s="17">
        <v>473</v>
      </c>
      <c r="I40" s="15">
        <v>357</v>
      </c>
      <c r="J40" s="15"/>
      <c r="K40" s="17">
        <v>5814</v>
      </c>
      <c r="L40" s="15">
        <v>4560</v>
      </c>
      <c r="M40" s="18">
        <f>((K40-L40)/L40)*100</f>
        <v>27.500000000000004</v>
      </c>
    </row>
    <row r="41" spans="1:13" x14ac:dyDescent="0.25">
      <c r="A41" s="15" t="s">
        <v>49</v>
      </c>
      <c r="B41" s="17">
        <v>40</v>
      </c>
      <c r="C41" s="15">
        <v>32</v>
      </c>
      <c r="D41" s="17">
        <v>5915</v>
      </c>
      <c r="E41" s="15">
        <v>5629</v>
      </c>
      <c r="F41" s="17">
        <v>1084</v>
      </c>
      <c r="G41" s="15">
        <v>1222</v>
      </c>
      <c r="H41" s="17">
        <v>353</v>
      </c>
      <c r="I41" s="15">
        <v>186</v>
      </c>
      <c r="J41" s="15"/>
      <c r="K41" s="17">
        <v>7392</v>
      </c>
      <c r="L41" s="15">
        <v>7069</v>
      </c>
      <c r="M41" s="18">
        <f>((K41-L41)/L41)*100</f>
        <v>4.5692460036780309</v>
      </c>
    </row>
    <row r="42" spans="1:13" x14ac:dyDescent="0.25">
      <c r="A42" s="15" t="s">
        <v>50</v>
      </c>
      <c r="B42" s="17">
        <v>44</v>
      </c>
      <c r="C42" s="15">
        <v>51</v>
      </c>
      <c r="D42" s="17">
        <v>3178</v>
      </c>
      <c r="E42" s="15">
        <v>3820</v>
      </c>
      <c r="F42" s="17">
        <v>1095</v>
      </c>
      <c r="G42" s="15">
        <v>1249</v>
      </c>
      <c r="H42" s="17">
        <v>549</v>
      </c>
      <c r="I42" s="15">
        <v>300</v>
      </c>
      <c r="J42" s="15"/>
      <c r="K42" s="17">
        <v>4866</v>
      </c>
      <c r="L42" s="15">
        <v>5420</v>
      </c>
      <c r="M42" s="18">
        <f>((K42-L42)/L42)*100</f>
        <v>-10.22140221402214</v>
      </c>
    </row>
    <row r="43" spans="1:13" x14ac:dyDescent="0.25">
      <c r="A43" s="15" t="s">
        <v>51</v>
      </c>
      <c r="B43" s="17">
        <v>25</v>
      </c>
      <c r="C43" s="15">
        <v>25</v>
      </c>
      <c r="D43" s="17">
        <v>2704</v>
      </c>
      <c r="E43" s="15">
        <v>2832</v>
      </c>
      <c r="F43" s="17">
        <v>1026</v>
      </c>
      <c r="G43" s="15">
        <v>972</v>
      </c>
      <c r="H43" s="17">
        <v>634</v>
      </c>
      <c r="I43" s="15">
        <v>516</v>
      </c>
      <c r="J43" s="15"/>
      <c r="K43" s="17">
        <v>4389</v>
      </c>
      <c r="L43" s="15">
        <v>4345</v>
      </c>
      <c r="M43" s="18">
        <f>((K43-L43)/L43)*100</f>
        <v>1.0126582278481013</v>
      </c>
    </row>
    <row r="44" spans="1:13" x14ac:dyDescent="0.25">
      <c r="A44" s="15" t="s">
        <v>52</v>
      </c>
      <c r="B44" s="17">
        <v>22</v>
      </c>
      <c r="C44" s="15">
        <v>42</v>
      </c>
      <c r="D44" s="17">
        <v>3148</v>
      </c>
      <c r="E44" s="15">
        <v>4449</v>
      </c>
      <c r="F44" s="17">
        <v>1247</v>
      </c>
      <c r="G44" s="15">
        <v>1304</v>
      </c>
      <c r="H44" s="17">
        <v>389</v>
      </c>
      <c r="I44" s="15">
        <v>195</v>
      </c>
      <c r="J44" s="15"/>
      <c r="K44" s="17">
        <v>4806</v>
      </c>
      <c r="L44" s="15">
        <v>5990</v>
      </c>
      <c r="M44" s="18">
        <f>((K44-L44)/L44)*100</f>
        <v>-19.766277128547578</v>
      </c>
    </row>
    <row r="45" spans="1:13" x14ac:dyDescent="0.25">
      <c r="A45" s="15" t="s">
        <v>53</v>
      </c>
      <c r="B45" s="17">
        <v>8</v>
      </c>
      <c r="C45" s="15">
        <v>21</v>
      </c>
      <c r="D45" s="17">
        <v>3040</v>
      </c>
      <c r="E45" s="15">
        <v>2528</v>
      </c>
      <c r="F45" s="17">
        <v>687</v>
      </c>
      <c r="G45" s="15">
        <v>905</v>
      </c>
      <c r="H45" s="17">
        <v>398</v>
      </c>
      <c r="I45" s="15">
        <v>235</v>
      </c>
      <c r="J45" s="15"/>
      <c r="K45" s="17">
        <v>4133</v>
      </c>
      <c r="L45" s="15">
        <v>3689</v>
      </c>
      <c r="M45" s="18">
        <f>((K45-L45)/L45)*100</f>
        <v>12.035782054757387</v>
      </c>
    </row>
    <row r="46" spans="1:13" x14ac:dyDescent="0.25">
      <c r="A46" s="15" t="s">
        <v>54</v>
      </c>
      <c r="B46" s="17">
        <v>28</v>
      </c>
      <c r="C46" s="15">
        <v>46</v>
      </c>
      <c r="D46" s="17">
        <v>3320</v>
      </c>
      <c r="E46" s="15">
        <v>3199</v>
      </c>
      <c r="F46" s="17">
        <v>555</v>
      </c>
      <c r="G46" s="15">
        <v>707</v>
      </c>
      <c r="H46" s="17">
        <v>317</v>
      </c>
      <c r="I46" s="15">
        <v>171</v>
      </c>
      <c r="J46" s="15"/>
      <c r="K46" s="17">
        <v>4220</v>
      </c>
      <c r="L46" s="15">
        <v>4123</v>
      </c>
      <c r="M46" s="18">
        <f>((K46-L46)/L46)*100</f>
        <v>2.3526558331312151</v>
      </c>
    </row>
    <row r="47" spans="1:13" x14ac:dyDescent="0.25">
      <c r="A47" s="15" t="s">
        <v>55</v>
      </c>
      <c r="B47" s="17">
        <v>9</v>
      </c>
      <c r="C47" s="15">
        <v>19</v>
      </c>
      <c r="D47" s="17">
        <v>2963</v>
      </c>
      <c r="E47" s="15">
        <v>2304</v>
      </c>
      <c r="F47" s="17">
        <v>597</v>
      </c>
      <c r="G47" s="15">
        <v>954</v>
      </c>
      <c r="H47" s="17">
        <v>218</v>
      </c>
      <c r="I47" s="15">
        <v>290</v>
      </c>
      <c r="J47" s="15"/>
      <c r="K47" s="17">
        <v>3787</v>
      </c>
      <c r="L47" s="15">
        <v>3567</v>
      </c>
      <c r="M47" s="18">
        <f>((K47-L47)/L47)*100</f>
        <v>6.1676478833753858</v>
      </c>
    </row>
    <row r="48" spans="1:13" x14ac:dyDescent="0.25">
      <c r="A48" s="15" t="s">
        <v>56</v>
      </c>
      <c r="B48" s="17">
        <v>20</v>
      </c>
      <c r="C48" s="15">
        <v>32</v>
      </c>
      <c r="D48" s="17">
        <v>4687</v>
      </c>
      <c r="E48" s="15">
        <v>3096</v>
      </c>
      <c r="F48" s="17">
        <v>750</v>
      </c>
      <c r="G48" s="15">
        <v>926</v>
      </c>
      <c r="H48" s="17">
        <v>289</v>
      </c>
      <c r="I48" s="15">
        <v>222</v>
      </c>
      <c r="J48" s="15"/>
      <c r="K48" s="17">
        <v>5746</v>
      </c>
      <c r="L48" s="15">
        <v>4276</v>
      </c>
      <c r="M48" s="18">
        <f>((K48-L48)/L48)*100</f>
        <v>34.377923292797007</v>
      </c>
    </row>
    <row r="49" spans="1:13" x14ac:dyDescent="0.25">
      <c r="A49" s="15" t="s">
        <v>57</v>
      </c>
      <c r="B49" s="17">
        <v>17</v>
      </c>
      <c r="C49" s="15">
        <v>25</v>
      </c>
      <c r="D49" s="17">
        <v>2866</v>
      </c>
      <c r="E49" s="15">
        <v>2588</v>
      </c>
      <c r="F49" s="17">
        <v>673</v>
      </c>
      <c r="G49" s="15">
        <v>892</v>
      </c>
      <c r="H49" s="17">
        <v>376</v>
      </c>
      <c r="I49" s="15">
        <v>234</v>
      </c>
      <c r="J49" s="15"/>
      <c r="K49" s="17">
        <v>3932</v>
      </c>
      <c r="L49" s="15">
        <v>3739</v>
      </c>
      <c r="M49" s="18">
        <f>((K49-L49)/L49)*100</f>
        <v>5.1618079700454667</v>
      </c>
    </row>
    <row r="50" spans="1:13" x14ac:dyDescent="0.25">
      <c r="A50" s="15" t="s">
        <v>58</v>
      </c>
      <c r="B50" s="17">
        <v>18</v>
      </c>
      <c r="C50" s="15">
        <v>28</v>
      </c>
      <c r="D50" s="17">
        <v>3749</v>
      </c>
      <c r="E50" s="15">
        <v>2411</v>
      </c>
      <c r="F50" s="17">
        <v>560</v>
      </c>
      <c r="G50" s="15">
        <v>744</v>
      </c>
      <c r="H50" s="17">
        <v>906</v>
      </c>
      <c r="I50" s="15">
        <v>448</v>
      </c>
      <c r="J50" s="15"/>
      <c r="K50" s="17">
        <v>5233</v>
      </c>
      <c r="L50" s="15">
        <v>3631</v>
      </c>
      <c r="M50" s="18">
        <f>((K50-L50)/L50)*100</f>
        <v>44.120077113742774</v>
      </c>
    </row>
    <row r="51" spans="1:13" x14ac:dyDescent="0.25">
      <c r="A51" s="15" t="s">
        <v>59</v>
      </c>
      <c r="B51" s="17">
        <v>16</v>
      </c>
      <c r="C51" s="15">
        <v>28</v>
      </c>
      <c r="D51" s="17">
        <v>4189</v>
      </c>
      <c r="E51" s="15">
        <v>4034</v>
      </c>
      <c r="F51" s="17">
        <v>752</v>
      </c>
      <c r="G51" s="15">
        <v>1063</v>
      </c>
      <c r="H51" s="17">
        <v>366</v>
      </c>
      <c r="I51" s="15">
        <v>259</v>
      </c>
      <c r="J51" s="15"/>
      <c r="K51" s="17">
        <v>5323</v>
      </c>
      <c r="L51" s="15">
        <v>5384</v>
      </c>
      <c r="M51" s="18">
        <f>((K51-L51)/L51)*100</f>
        <v>-1.1329866270430906</v>
      </c>
    </row>
    <row r="52" spans="1:13" x14ac:dyDescent="0.25">
      <c r="A52" s="15" t="s">
        <v>60</v>
      </c>
      <c r="B52" s="17">
        <v>36</v>
      </c>
      <c r="C52" s="15">
        <v>36</v>
      </c>
      <c r="D52" s="17">
        <v>2325</v>
      </c>
      <c r="E52" s="15">
        <v>1799</v>
      </c>
      <c r="F52" s="17">
        <v>645</v>
      </c>
      <c r="G52" s="15">
        <v>829</v>
      </c>
      <c r="H52" s="17">
        <v>160</v>
      </c>
      <c r="I52" s="15">
        <v>208</v>
      </c>
      <c r="J52" s="15"/>
      <c r="K52" s="17">
        <v>3166</v>
      </c>
      <c r="L52" s="15">
        <v>2872</v>
      </c>
      <c r="M52" s="18">
        <f>((K52-L52)/L52)*100</f>
        <v>10.236768802228411</v>
      </c>
    </row>
    <row r="53" spans="1:13" x14ac:dyDescent="0.25">
      <c r="A53" s="15" t="s">
        <v>61</v>
      </c>
      <c r="B53" s="17">
        <v>28</v>
      </c>
      <c r="C53" s="15">
        <v>34</v>
      </c>
      <c r="D53" s="17">
        <v>3451</v>
      </c>
      <c r="E53" s="15">
        <v>2877</v>
      </c>
      <c r="F53" s="17">
        <v>1318</v>
      </c>
      <c r="G53" s="15">
        <v>1837</v>
      </c>
      <c r="H53" s="17">
        <v>259</v>
      </c>
      <c r="I53" s="15">
        <v>385</v>
      </c>
      <c r="J53" s="15"/>
      <c r="K53" s="17">
        <v>5056</v>
      </c>
      <c r="L53" s="15">
        <v>5133</v>
      </c>
      <c r="M53" s="18">
        <f>((K53-L53)/L53)*100</f>
        <v>-1.5000974089226573</v>
      </c>
    </row>
    <row r="54" spans="1:13" x14ac:dyDescent="0.25">
      <c r="A54" s="15" t="s">
        <v>62</v>
      </c>
      <c r="B54" s="17">
        <v>29</v>
      </c>
      <c r="C54" s="15">
        <v>41</v>
      </c>
      <c r="D54" s="17">
        <v>4436</v>
      </c>
      <c r="E54" s="15">
        <v>4536</v>
      </c>
      <c r="F54" s="17">
        <v>1195</v>
      </c>
      <c r="G54" s="15">
        <v>1483</v>
      </c>
      <c r="H54" s="17">
        <v>501</v>
      </c>
      <c r="I54" s="15">
        <v>335</v>
      </c>
      <c r="J54" s="15"/>
      <c r="K54" s="17">
        <v>6161</v>
      </c>
      <c r="L54" s="15">
        <v>6395</v>
      </c>
      <c r="M54" s="18">
        <f>((K54-L54)/L54)*100</f>
        <v>-3.6591086786551994</v>
      </c>
    </row>
    <row r="55" spans="1:13" x14ac:dyDescent="0.25">
      <c r="A55" s="15" t="s">
        <v>63</v>
      </c>
      <c r="B55" s="17">
        <v>11</v>
      </c>
      <c r="C55" s="15">
        <v>22</v>
      </c>
      <c r="D55" s="17">
        <v>2744</v>
      </c>
      <c r="E55" s="15">
        <v>2305</v>
      </c>
      <c r="F55" s="17">
        <v>661</v>
      </c>
      <c r="G55" s="15">
        <v>888</v>
      </c>
      <c r="H55" s="17">
        <v>865</v>
      </c>
      <c r="I55" s="15">
        <v>481</v>
      </c>
      <c r="J55" s="15"/>
      <c r="K55" s="17">
        <v>4281</v>
      </c>
      <c r="L55" s="15">
        <v>3696</v>
      </c>
      <c r="M55" s="18">
        <f>((K55-L55)/L55)*100</f>
        <v>15.827922077922077</v>
      </c>
    </row>
    <row r="56" spans="1:13" x14ac:dyDescent="0.25">
      <c r="A56" s="15" t="s">
        <v>64</v>
      </c>
      <c r="B56" s="17">
        <v>17</v>
      </c>
      <c r="C56" s="15">
        <v>22</v>
      </c>
      <c r="D56" s="17">
        <v>3725</v>
      </c>
      <c r="E56" s="15">
        <v>3220</v>
      </c>
      <c r="F56" s="17">
        <v>990</v>
      </c>
      <c r="G56" s="15">
        <v>1336</v>
      </c>
      <c r="H56" s="17">
        <v>1209</v>
      </c>
      <c r="I56" s="15">
        <v>1305</v>
      </c>
      <c r="J56" s="15"/>
      <c r="K56" s="17">
        <v>5941</v>
      </c>
      <c r="L56" s="15">
        <v>5883</v>
      </c>
      <c r="M56" s="18">
        <f>((K56-L56)/L56)*100</f>
        <v>0.98589155192928768</v>
      </c>
    </row>
    <row r="57" spans="1:13" x14ac:dyDescent="0.25">
      <c r="A57" s="15" t="s">
        <v>65</v>
      </c>
      <c r="B57" s="17">
        <v>42</v>
      </c>
      <c r="C57" s="15">
        <v>63</v>
      </c>
      <c r="D57" s="17">
        <v>2593</v>
      </c>
      <c r="E57" s="15">
        <v>2319</v>
      </c>
      <c r="F57" s="17">
        <v>948</v>
      </c>
      <c r="G57" s="15">
        <v>1310</v>
      </c>
      <c r="H57" s="17">
        <v>922</v>
      </c>
      <c r="I57" s="15">
        <v>410</v>
      </c>
      <c r="J57" s="15"/>
      <c r="K57" s="17">
        <v>4505</v>
      </c>
      <c r="L57" s="15">
        <v>4102</v>
      </c>
      <c r="M57" s="18">
        <f>((K57-L57)/L57)*100</f>
        <v>9.8244758654314968</v>
      </c>
    </row>
    <row r="58" spans="1:13" x14ac:dyDescent="0.25">
      <c r="A58" s="15" t="s">
        <v>66</v>
      </c>
      <c r="B58" s="17">
        <v>20</v>
      </c>
      <c r="C58" s="15">
        <v>24</v>
      </c>
      <c r="D58" s="17">
        <v>3666</v>
      </c>
      <c r="E58" s="15">
        <v>4228</v>
      </c>
      <c r="F58" s="17">
        <v>900</v>
      </c>
      <c r="G58" s="15">
        <v>1104</v>
      </c>
      <c r="H58" s="17">
        <v>483</v>
      </c>
      <c r="I58" s="15">
        <v>260</v>
      </c>
      <c r="J58" s="15"/>
      <c r="K58" s="17">
        <v>5069</v>
      </c>
      <c r="L58" s="15">
        <v>5616</v>
      </c>
      <c r="M58" s="18">
        <f>((K58-L58)/L58)*100</f>
        <v>-9.7400284900284912</v>
      </c>
    </row>
    <row r="59" spans="1:13" x14ac:dyDescent="0.25">
      <c r="A59" s="15" t="s">
        <v>67</v>
      </c>
      <c r="B59" s="17">
        <v>25</v>
      </c>
      <c r="C59" s="15">
        <v>24</v>
      </c>
      <c r="D59" s="17">
        <v>2916</v>
      </c>
      <c r="E59" s="15">
        <v>2866</v>
      </c>
      <c r="F59" s="17">
        <v>1092</v>
      </c>
      <c r="G59" s="15">
        <v>1266</v>
      </c>
      <c r="H59" s="17">
        <v>415</v>
      </c>
      <c r="I59" s="15">
        <v>235</v>
      </c>
      <c r="J59" s="15"/>
      <c r="K59" s="17">
        <v>4448</v>
      </c>
      <c r="L59" s="15">
        <v>4391</v>
      </c>
      <c r="M59" s="18">
        <f>((K59-L59)/L59)*100</f>
        <v>1.2981097699840582</v>
      </c>
    </row>
    <row r="60" spans="1:13" x14ac:dyDescent="0.25">
      <c r="A60" s="15" t="s">
        <v>68</v>
      </c>
      <c r="B60" s="17">
        <v>11</v>
      </c>
      <c r="C60" s="15">
        <v>15</v>
      </c>
      <c r="D60" s="17">
        <v>2011</v>
      </c>
      <c r="E60" s="15">
        <v>1789</v>
      </c>
      <c r="F60" s="17">
        <v>1150</v>
      </c>
      <c r="G60" s="15">
        <v>958</v>
      </c>
      <c r="H60" s="17">
        <v>300</v>
      </c>
      <c r="I60" s="15">
        <v>288</v>
      </c>
      <c r="J60" s="15"/>
      <c r="K60" s="17">
        <v>3472</v>
      </c>
      <c r="L60" s="15">
        <v>3050</v>
      </c>
      <c r="M60" s="18">
        <f>((K60-L60)/L60)*100</f>
        <v>13.836065573770492</v>
      </c>
    </row>
    <row r="61" spans="1:13" x14ac:dyDescent="0.25">
      <c r="A61" s="15" t="s">
        <v>69</v>
      </c>
      <c r="B61" s="17">
        <v>23</v>
      </c>
      <c r="C61" s="15">
        <v>21</v>
      </c>
      <c r="D61" s="17">
        <v>2634</v>
      </c>
      <c r="E61" s="15">
        <v>2303</v>
      </c>
      <c r="F61" s="17">
        <v>907</v>
      </c>
      <c r="G61" s="15">
        <v>1133</v>
      </c>
      <c r="H61" s="17">
        <v>156</v>
      </c>
      <c r="I61" s="15">
        <v>445</v>
      </c>
      <c r="J61" s="15"/>
      <c r="K61" s="17">
        <v>3720</v>
      </c>
      <c r="L61" s="15">
        <v>3902</v>
      </c>
      <c r="M61" s="18">
        <f>((K61-L61)/L61)*100</f>
        <v>-4.664274730907227</v>
      </c>
    </row>
    <row r="62" spans="1:13" x14ac:dyDescent="0.25">
      <c r="A62" s="15" t="s">
        <v>70</v>
      </c>
      <c r="B62" s="17">
        <v>14</v>
      </c>
      <c r="C62" s="15">
        <v>11</v>
      </c>
      <c r="D62" s="17">
        <v>3240</v>
      </c>
      <c r="E62" s="15">
        <v>3166</v>
      </c>
      <c r="F62" s="17">
        <v>1071</v>
      </c>
      <c r="G62" s="15">
        <v>1070</v>
      </c>
      <c r="H62" s="17">
        <v>355</v>
      </c>
      <c r="I62" s="15">
        <v>339</v>
      </c>
      <c r="J62" s="15"/>
      <c r="K62" s="17">
        <v>4680</v>
      </c>
      <c r="L62" s="15">
        <v>4586</v>
      </c>
      <c r="M62" s="18">
        <f>((K62-L62)/L62)*100</f>
        <v>2.0497165285651988</v>
      </c>
    </row>
    <row r="63" spans="1:13" x14ac:dyDescent="0.25">
      <c r="A63" s="15" t="s">
        <v>71</v>
      </c>
      <c r="B63" s="17">
        <v>14</v>
      </c>
      <c r="C63" s="15">
        <v>19</v>
      </c>
      <c r="D63" s="17">
        <v>6505</v>
      </c>
      <c r="E63" s="15">
        <v>5116</v>
      </c>
      <c r="F63" s="17">
        <v>922</v>
      </c>
      <c r="G63" s="15">
        <v>1067</v>
      </c>
      <c r="H63" s="17">
        <v>521</v>
      </c>
      <c r="I63" s="15">
        <v>267</v>
      </c>
      <c r="J63" s="15"/>
      <c r="K63" s="17">
        <v>7962</v>
      </c>
      <c r="L63" s="15">
        <v>6469</v>
      </c>
      <c r="M63" s="18">
        <f>((K63-L63)/L63)*100</f>
        <v>23.079301283042199</v>
      </c>
    </row>
    <row r="64" spans="1:13" x14ac:dyDescent="0.25">
      <c r="A64" s="15" t="s">
        <v>72</v>
      </c>
      <c r="B64" s="17">
        <v>24</v>
      </c>
      <c r="C64" s="15">
        <v>21</v>
      </c>
      <c r="D64" s="17">
        <v>4307</v>
      </c>
      <c r="E64" s="15">
        <v>3148</v>
      </c>
      <c r="F64" s="17">
        <v>865</v>
      </c>
      <c r="G64" s="15">
        <v>971</v>
      </c>
      <c r="H64" s="17">
        <v>505</v>
      </c>
      <c r="I64" s="15">
        <v>313</v>
      </c>
      <c r="J64" s="15"/>
      <c r="K64" s="17">
        <v>5701</v>
      </c>
      <c r="L64" s="15">
        <v>4453</v>
      </c>
      <c r="M64" s="18">
        <f>((K64-L64)/L64)*100</f>
        <v>28.026049854030987</v>
      </c>
    </row>
    <row r="65" spans="1:13" x14ac:dyDescent="0.25">
      <c r="A65" s="15" t="s">
        <v>73</v>
      </c>
      <c r="B65" s="17">
        <v>58</v>
      </c>
      <c r="C65" s="15">
        <v>26</v>
      </c>
      <c r="D65" s="17">
        <v>4111</v>
      </c>
      <c r="E65" s="15">
        <v>3068</v>
      </c>
      <c r="F65" s="17">
        <v>1788</v>
      </c>
      <c r="G65" s="15">
        <v>1733</v>
      </c>
      <c r="H65" s="17">
        <v>290</v>
      </c>
      <c r="I65" s="15">
        <v>80</v>
      </c>
      <c r="J65" s="15"/>
      <c r="K65" s="17">
        <v>6247</v>
      </c>
      <c r="L65" s="15">
        <v>4907</v>
      </c>
      <c r="M65" s="18">
        <f>((K65-L65)/L65)*100</f>
        <v>27.307927450580806</v>
      </c>
    </row>
    <row r="66" spans="1:13" x14ac:dyDescent="0.25">
      <c r="A66" s="15" t="s">
        <v>74</v>
      </c>
      <c r="B66" s="17">
        <v>9</v>
      </c>
      <c r="C66" s="15">
        <v>28</v>
      </c>
      <c r="D66" s="17">
        <v>4349</v>
      </c>
      <c r="E66" s="15">
        <v>3334</v>
      </c>
      <c r="F66" s="17">
        <v>1055</v>
      </c>
      <c r="G66" s="15">
        <v>1179</v>
      </c>
      <c r="H66" s="17">
        <v>529</v>
      </c>
      <c r="I66" s="15">
        <v>395</v>
      </c>
      <c r="J66" s="15"/>
      <c r="K66" s="17">
        <v>5942</v>
      </c>
      <c r="L66" s="15">
        <v>4936</v>
      </c>
      <c r="M66" s="18">
        <f>((K66-L66)/L66)*100</f>
        <v>20.380875202593192</v>
      </c>
    </row>
    <row r="67" spans="1:13" x14ac:dyDescent="0.25">
      <c r="A67" s="15" t="s">
        <v>75</v>
      </c>
      <c r="B67" s="17">
        <v>13</v>
      </c>
      <c r="C67" s="15">
        <v>26</v>
      </c>
      <c r="D67" s="17">
        <v>5327</v>
      </c>
      <c r="E67" s="15">
        <v>3669</v>
      </c>
      <c r="F67" s="17">
        <v>1046</v>
      </c>
      <c r="G67" s="15">
        <v>1225</v>
      </c>
      <c r="H67" s="17">
        <v>957</v>
      </c>
      <c r="I67" s="15">
        <v>579</v>
      </c>
      <c r="J67" s="15"/>
      <c r="K67" s="17">
        <v>7343</v>
      </c>
      <c r="L67" s="15">
        <v>5499</v>
      </c>
      <c r="M67" s="18">
        <f>((K67-L67)/L67)*100</f>
        <v>33.533369703582473</v>
      </c>
    </row>
    <row r="68" spans="1:13" x14ac:dyDescent="0.25">
      <c r="A68" s="15" t="s">
        <v>76</v>
      </c>
      <c r="B68" s="17">
        <v>15</v>
      </c>
      <c r="C68" s="15">
        <v>20</v>
      </c>
      <c r="D68" s="17">
        <v>3792</v>
      </c>
      <c r="E68" s="15">
        <v>3137</v>
      </c>
      <c r="F68" s="17">
        <v>864</v>
      </c>
      <c r="G68" s="15">
        <v>1002</v>
      </c>
      <c r="H68" s="17">
        <v>362</v>
      </c>
      <c r="I68" s="15">
        <v>382</v>
      </c>
      <c r="J68" s="15"/>
      <c r="K68" s="17">
        <v>5033</v>
      </c>
      <c r="L68" s="15">
        <v>4541</v>
      </c>
      <c r="M68" s="18">
        <f>((K68-L68)/L68)*100</f>
        <v>10.834617925567056</v>
      </c>
    </row>
    <row r="69" spans="1:13" x14ac:dyDescent="0.25">
      <c r="A69" s="15" t="s">
        <v>77</v>
      </c>
      <c r="B69" s="17">
        <v>8</v>
      </c>
      <c r="C69" s="15">
        <v>15</v>
      </c>
      <c r="D69" s="17">
        <v>3171</v>
      </c>
      <c r="E69" s="15">
        <v>2822</v>
      </c>
      <c r="F69" s="17">
        <v>658</v>
      </c>
      <c r="G69" s="15">
        <v>526</v>
      </c>
      <c r="H69" s="17">
        <v>1176</v>
      </c>
      <c r="I69" s="15">
        <v>1381</v>
      </c>
      <c r="J69" s="15"/>
      <c r="K69" s="17">
        <v>5013</v>
      </c>
      <c r="L69" s="15">
        <v>4744</v>
      </c>
      <c r="M69" s="18">
        <f>((K69-L69)/L69)*100</f>
        <v>5.6703204047217532</v>
      </c>
    </row>
    <row r="70" spans="1:13" x14ac:dyDescent="0.25">
      <c r="A70" s="15" t="s">
        <v>78</v>
      </c>
      <c r="B70" s="17">
        <v>6</v>
      </c>
      <c r="C70" s="15">
        <v>29</v>
      </c>
      <c r="D70" s="17">
        <v>3344</v>
      </c>
      <c r="E70" s="15">
        <v>2745</v>
      </c>
      <c r="F70" s="17">
        <v>549</v>
      </c>
      <c r="G70" s="15">
        <v>753</v>
      </c>
      <c r="H70" s="17">
        <v>375</v>
      </c>
      <c r="I70" s="15">
        <v>241</v>
      </c>
      <c r="J70" s="15"/>
      <c r="K70" s="17">
        <v>4274</v>
      </c>
      <c r="L70" s="15">
        <v>3768</v>
      </c>
      <c r="M70" s="18">
        <f>((K70-L70)/L70)*100</f>
        <v>13.428874734607218</v>
      </c>
    </row>
    <row r="71" spans="1:13" x14ac:dyDescent="0.25">
      <c r="A71" s="15"/>
      <c r="B71" s="17"/>
      <c r="C71" s="15"/>
      <c r="D71" s="17"/>
      <c r="E71" s="15"/>
      <c r="F71" s="17"/>
      <c r="G71" s="15"/>
      <c r="H71" s="17"/>
      <c r="I71" s="15"/>
      <c r="J71" s="15"/>
      <c r="K71" s="17"/>
      <c r="L71" s="15"/>
      <c r="M71" s="18"/>
    </row>
    <row r="72" spans="1:13" x14ac:dyDescent="0.25">
      <c r="A72" s="15"/>
      <c r="B72" s="17"/>
      <c r="C72" s="15"/>
      <c r="D72" s="17"/>
      <c r="E72" s="15"/>
      <c r="F72" s="17"/>
      <c r="G72" s="15"/>
      <c r="H72" s="17"/>
      <c r="I72" s="15"/>
      <c r="J72" s="15"/>
      <c r="K72" s="17"/>
      <c r="L72" s="15"/>
      <c r="M72" s="18"/>
    </row>
    <row r="73" spans="1:13" x14ac:dyDescent="0.25">
      <c r="A73" s="15" t="s">
        <v>10</v>
      </c>
      <c r="B73" s="17">
        <f>SUM(B3:B71)</f>
        <v>1638</v>
      </c>
      <c r="C73" s="15">
        <f t="shared" ref="C73:K73" si="0">SUM(C3:C71)</f>
        <v>2058</v>
      </c>
      <c r="D73" s="17">
        <f t="shared" si="0"/>
        <v>204474</v>
      </c>
      <c r="E73" s="15">
        <f t="shared" si="0"/>
        <v>167074</v>
      </c>
      <c r="F73" s="17">
        <f t="shared" si="0"/>
        <v>61395</v>
      </c>
      <c r="G73" s="15">
        <f t="shared" si="0"/>
        <v>71953</v>
      </c>
      <c r="H73" s="17">
        <f t="shared" si="0"/>
        <v>28091</v>
      </c>
      <c r="I73" s="15">
        <f t="shared" si="0"/>
        <v>22656</v>
      </c>
      <c r="J73" s="15">
        <f t="shared" si="0"/>
        <v>0</v>
      </c>
      <c r="K73" s="15">
        <f t="shared" si="0"/>
        <v>295598</v>
      </c>
      <c r="L73" s="15">
        <f>SUM(C73,E73,G73,I73)</f>
        <v>263741</v>
      </c>
      <c r="M73" s="18">
        <f t="shared" ref="M68:M73" si="1">((K73-L73)/L73)*100</f>
        <v>12.078895583166819</v>
      </c>
    </row>
  </sheetData>
  <mergeCells count="5">
    <mergeCell ref="B1:C1"/>
    <mergeCell ref="D1:E1"/>
    <mergeCell ref="F1:G1"/>
    <mergeCell ref="H1:I1"/>
    <mergeCell ref="K1:L1"/>
  </mergeCells>
  <pageMargins left="0.7" right="0.7" top="0.75" bottom="0.75" header="0.3" footer="0.3"/>
  <pageSetup paperSize="9" scale="54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G2" sqref="G2:G69"/>
    </sheetView>
  </sheetViews>
  <sheetFormatPr defaultRowHeight="15" x14ac:dyDescent="0.25"/>
  <cols>
    <col min="1" max="1" width="80" customWidth="1"/>
    <col min="2" max="2" width="11.42578125" customWidth="1"/>
    <col min="3" max="3" width="15" customWidth="1"/>
    <col min="4" max="4" width="20.7109375" customWidth="1"/>
  </cols>
  <sheetData>
    <row r="1" spans="1:7" x14ac:dyDescent="0.25">
      <c r="A1" s="13"/>
      <c r="B1" s="15" t="s">
        <v>5</v>
      </c>
      <c r="C1" s="15" t="s">
        <v>6</v>
      </c>
      <c r="D1" s="15" t="s">
        <v>7</v>
      </c>
      <c r="E1" s="15" t="s">
        <v>8</v>
      </c>
      <c r="F1" s="15"/>
      <c r="G1" s="15" t="s">
        <v>9</v>
      </c>
    </row>
    <row r="2" spans="1:7" x14ac:dyDescent="0.25">
      <c r="A2" s="10" t="s">
        <v>11</v>
      </c>
      <c r="B2" s="15">
        <v>14</v>
      </c>
      <c r="C2" s="15">
        <f>1609+240</f>
        <v>1849</v>
      </c>
      <c r="D2" s="15">
        <f>426+46</f>
        <v>472</v>
      </c>
      <c r="E2" s="15">
        <f>362+13</f>
        <v>375</v>
      </c>
      <c r="F2" s="15"/>
      <c r="G2" s="15">
        <f t="shared" ref="G2:G33" si="0">SUM(B2:E2)</f>
        <v>2710</v>
      </c>
    </row>
    <row r="3" spans="1:7" x14ac:dyDescent="0.25">
      <c r="A3" s="9" t="s">
        <v>12</v>
      </c>
      <c r="B3" s="15">
        <v>21</v>
      </c>
      <c r="C3" s="15">
        <f>2271+500</f>
        <v>2771</v>
      </c>
      <c r="D3" s="15">
        <f>509+50</f>
        <v>559</v>
      </c>
      <c r="E3" s="15">
        <f>371+93</f>
        <v>464</v>
      </c>
      <c r="F3" s="15"/>
      <c r="G3" s="15">
        <f t="shared" si="0"/>
        <v>3815</v>
      </c>
    </row>
    <row r="4" spans="1:7" x14ac:dyDescent="0.25">
      <c r="A4" s="8" t="s">
        <v>13</v>
      </c>
      <c r="B4" s="15">
        <f>4+1+4+1+3</f>
        <v>13</v>
      </c>
      <c r="C4" s="15">
        <f>514+990+909+154+558</f>
        <v>3125</v>
      </c>
      <c r="D4" s="15">
        <f>102+104+161+19+147</f>
        <v>533</v>
      </c>
      <c r="E4" s="15">
        <f>189+140+119+2+257</f>
        <v>707</v>
      </c>
      <c r="F4" s="15"/>
      <c r="G4" s="15">
        <f t="shared" si="0"/>
        <v>4378</v>
      </c>
    </row>
    <row r="5" spans="1:7" x14ac:dyDescent="0.25">
      <c r="A5" s="8" t="s">
        <v>14</v>
      </c>
      <c r="B5" s="15">
        <v>27</v>
      </c>
      <c r="C5" s="15">
        <v>1431</v>
      </c>
      <c r="D5" s="15">
        <v>743</v>
      </c>
      <c r="E5" s="15">
        <v>312</v>
      </c>
      <c r="F5" s="15"/>
      <c r="G5" s="15">
        <f t="shared" si="0"/>
        <v>2513</v>
      </c>
    </row>
    <row r="6" spans="1:7" x14ac:dyDescent="0.25">
      <c r="A6" s="13" t="s">
        <v>15</v>
      </c>
      <c r="B6" s="15">
        <f>16</f>
        <v>16</v>
      </c>
      <c r="C6" s="15">
        <f>1896+76+107</f>
        <v>2079</v>
      </c>
      <c r="D6" s="15">
        <f>991+50+87</f>
        <v>1128</v>
      </c>
      <c r="E6" s="15">
        <v>162</v>
      </c>
      <c r="F6" s="15"/>
      <c r="G6" s="15">
        <f t="shared" si="0"/>
        <v>3385</v>
      </c>
    </row>
    <row r="7" spans="1:7" x14ac:dyDescent="0.25">
      <c r="A7" s="8" t="s">
        <v>16</v>
      </c>
      <c r="B7" s="15">
        <v>12</v>
      </c>
      <c r="C7" s="15">
        <f>1279+109+119</f>
        <v>1507</v>
      </c>
      <c r="D7" s="15">
        <f>1366+79+120</f>
        <v>1565</v>
      </c>
      <c r="E7" s="15">
        <f>334+23+7</f>
        <v>364</v>
      </c>
      <c r="F7" s="15"/>
      <c r="G7" s="15">
        <f t="shared" si="0"/>
        <v>3448</v>
      </c>
    </row>
    <row r="8" spans="1:7" x14ac:dyDescent="0.25">
      <c r="A8" s="13" t="s">
        <v>17</v>
      </c>
      <c r="B8" s="15">
        <f>4+20+1+1</f>
        <v>26</v>
      </c>
      <c r="C8" s="15">
        <f>226+1209+163+135+167</f>
        <v>1900</v>
      </c>
      <c r="D8" s="15">
        <f>153+347+34+42+39</f>
        <v>615</v>
      </c>
      <c r="E8" s="15">
        <f>48+166+14+7+14</f>
        <v>249</v>
      </c>
      <c r="F8" s="15"/>
      <c r="G8" s="15">
        <f t="shared" si="0"/>
        <v>2790</v>
      </c>
    </row>
    <row r="9" spans="1:7" x14ac:dyDescent="0.25">
      <c r="A9" s="9" t="s">
        <v>18</v>
      </c>
      <c r="B9" s="15">
        <v>26</v>
      </c>
      <c r="C9" s="15">
        <f>1985+319</f>
        <v>2304</v>
      </c>
      <c r="D9" s="15">
        <f>653+89</f>
        <v>742</v>
      </c>
      <c r="E9" s="15">
        <v>256</v>
      </c>
      <c r="F9" s="15"/>
      <c r="G9" s="15">
        <f t="shared" si="0"/>
        <v>3328</v>
      </c>
    </row>
    <row r="10" spans="1:7" x14ac:dyDescent="0.25">
      <c r="A10" s="8" t="s">
        <v>19</v>
      </c>
      <c r="B10" s="15">
        <v>47</v>
      </c>
      <c r="C10" s="15">
        <v>1790</v>
      </c>
      <c r="D10" s="15">
        <v>1072</v>
      </c>
      <c r="E10" s="15">
        <v>162</v>
      </c>
      <c r="F10" s="15"/>
      <c r="G10" s="15">
        <f t="shared" si="0"/>
        <v>3071</v>
      </c>
    </row>
    <row r="11" spans="1:7" x14ac:dyDescent="0.25">
      <c r="A11" s="9" t="s">
        <v>20</v>
      </c>
      <c r="B11" s="15">
        <f>6+21+2</f>
        <v>29</v>
      </c>
      <c r="C11" s="15">
        <f>444+1133+148</f>
        <v>1725</v>
      </c>
      <c r="D11" s="15">
        <f>240+541+90</f>
        <v>871</v>
      </c>
      <c r="E11" s="15">
        <f>69+157+31</f>
        <v>257</v>
      </c>
      <c r="F11" s="15"/>
      <c r="G11" s="15">
        <f t="shared" si="0"/>
        <v>2882</v>
      </c>
    </row>
    <row r="12" spans="1:7" x14ac:dyDescent="0.25">
      <c r="A12" s="9" t="s">
        <v>21</v>
      </c>
      <c r="B12" s="15">
        <v>22</v>
      </c>
      <c r="C12" s="15">
        <f>1927+177</f>
        <v>2104</v>
      </c>
      <c r="D12" s="15">
        <f>852+64</f>
        <v>916</v>
      </c>
      <c r="E12" s="15">
        <v>211</v>
      </c>
      <c r="F12" s="15"/>
      <c r="G12" s="15">
        <f t="shared" si="0"/>
        <v>3253</v>
      </c>
    </row>
    <row r="13" spans="1:7" x14ac:dyDescent="0.25">
      <c r="A13" s="8" t="s">
        <v>22</v>
      </c>
      <c r="B13" s="15">
        <v>34</v>
      </c>
      <c r="C13" s="15">
        <f>2447+55+1217+233</f>
        <v>3952</v>
      </c>
      <c r="D13" s="15">
        <f>763+50+4+103+65</f>
        <v>985</v>
      </c>
      <c r="E13" s="15">
        <f>377+2+1+48+20</f>
        <v>448</v>
      </c>
      <c r="F13" s="15"/>
      <c r="G13" s="15">
        <f t="shared" si="0"/>
        <v>5419</v>
      </c>
    </row>
    <row r="14" spans="1:7" x14ac:dyDescent="0.25">
      <c r="A14" s="7" t="s">
        <v>23</v>
      </c>
      <c r="B14" s="15">
        <v>35</v>
      </c>
      <c r="C14" s="15">
        <f>2778+391+42+31</f>
        <v>3242</v>
      </c>
      <c r="D14" s="15">
        <f>774+144+25+15</f>
        <v>958</v>
      </c>
      <c r="E14" s="15">
        <f>409+33+4+16</f>
        <v>462</v>
      </c>
      <c r="F14" s="15"/>
      <c r="G14" s="15">
        <f t="shared" si="0"/>
        <v>4697</v>
      </c>
    </row>
    <row r="15" spans="1:7" x14ac:dyDescent="0.25">
      <c r="A15" s="13" t="s">
        <v>24</v>
      </c>
      <c r="B15" s="15">
        <v>32</v>
      </c>
      <c r="C15" s="15">
        <f>3610+455+51</f>
        <v>4116</v>
      </c>
      <c r="D15" s="15">
        <f>862+89+12</f>
        <v>963</v>
      </c>
      <c r="E15" s="15">
        <f>271+8+16</f>
        <v>295</v>
      </c>
      <c r="F15" s="15"/>
      <c r="G15" s="15">
        <f t="shared" si="0"/>
        <v>5406</v>
      </c>
    </row>
    <row r="16" spans="1:7" x14ac:dyDescent="0.25">
      <c r="A16" s="10" t="s">
        <v>25</v>
      </c>
      <c r="B16" s="15">
        <v>46</v>
      </c>
      <c r="C16" s="15">
        <v>3270</v>
      </c>
      <c r="D16" s="15">
        <v>994</v>
      </c>
      <c r="E16" s="15">
        <v>218</v>
      </c>
      <c r="F16" s="15"/>
      <c r="G16" s="15">
        <f t="shared" si="0"/>
        <v>4528</v>
      </c>
    </row>
    <row r="17" spans="1:7" x14ac:dyDescent="0.25">
      <c r="A17" s="12" t="s">
        <v>26</v>
      </c>
      <c r="B17" s="15">
        <v>39</v>
      </c>
      <c r="C17" s="15">
        <v>2622</v>
      </c>
      <c r="D17" s="15">
        <v>1122</v>
      </c>
      <c r="E17" s="15">
        <v>156</v>
      </c>
      <c r="F17" s="15"/>
      <c r="G17" s="15">
        <f t="shared" si="0"/>
        <v>3939</v>
      </c>
    </row>
    <row r="18" spans="1:7" x14ac:dyDescent="0.25">
      <c r="A18" s="11" t="s">
        <v>27</v>
      </c>
      <c r="B18" s="15">
        <v>23</v>
      </c>
      <c r="C18" s="15">
        <v>1555</v>
      </c>
      <c r="D18" s="15">
        <v>833</v>
      </c>
      <c r="E18" s="15">
        <v>730</v>
      </c>
      <c r="F18" s="15"/>
      <c r="G18" s="15">
        <f t="shared" si="0"/>
        <v>3141</v>
      </c>
    </row>
    <row r="19" spans="1:7" x14ac:dyDescent="0.25">
      <c r="A19" s="8" t="s">
        <v>28</v>
      </c>
      <c r="B19" s="15">
        <v>33</v>
      </c>
      <c r="C19" s="15">
        <v>1772</v>
      </c>
      <c r="D19" s="15">
        <v>747</v>
      </c>
      <c r="E19" s="15">
        <v>264</v>
      </c>
      <c r="F19" s="15"/>
      <c r="G19" s="15">
        <f t="shared" si="0"/>
        <v>2816</v>
      </c>
    </row>
    <row r="20" spans="1:7" x14ac:dyDescent="0.25">
      <c r="A20" s="12" t="s">
        <v>29</v>
      </c>
      <c r="B20" s="15">
        <v>51</v>
      </c>
      <c r="C20" s="15">
        <v>2655</v>
      </c>
      <c r="D20" s="15">
        <v>1284</v>
      </c>
      <c r="E20" s="15">
        <v>424</v>
      </c>
      <c r="F20" s="15"/>
      <c r="G20" s="15">
        <f t="shared" si="0"/>
        <v>4414</v>
      </c>
    </row>
    <row r="21" spans="1:7" x14ac:dyDescent="0.25">
      <c r="A21" s="9" t="s">
        <v>30</v>
      </c>
      <c r="B21" s="15">
        <v>23</v>
      </c>
      <c r="C21" s="15">
        <f>1842+286+18</f>
        <v>2146</v>
      </c>
      <c r="D21" s="15">
        <f>767+68+4</f>
        <v>839</v>
      </c>
      <c r="E21" s="15">
        <f>349+6+21</f>
        <v>376</v>
      </c>
      <c r="F21" s="15"/>
      <c r="G21" s="15">
        <f t="shared" si="0"/>
        <v>3384</v>
      </c>
    </row>
    <row r="22" spans="1:7" x14ac:dyDescent="0.25">
      <c r="A22" s="10" t="s">
        <v>31</v>
      </c>
      <c r="B22" s="15">
        <v>25</v>
      </c>
      <c r="C22" s="15">
        <f>2397+253</f>
        <v>2650</v>
      </c>
      <c r="D22" s="15">
        <f>894+15+4</f>
        <v>913</v>
      </c>
      <c r="E22" s="15">
        <f>206+10</f>
        <v>216</v>
      </c>
      <c r="F22" s="15"/>
      <c r="G22" s="15">
        <f t="shared" si="0"/>
        <v>3804</v>
      </c>
    </row>
    <row r="23" spans="1:7" x14ac:dyDescent="0.25">
      <c r="A23" s="13" t="s">
        <v>32</v>
      </c>
      <c r="B23" s="15">
        <v>11</v>
      </c>
      <c r="C23" s="15">
        <v>1514</v>
      </c>
      <c r="D23" s="15">
        <v>459</v>
      </c>
      <c r="E23" s="15">
        <v>187</v>
      </c>
      <c r="F23" s="15"/>
      <c r="G23" s="15">
        <f t="shared" si="0"/>
        <v>2171</v>
      </c>
    </row>
    <row r="24" spans="1:7" x14ac:dyDescent="0.25">
      <c r="A24" s="8" t="s">
        <v>33</v>
      </c>
      <c r="B24" s="15">
        <v>37</v>
      </c>
      <c r="C24" s="15">
        <v>3201</v>
      </c>
      <c r="D24" s="15">
        <v>1152</v>
      </c>
      <c r="E24" s="15">
        <v>133</v>
      </c>
      <c r="F24" s="15"/>
      <c r="G24" s="15">
        <f t="shared" si="0"/>
        <v>4523</v>
      </c>
    </row>
    <row r="25" spans="1:7" x14ac:dyDescent="0.25">
      <c r="A25" s="13" t="s">
        <v>34</v>
      </c>
      <c r="B25" s="15">
        <v>37</v>
      </c>
      <c r="C25" s="15">
        <f>2808+307</f>
        <v>3115</v>
      </c>
      <c r="D25" s="15">
        <f>1216+188</f>
        <v>1404</v>
      </c>
      <c r="E25" s="15">
        <v>141</v>
      </c>
      <c r="F25" s="15"/>
      <c r="G25" s="15">
        <f t="shared" si="0"/>
        <v>4697</v>
      </c>
    </row>
    <row r="26" spans="1:7" x14ac:dyDescent="0.25">
      <c r="A26" s="10" t="s">
        <v>35</v>
      </c>
      <c r="B26" s="15">
        <v>16</v>
      </c>
      <c r="C26" s="15">
        <f>1744+269</f>
        <v>2013</v>
      </c>
      <c r="D26" s="15">
        <f>735+92</f>
        <v>827</v>
      </c>
      <c r="E26" s="15">
        <f>75</f>
        <v>75</v>
      </c>
      <c r="F26" s="15"/>
      <c r="G26" s="15">
        <f t="shared" si="0"/>
        <v>2931</v>
      </c>
    </row>
    <row r="27" spans="1:7" x14ac:dyDescent="0.25">
      <c r="A27" s="8" t="s">
        <v>36</v>
      </c>
      <c r="B27" s="15">
        <f>13+2+6</f>
        <v>21</v>
      </c>
      <c r="C27" s="15">
        <f>1254+455+652</f>
        <v>2361</v>
      </c>
      <c r="D27" s="15">
        <f>706+206+225</f>
        <v>1137</v>
      </c>
      <c r="E27" s="15">
        <f>169+55+55</f>
        <v>279</v>
      </c>
      <c r="F27" s="15"/>
      <c r="G27" s="15">
        <f t="shared" si="0"/>
        <v>3798</v>
      </c>
    </row>
    <row r="28" spans="1:7" x14ac:dyDescent="0.25">
      <c r="A28" s="13" t="s">
        <v>37</v>
      </c>
      <c r="B28" s="15">
        <v>24</v>
      </c>
      <c r="C28" s="15">
        <f>2476+269+59</f>
        <v>2804</v>
      </c>
      <c r="D28" s="15">
        <f>1172+146+2</f>
        <v>1320</v>
      </c>
      <c r="E28" s="15">
        <f>191+12+1</f>
        <v>204</v>
      </c>
      <c r="F28" s="15"/>
      <c r="G28" s="15">
        <f t="shared" si="0"/>
        <v>4352</v>
      </c>
    </row>
    <row r="29" spans="1:7" x14ac:dyDescent="0.25">
      <c r="A29" s="9" t="s">
        <v>38</v>
      </c>
      <c r="B29" s="15">
        <v>13</v>
      </c>
      <c r="C29" s="15">
        <f>2852+340</f>
        <v>3192</v>
      </c>
      <c r="D29" s="15">
        <f>1063+154</f>
        <v>1217</v>
      </c>
      <c r="E29" s="15">
        <v>254</v>
      </c>
      <c r="F29" s="15"/>
      <c r="G29" s="15">
        <f t="shared" si="0"/>
        <v>4676</v>
      </c>
    </row>
    <row r="30" spans="1:7" x14ac:dyDescent="0.25">
      <c r="A30" s="8" t="s">
        <v>39</v>
      </c>
      <c r="B30" s="15">
        <v>15</v>
      </c>
      <c r="C30" s="15">
        <f>1721</f>
        <v>1721</v>
      </c>
      <c r="D30" s="15">
        <v>618</v>
      </c>
      <c r="E30" s="15">
        <v>253</v>
      </c>
      <c r="F30" s="15"/>
      <c r="G30" s="15">
        <f t="shared" si="0"/>
        <v>2607</v>
      </c>
    </row>
    <row r="31" spans="1:7" x14ac:dyDescent="0.25">
      <c r="A31" s="8" t="s">
        <v>40</v>
      </c>
      <c r="B31" s="15">
        <v>12</v>
      </c>
      <c r="C31" s="15">
        <f>1434+190</f>
        <v>1624</v>
      </c>
      <c r="D31" s="15">
        <f>411+59</f>
        <v>470</v>
      </c>
      <c r="E31" s="15">
        <f>101+34</f>
        <v>135</v>
      </c>
      <c r="F31" s="15"/>
      <c r="G31" s="15">
        <f t="shared" si="0"/>
        <v>2241</v>
      </c>
    </row>
    <row r="32" spans="1:7" x14ac:dyDescent="0.25">
      <c r="A32" s="8" t="s">
        <v>41</v>
      </c>
      <c r="B32" s="15">
        <v>18</v>
      </c>
      <c r="C32" s="15">
        <f>1946+220</f>
        <v>2166</v>
      </c>
      <c r="D32" s="15">
        <f>503+79+2</f>
        <v>584</v>
      </c>
      <c r="E32" s="15">
        <f>541+59</f>
        <v>600</v>
      </c>
      <c r="F32" s="15"/>
      <c r="G32" s="15">
        <f t="shared" si="0"/>
        <v>3368</v>
      </c>
    </row>
    <row r="33" spans="1:7" x14ac:dyDescent="0.25">
      <c r="A33" s="10" t="s">
        <v>42</v>
      </c>
      <c r="B33" s="15">
        <v>21</v>
      </c>
      <c r="C33" s="15">
        <f>1927+387</f>
        <v>2314</v>
      </c>
      <c r="D33" s="15">
        <f>733+48+2</f>
        <v>783</v>
      </c>
      <c r="E33" s="15">
        <f>641</f>
        <v>641</v>
      </c>
      <c r="F33" s="15"/>
      <c r="G33" s="15">
        <f t="shared" si="0"/>
        <v>3759</v>
      </c>
    </row>
    <row r="34" spans="1:7" x14ac:dyDescent="0.25">
      <c r="A34" s="8" t="s">
        <v>43</v>
      </c>
      <c r="B34" s="15">
        <v>31</v>
      </c>
      <c r="C34" s="15">
        <f>1495+269+27</f>
        <v>1791</v>
      </c>
      <c r="D34" s="15">
        <f>530+83+22</f>
        <v>635</v>
      </c>
      <c r="E34" s="15">
        <f>181+6+5</f>
        <v>192</v>
      </c>
      <c r="F34" s="15"/>
      <c r="G34" s="15">
        <f t="shared" ref="G34:G69" si="1">SUM(B34:E34)</f>
        <v>2649</v>
      </c>
    </row>
    <row r="35" spans="1:7" x14ac:dyDescent="0.25">
      <c r="A35" s="9" t="s">
        <v>44</v>
      </c>
      <c r="B35" s="15">
        <f>27+3+2</f>
        <v>32</v>
      </c>
      <c r="C35" s="15">
        <f>1836+465+168</f>
        <v>2469</v>
      </c>
      <c r="D35" s="15">
        <f>600+102+45</f>
        <v>747</v>
      </c>
      <c r="E35" s="15">
        <f>261+22+30</f>
        <v>313</v>
      </c>
      <c r="F35" s="15"/>
      <c r="G35" s="15">
        <f t="shared" si="1"/>
        <v>3561</v>
      </c>
    </row>
    <row r="36" spans="1:7" x14ac:dyDescent="0.25">
      <c r="A36" s="8" t="s">
        <v>45</v>
      </c>
      <c r="B36" s="15">
        <v>26</v>
      </c>
      <c r="C36" s="15">
        <v>2519</v>
      </c>
      <c r="D36" s="15">
        <v>916</v>
      </c>
      <c r="E36" s="15">
        <v>214</v>
      </c>
      <c r="F36" s="15"/>
      <c r="G36" s="15">
        <f t="shared" si="1"/>
        <v>3675</v>
      </c>
    </row>
    <row r="37" spans="1:7" x14ac:dyDescent="0.25">
      <c r="A37" s="11" t="s">
        <v>46</v>
      </c>
      <c r="B37" s="15">
        <v>11</v>
      </c>
      <c r="C37" s="15">
        <v>1633</v>
      </c>
      <c r="D37" s="15">
        <v>588</v>
      </c>
      <c r="E37" s="15">
        <v>111</v>
      </c>
      <c r="F37" s="15"/>
      <c r="G37" s="15">
        <f t="shared" si="1"/>
        <v>2343</v>
      </c>
    </row>
    <row r="38" spans="1:7" x14ac:dyDescent="0.25">
      <c r="A38" s="8" t="s">
        <v>47</v>
      </c>
      <c r="B38" s="15">
        <v>31</v>
      </c>
      <c r="C38" s="15">
        <f>5191+70+548+825</f>
        <v>6634</v>
      </c>
      <c r="D38" s="15">
        <f>1041+6+58+58</f>
        <v>1163</v>
      </c>
      <c r="E38" s="15">
        <f>1601+8+19+15</f>
        <v>1643</v>
      </c>
      <c r="F38" s="15"/>
      <c r="G38" s="15">
        <f t="shared" si="1"/>
        <v>9471</v>
      </c>
    </row>
    <row r="39" spans="1:7" x14ac:dyDescent="0.25">
      <c r="A39" s="13" t="s">
        <v>48</v>
      </c>
      <c r="B39" s="15">
        <f>12+2+5+2+11+6</f>
        <v>38</v>
      </c>
      <c r="C39" s="15">
        <f>2173+189+862+529+400+279</f>
        <v>4432</v>
      </c>
      <c r="D39" s="15">
        <f>229+73+204+179+92+94</f>
        <v>871</v>
      </c>
      <c r="E39" s="15">
        <f>53+34+95+219+54+18</f>
        <v>473</v>
      </c>
      <c r="F39" s="15"/>
      <c r="G39" s="15">
        <f t="shared" si="1"/>
        <v>5814</v>
      </c>
    </row>
    <row r="40" spans="1:7" x14ac:dyDescent="0.25">
      <c r="A40" s="10" t="s">
        <v>49</v>
      </c>
      <c r="B40" s="15">
        <v>40</v>
      </c>
      <c r="C40" s="15">
        <f>5248+667</f>
        <v>5915</v>
      </c>
      <c r="D40" s="15">
        <f>1067+17</f>
        <v>1084</v>
      </c>
      <c r="E40" s="15">
        <v>353</v>
      </c>
      <c r="F40" s="15"/>
      <c r="G40" s="15">
        <f t="shared" si="1"/>
        <v>7392</v>
      </c>
    </row>
    <row r="41" spans="1:7" x14ac:dyDescent="0.25">
      <c r="A41" s="13" t="s">
        <v>50</v>
      </c>
      <c r="B41" s="15">
        <v>44</v>
      </c>
      <c r="C41" s="15">
        <f>2470+708</f>
        <v>3178</v>
      </c>
      <c r="D41" s="15">
        <f>908+187</f>
        <v>1095</v>
      </c>
      <c r="E41" s="15">
        <f>442+107</f>
        <v>549</v>
      </c>
      <c r="F41" s="15"/>
      <c r="G41" s="15">
        <f t="shared" si="1"/>
        <v>4866</v>
      </c>
    </row>
    <row r="42" spans="1:7" x14ac:dyDescent="0.25">
      <c r="A42" s="8" t="s">
        <v>51</v>
      </c>
      <c r="B42" s="15">
        <v>25</v>
      </c>
      <c r="C42" s="15">
        <f>2305+399</f>
        <v>2704</v>
      </c>
      <c r="D42" s="15">
        <f>896+130</f>
        <v>1026</v>
      </c>
      <c r="E42" s="15">
        <f>574+60</f>
        <v>634</v>
      </c>
      <c r="F42" s="15"/>
      <c r="G42" s="15">
        <f t="shared" si="1"/>
        <v>4389</v>
      </c>
    </row>
    <row r="43" spans="1:7" x14ac:dyDescent="0.25">
      <c r="A43" s="13" t="s">
        <v>52</v>
      </c>
      <c r="B43" s="15">
        <v>22</v>
      </c>
      <c r="C43" s="15">
        <f>2885+263</f>
        <v>3148</v>
      </c>
      <c r="D43" s="15">
        <f>1202+45</f>
        <v>1247</v>
      </c>
      <c r="E43" s="15">
        <f>375+14</f>
        <v>389</v>
      </c>
      <c r="F43" s="15"/>
      <c r="G43" s="15">
        <f t="shared" si="1"/>
        <v>4806</v>
      </c>
    </row>
    <row r="44" spans="1:7" x14ac:dyDescent="0.25">
      <c r="A44" s="10" t="s">
        <v>53</v>
      </c>
      <c r="B44" s="15">
        <v>8</v>
      </c>
      <c r="C44" s="15">
        <f>2576+464</f>
        <v>3040</v>
      </c>
      <c r="D44" s="15">
        <f>590+97</f>
        <v>687</v>
      </c>
      <c r="E44" s="15">
        <f>379+19</f>
        <v>398</v>
      </c>
      <c r="F44" s="15"/>
      <c r="G44" s="15">
        <f t="shared" si="1"/>
        <v>4133</v>
      </c>
    </row>
    <row r="45" spans="1:7" x14ac:dyDescent="0.25">
      <c r="A45" s="8" t="s">
        <v>54</v>
      </c>
      <c r="B45" s="15">
        <v>28</v>
      </c>
      <c r="C45" s="15">
        <f>2734+520+66</f>
        <v>3320</v>
      </c>
      <c r="D45" s="15">
        <f>486+57+12</f>
        <v>555</v>
      </c>
      <c r="E45" s="15">
        <f>269+26+22</f>
        <v>317</v>
      </c>
      <c r="F45" s="15"/>
      <c r="G45" s="15">
        <f t="shared" si="1"/>
        <v>4220</v>
      </c>
    </row>
    <row r="46" spans="1:7" x14ac:dyDescent="0.25">
      <c r="A46" s="10" t="s">
        <v>55</v>
      </c>
      <c r="B46" s="15">
        <v>9</v>
      </c>
      <c r="C46" s="15">
        <f>2548+415</f>
        <v>2963</v>
      </c>
      <c r="D46" s="15">
        <f>556+41</f>
        <v>597</v>
      </c>
      <c r="E46" s="15">
        <f>213+5</f>
        <v>218</v>
      </c>
      <c r="F46" s="15"/>
      <c r="G46" s="15">
        <f t="shared" si="1"/>
        <v>3787</v>
      </c>
    </row>
    <row r="47" spans="1:7" x14ac:dyDescent="0.25">
      <c r="A47" s="10" t="s">
        <v>56</v>
      </c>
      <c r="B47" s="15">
        <f>16+3+1</f>
        <v>20</v>
      </c>
      <c r="C47" s="15">
        <f>1065+2945+281+396</f>
        <v>4687</v>
      </c>
      <c r="D47" s="15">
        <f>185+459+45+61</f>
        <v>750</v>
      </c>
      <c r="E47" s="15">
        <f>55+199+27+8</f>
        <v>289</v>
      </c>
      <c r="F47" s="15"/>
      <c r="G47" s="15">
        <f t="shared" si="1"/>
        <v>5746</v>
      </c>
    </row>
    <row r="48" spans="1:7" x14ac:dyDescent="0.25">
      <c r="A48" s="10" t="s">
        <v>57</v>
      </c>
      <c r="B48" s="15">
        <v>17</v>
      </c>
      <c r="C48" s="15">
        <f>2474+392</f>
        <v>2866</v>
      </c>
      <c r="D48" s="15">
        <f>539+134</f>
        <v>673</v>
      </c>
      <c r="E48" s="15">
        <f>329+47</f>
        <v>376</v>
      </c>
      <c r="F48" s="15"/>
      <c r="G48" s="15">
        <f t="shared" si="1"/>
        <v>3932</v>
      </c>
    </row>
    <row r="49" spans="1:7" x14ac:dyDescent="0.25">
      <c r="A49" s="10" t="s">
        <v>58</v>
      </c>
      <c r="B49" s="15">
        <v>18</v>
      </c>
      <c r="C49" s="15">
        <f>3404+345</f>
        <v>3749</v>
      </c>
      <c r="D49" s="15">
        <f>514+46</f>
        <v>560</v>
      </c>
      <c r="E49" s="15">
        <f>897+9</f>
        <v>906</v>
      </c>
      <c r="F49" s="15"/>
      <c r="G49" s="15">
        <f t="shared" si="1"/>
        <v>5233</v>
      </c>
    </row>
    <row r="50" spans="1:7" x14ac:dyDescent="0.25">
      <c r="A50" s="8" t="s">
        <v>59</v>
      </c>
      <c r="B50" s="15">
        <v>16</v>
      </c>
      <c r="C50" s="15">
        <f>3994+195</f>
        <v>4189</v>
      </c>
      <c r="D50" s="15">
        <f>735+17</f>
        <v>752</v>
      </c>
      <c r="E50" s="15">
        <f>351+15</f>
        <v>366</v>
      </c>
      <c r="F50" s="15"/>
      <c r="G50" s="15">
        <f t="shared" si="1"/>
        <v>5323</v>
      </c>
    </row>
    <row r="51" spans="1:7" x14ac:dyDescent="0.25">
      <c r="A51" s="8" t="s">
        <v>60</v>
      </c>
      <c r="B51" s="15">
        <v>36</v>
      </c>
      <c r="C51" s="15">
        <f>2148+177</f>
        <v>2325</v>
      </c>
      <c r="D51" s="15">
        <v>645</v>
      </c>
      <c r="E51" s="15">
        <v>160</v>
      </c>
      <c r="F51" s="15"/>
      <c r="G51" s="15">
        <f t="shared" si="1"/>
        <v>3166</v>
      </c>
    </row>
    <row r="52" spans="1:7" x14ac:dyDescent="0.25">
      <c r="A52" s="10" t="s">
        <v>61</v>
      </c>
      <c r="B52" s="15">
        <f>12+4+1+7+4</f>
        <v>28</v>
      </c>
      <c r="C52" s="15">
        <f>816+797+263+250+918+292+115</f>
        <v>3451</v>
      </c>
      <c r="D52" s="15">
        <f>203+61+194+226+120+71+443</f>
        <v>1318</v>
      </c>
      <c r="E52" s="15">
        <f>72+37+39+47+8+17+39</f>
        <v>259</v>
      </c>
      <c r="F52" s="15"/>
      <c r="G52" s="15">
        <f t="shared" si="1"/>
        <v>5056</v>
      </c>
    </row>
    <row r="53" spans="1:7" x14ac:dyDescent="0.25">
      <c r="A53" s="13" t="s">
        <v>62</v>
      </c>
      <c r="B53" s="15">
        <v>29</v>
      </c>
      <c r="C53" s="15">
        <f>4164+272</f>
        <v>4436</v>
      </c>
      <c r="D53" s="15">
        <f>1118+77</f>
        <v>1195</v>
      </c>
      <c r="E53" s="15">
        <f>501</f>
        <v>501</v>
      </c>
      <c r="F53" s="15"/>
      <c r="G53" s="15">
        <f t="shared" si="1"/>
        <v>6161</v>
      </c>
    </row>
    <row r="54" spans="1:7" x14ac:dyDescent="0.25">
      <c r="A54" s="8" t="s">
        <v>63</v>
      </c>
      <c r="B54" s="15">
        <v>11</v>
      </c>
      <c r="C54" s="15">
        <f>2682+62</f>
        <v>2744</v>
      </c>
      <c r="D54" s="15">
        <f>623+38</f>
        <v>661</v>
      </c>
      <c r="E54" s="15">
        <f>865</f>
        <v>865</v>
      </c>
      <c r="F54" s="15"/>
      <c r="G54" s="15">
        <f t="shared" si="1"/>
        <v>4281</v>
      </c>
    </row>
    <row r="55" spans="1:7" x14ac:dyDescent="0.25">
      <c r="A55" s="10" t="s">
        <v>64</v>
      </c>
      <c r="B55" s="15">
        <v>17</v>
      </c>
      <c r="C55" s="15">
        <f>3154+571</f>
        <v>3725</v>
      </c>
      <c r="D55" s="15">
        <f>956+34</f>
        <v>990</v>
      </c>
      <c r="E55" s="15">
        <f>1203+6</f>
        <v>1209</v>
      </c>
      <c r="F55" s="15"/>
      <c r="G55" s="15">
        <f t="shared" si="1"/>
        <v>5941</v>
      </c>
    </row>
    <row r="56" spans="1:7" x14ac:dyDescent="0.25">
      <c r="A56" s="10" t="s">
        <v>65</v>
      </c>
      <c r="B56" s="15">
        <v>42</v>
      </c>
      <c r="C56" s="15">
        <f>2030+426+137</f>
        <v>2593</v>
      </c>
      <c r="D56" s="15">
        <f>868+67+13</f>
        <v>948</v>
      </c>
      <c r="E56" s="15">
        <f>922</f>
        <v>922</v>
      </c>
      <c r="F56" s="15"/>
      <c r="G56" s="15">
        <f t="shared" si="1"/>
        <v>4505</v>
      </c>
    </row>
    <row r="57" spans="1:7" x14ac:dyDescent="0.25">
      <c r="A57" s="9" t="s">
        <v>66</v>
      </c>
      <c r="B57" s="15">
        <v>20</v>
      </c>
      <c r="C57" s="15">
        <f>2876+790</f>
        <v>3666</v>
      </c>
      <c r="D57" s="15">
        <f>819+81</f>
        <v>900</v>
      </c>
      <c r="E57" s="15">
        <f>463+20</f>
        <v>483</v>
      </c>
      <c r="F57" s="15"/>
      <c r="G57" s="15">
        <f t="shared" si="1"/>
        <v>5069</v>
      </c>
    </row>
    <row r="58" spans="1:7" x14ac:dyDescent="0.25">
      <c r="A58" s="10" t="s">
        <v>67</v>
      </c>
      <c r="B58" s="15">
        <v>25</v>
      </c>
      <c r="C58" s="15">
        <f>1286+360+164+320+320+466</f>
        <v>2916</v>
      </c>
      <c r="D58" s="15">
        <f>501+130+88+191+87+95</f>
        <v>1092</v>
      </c>
      <c r="E58" s="15">
        <f>305+21+12+33+14+30</f>
        <v>415</v>
      </c>
      <c r="F58" s="15"/>
      <c r="G58" s="15">
        <f t="shared" si="1"/>
        <v>4448</v>
      </c>
    </row>
    <row r="59" spans="1:7" x14ac:dyDescent="0.25">
      <c r="A59" s="8" t="s">
        <v>68</v>
      </c>
      <c r="B59" s="15">
        <v>11</v>
      </c>
      <c r="C59" s="15">
        <f>1558+216+237</f>
        <v>2011</v>
      </c>
      <c r="D59" s="15">
        <f>836+149+1+1+162+1</f>
        <v>1150</v>
      </c>
      <c r="E59" s="15">
        <f>253+13+34</f>
        <v>300</v>
      </c>
      <c r="F59" s="15"/>
      <c r="G59" s="15">
        <f t="shared" si="1"/>
        <v>3472</v>
      </c>
    </row>
    <row r="60" spans="1:7" x14ac:dyDescent="0.25">
      <c r="A60" s="13" t="s">
        <v>69</v>
      </c>
      <c r="B60" s="15">
        <f>23</f>
        <v>23</v>
      </c>
      <c r="C60" s="15">
        <f>2548+59+27</f>
        <v>2634</v>
      </c>
      <c r="D60" s="15">
        <f>870+2+2+20+13</f>
        <v>907</v>
      </c>
      <c r="E60" s="15">
        <v>156</v>
      </c>
      <c r="F60" s="15"/>
      <c r="G60" s="15">
        <f t="shared" si="1"/>
        <v>3720</v>
      </c>
    </row>
    <row r="61" spans="1:7" x14ac:dyDescent="0.25">
      <c r="A61" s="13" t="s">
        <v>70</v>
      </c>
      <c r="B61" s="15">
        <v>14</v>
      </c>
      <c r="C61" s="15">
        <f>2824+220+196</f>
        <v>3240</v>
      </c>
      <c r="D61" s="15">
        <f>1018+28+25</f>
        <v>1071</v>
      </c>
      <c r="E61" s="15">
        <f>308+18+29</f>
        <v>355</v>
      </c>
      <c r="F61" s="15"/>
      <c r="G61" s="15">
        <f t="shared" si="1"/>
        <v>4680</v>
      </c>
    </row>
    <row r="62" spans="1:7" x14ac:dyDescent="0.25">
      <c r="A62" s="10" t="s">
        <v>71</v>
      </c>
      <c r="B62" s="15">
        <v>14</v>
      </c>
      <c r="C62" s="15">
        <f>6092+231+182</f>
        <v>6505</v>
      </c>
      <c r="D62" s="15">
        <f>807+26+89</f>
        <v>922</v>
      </c>
      <c r="E62" s="15">
        <f>505+16</f>
        <v>521</v>
      </c>
      <c r="F62" s="15"/>
      <c r="G62" s="15">
        <f t="shared" si="1"/>
        <v>7962</v>
      </c>
    </row>
    <row r="63" spans="1:7" x14ac:dyDescent="0.25">
      <c r="A63" s="13" t="s">
        <v>72</v>
      </c>
      <c r="B63" s="15">
        <v>24</v>
      </c>
      <c r="C63" s="15">
        <f>4103+78+126</f>
        <v>4307</v>
      </c>
      <c r="D63" s="15">
        <f>823+5+37</f>
        <v>865</v>
      </c>
      <c r="E63" s="15">
        <f>505</f>
        <v>505</v>
      </c>
      <c r="F63" s="15"/>
      <c r="G63" s="15">
        <f t="shared" si="1"/>
        <v>5701</v>
      </c>
    </row>
    <row r="64" spans="1:7" x14ac:dyDescent="0.25">
      <c r="A64" s="13" t="s">
        <v>73</v>
      </c>
      <c r="B64" s="15">
        <v>58</v>
      </c>
      <c r="C64" s="15">
        <f>3727+198+186</f>
        <v>4111</v>
      </c>
      <c r="D64" s="15">
        <f>1678+57+53</f>
        <v>1788</v>
      </c>
      <c r="E64" s="15">
        <f>290</f>
        <v>290</v>
      </c>
      <c r="F64" s="15"/>
      <c r="G64" s="15">
        <f t="shared" si="1"/>
        <v>6247</v>
      </c>
    </row>
    <row r="65" spans="1:7" x14ac:dyDescent="0.25">
      <c r="A65" s="8" t="s">
        <v>74</v>
      </c>
      <c r="B65" s="15">
        <v>9</v>
      </c>
      <c r="C65" s="15">
        <f>2423+702+288+358+231+347</f>
        <v>4349</v>
      </c>
      <c r="D65" s="15">
        <f>560+125+66+107+70+127</f>
        <v>1055</v>
      </c>
      <c r="E65" s="15">
        <f>361+64+19+25+22+38</f>
        <v>529</v>
      </c>
      <c r="F65" s="15"/>
      <c r="G65" s="15">
        <f t="shared" si="1"/>
        <v>5942</v>
      </c>
    </row>
    <row r="66" spans="1:7" x14ac:dyDescent="0.25">
      <c r="A66" s="9" t="s">
        <v>75</v>
      </c>
      <c r="B66" s="15">
        <f>13</f>
        <v>13</v>
      </c>
      <c r="C66" s="15">
        <f>4810+396+121</f>
        <v>5327</v>
      </c>
      <c r="D66" s="15">
        <f>965+69+3+9</f>
        <v>1046</v>
      </c>
      <c r="E66" s="15">
        <f>935+14+8</f>
        <v>957</v>
      </c>
      <c r="F66" s="15"/>
      <c r="G66" s="15">
        <f t="shared" si="1"/>
        <v>7343</v>
      </c>
    </row>
    <row r="67" spans="1:7" x14ac:dyDescent="0.25">
      <c r="A67" s="10" t="s">
        <v>76</v>
      </c>
      <c r="B67" s="15">
        <v>15</v>
      </c>
      <c r="C67" s="15">
        <f>3406+172+214</f>
        <v>3792</v>
      </c>
      <c r="D67" s="15">
        <f>828+13+23</f>
        <v>864</v>
      </c>
      <c r="E67" s="15">
        <f>362</f>
        <v>362</v>
      </c>
      <c r="F67" s="15"/>
      <c r="G67" s="15">
        <f t="shared" si="1"/>
        <v>5033</v>
      </c>
    </row>
    <row r="68" spans="1:7" x14ac:dyDescent="0.25">
      <c r="A68" s="13" t="s">
        <v>77</v>
      </c>
      <c r="B68" s="15">
        <v>8</v>
      </c>
      <c r="C68" s="15">
        <f>3017+114+40</f>
        <v>3171</v>
      </c>
      <c r="D68" s="15">
        <f>621+30+7</f>
        <v>658</v>
      </c>
      <c r="E68" s="15">
        <f>1064+86+26</f>
        <v>1176</v>
      </c>
      <c r="F68" s="15"/>
      <c r="G68" s="15">
        <f t="shared" si="1"/>
        <v>5013</v>
      </c>
    </row>
    <row r="69" spans="1:7" x14ac:dyDescent="0.25">
      <c r="A69" s="10" t="s">
        <v>78</v>
      </c>
      <c r="B69" s="15">
        <v>6</v>
      </c>
      <c r="C69" s="15">
        <f>3224+77+43</f>
        <v>3344</v>
      </c>
      <c r="D69" s="15">
        <f>538+1+10</f>
        <v>549</v>
      </c>
      <c r="E69" s="15">
        <f>354+2+19</f>
        <v>375</v>
      </c>
      <c r="F69" s="15"/>
      <c r="G69" s="15">
        <f t="shared" si="1"/>
        <v>4274</v>
      </c>
    </row>
    <row r="70" spans="1:7" x14ac:dyDescent="0.25">
      <c r="A70" s="15"/>
      <c r="B70" s="15"/>
      <c r="C70" s="15"/>
      <c r="D70" s="15"/>
      <c r="E70" s="15"/>
      <c r="F70" s="15"/>
      <c r="G70" s="15"/>
    </row>
    <row r="71" spans="1:7" x14ac:dyDescent="0.25">
      <c r="A71" s="15"/>
      <c r="B71" s="15"/>
      <c r="C71" s="15"/>
      <c r="D71" s="15"/>
      <c r="E71" s="15"/>
      <c r="F71" s="15"/>
      <c r="G71" s="15"/>
    </row>
    <row r="72" spans="1:7" x14ac:dyDescent="0.25">
      <c r="A72" s="15" t="s">
        <v>10</v>
      </c>
      <c r="B72" s="15">
        <f>SUM(B2:B69)</f>
        <v>1638</v>
      </c>
      <c r="C72" s="15">
        <f t="shared" ref="C72:G72" si="2">SUM(C2:C69)</f>
        <v>204474</v>
      </c>
      <c r="D72" s="15">
        <f t="shared" si="2"/>
        <v>61395</v>
      </c>
      <c r="E72" s="15">
        <f t="shared" si="2"/>
        <v>28091</v>
      </c>
      <c r="F72" s="15">
        <f t="shared" si="2"/>
        <v>0</v>
      </c>
      <c r="G72" s="15">
        <f t="shared" si="2"/>
        <v>295598</v>
      </c>
    </row>
  </sheetData>
  <sortState ref="A2:G69">
    <sortCondition descending="1" ref="G2:G69"/>
  </sortState>
  <pageMargins left="0.7" right="0.7" top="0.75" bottom="0.75" header="0.3" footer="0.3"/>
  <pageSetup paperSize="9" scale="56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Company>Melkosoft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специалист Иванов А.Ю.</dc:creator>
  <cp:lastModifiedBy>Минюст 41.</cp:lastModifiedBy>
  <cp:lastPrinted>2021-02-17T07:45:23Z</cp:lastPrinted>
  <dcterms:created xsi:type="dcterms:W3CDTF">2013-03-21T04:30:57Z</dcterms:created>
  <dcterms:modified xsi:type="dcterms:W3CDTF">2021-02-17T07:45:37Z</dcterms:modified>
</cp:coreProperties>
</file>