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'Лист1'!$A$1:$J$128</definedName>
  </definedNames>
  <calcPr fullCalcOnLoad="1"/>
</workbook>
</file>

<file path=xl/sharedStrings.xml><?xml version="1.0" encoding="utf-8"?>
<sst xmlns="http://schemas.openxmlformats.org/spreadsheetml/2006/main" count="1162" uniqueCount="321">
  <si>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</si>
  <si>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</si>
  <si>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</si>
  <si>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</si>
  <si>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</si>
  <si>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</si>
  <si>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</si>
  <si>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</si>
  <si>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</si>
  <si>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</si>
  <si>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</si>
  <si>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</si>
  <si>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</si>
  <si>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</si>
  <si>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</si>
  <si>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</si>
  <si>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</si>
  <si>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</si>
  <si>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</si>
  <si>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</si>
  <si>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</si>
  <si>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</si>
  <si>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</si>
  <si>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</si>
  <si>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</si>
  <si>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</si>
  <si>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</si>
  <si>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</si>
  <si>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</si>
  <si>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</si>
  <si>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</si>
  <si>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</si>
  <si>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</si>
  <si>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</si>
  <si>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</si>
  <si>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</si>
  <si>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</si>
  <si>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</si>
  <si>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</si>
  <si>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</si>
  <si>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</si>
  <si>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</si>
  <si>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</si>
  <si>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</si>
  <si>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</si>
  <si>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</si>
  <si>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</si>
  <si>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</si>
  <si>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</si>
  <si>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</si>
  <si>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</si>
  <si>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</si>
  <si>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</si>
  <si>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</si>
  <si>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</si>
  <si>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</si>
  <si>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</si>
  <si>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</si>
  <si>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</si>
  <si>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</si>
  <si>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</si>
  <si>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</si>
  <si>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</si>
  <si>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</si>
  <si>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</si>
  <si>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</si>
  <si>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</si>
  <si>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</si>
  <si>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</si>
  <si>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</si>
  <si>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</si>
  <si>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</si>
  <si>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</si>
  <si>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</si>
  <si>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</si>
  <si>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</si>
  <si>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</si>
  <si>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</si>
  <si>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</si>
  <si>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</si>
  <si>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</si>
  <si>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</si>
  <si>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</si>
  <si>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</si>
  <si>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</si>
  <si>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</si>
  <si>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</si>
  <si>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</si>
  <si>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</si>
  <si>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</si>
  <si>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</si>
  <si>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</si>
  <si>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</si>
  <si>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</si>
  <si>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</si>
  <si>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</si>
  <si>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</si>
  <si>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</si>
  <si>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</si>
  <si>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</si>
  <si>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</si>
  <si>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</si>
  <si>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</si>
  <si>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</si>
  <si>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</si>
  <si>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</si>
  <si>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</si>
  <si>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</si>
  <si>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</si>
  <si>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</si>
  <si>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</si>
  <si>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</si>
  <si>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</si>
  <si>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</si>
  <si>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</si>
  <si>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</si>
  <si>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</si>
  <si>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</si>
  <si>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</si>
  <si>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</si>
  <si>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</si>
  <si>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</si>
  <si>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</si>
  <si>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</si>
  <si>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</si>
  <si>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</si>
  <si>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</si>
  <si>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</si>
  <si>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</si>
  <si>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</si>
  <si>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</si>
  <si>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</si>
  <si>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</si>
  <si>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</si>
  <si>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</si>
  <si>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</si>
  <si>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</si>
  <si>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</si>
  <si>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</si>
  <si>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</si>
  <si>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</si>
  <si>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</si>
  <si>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</si>
  <si>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</si>
  <si>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</si>
  <si>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</si>
  <si>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</si>
  <si>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</si>
  <si>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</si>
  <si>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</si>
  <si>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</si>
  <si>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</si>
  <si>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</si>
  <si>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</si>
  <si>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</si>
  <si>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</si>
  <si>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</si>
  <si>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</si>
  <si>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</si>
  <si>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</si>
  <si>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</si>
  <si>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</si>
  <si>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</si>
  <si>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</si>
  <si>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</si>
  <si>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</si>
  <si>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</si>
  <si>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</si>
  <si>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</si>
  <si>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</si>
  <si>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</si>
  <si>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</si>
  <si>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</si>
  <si>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</si>
  <si>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</si>
  <si>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</si>
  <si>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</si>
  <si>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</si>
  <si>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</si>
  <si>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</si>
  <si>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</si>
  <si>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</si>
  <si>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</si>
  <si>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</si>
  <si>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</si>
  <si>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</si>
  <si>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</si>
  <si>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</si>
  <si>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</si>
  <si>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</si>
  <si>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</si>
  <si>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</si>
  <si>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</si>
  <si>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</si>
  <si>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</si>
  <si>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</si>
  <si>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</si>
  <si>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</si>
  <si>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</si>
  <si>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</si>
  <si>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</si>
  <si>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</si>
  <si>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</si>
  <si>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</si>
  <si>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</si>
  <si>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</si>
  <si>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</si>
  <si>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</si>
  <si>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</si>
  <si>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</si>
  <si>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</si>
  <si>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</si>
  <si>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</si>
  <si>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</si>
  <si>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</si>
  <si>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</si>
  <si>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</si>
  <si>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</si>
  <si>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</si>
  <si>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</si>
  <si>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</si>
  <si>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</si>
  <si>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</si>
  <si>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</si>
  <si>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</si>
  <si>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</si>
  <si>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</si>
  <si>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</si>
  <si>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</si>
  <si>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</si>
  <si>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</si>
  <si>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</si>
  <si>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</si>
  <si>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</si>
  <si>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</si>
  <si>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</si>
  <si>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</si>
  <si>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</si>
  <si>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</si>
  <si>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</si>
  <si>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</si>
  <si>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</si>
  <si>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</si>
  <si>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</si>
  <si>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</si>
  <si>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</si>
  <si>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</si>
  <si>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</si>
  <si>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</si>
  <si>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</si>
  <si>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</si>
  <si>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</si>
  <si>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</si>
  <si>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</si>
  <si>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</si>
  <si>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</si>
  <si>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</si>
  <si>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</si>
  <si>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</si>
  <si>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</si>
  <si>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</si>
  <si>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</si>
  <si>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</si>
  <si>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</si>
  <si>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</si>
  <si>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</si>
  <si>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</si>
  <si>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</si>
  <si>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</si>
  <si>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</si>
  <si>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</si>
  <si>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</si>
  <si>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</si>
  <si>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</si>
  <si>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</si>
  <si>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</si>
  <si>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</si>
  <si>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</si>
  <si>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</si>
  <si>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</si>
  <si>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</si>
  <si>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</si>
  <si>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</si>
  <si>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</si>
  <si>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</si>
  <si>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</si>
  <si>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</si>
  <si>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</si>
  <si>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</si>
  <si>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</si>
  <si>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в т.ч. Капитальный ремонт, ремонт и содержание  автомобильных дорог общего пользования местного значения в границах поселения (респ)</t>
  </si>
  <si>
    <t>в т.ч. Капитальный ремонт, ремонт и содержание  автомобильных дорог общего пользования местного значения в границах поселения (местн. софин.)</t>
  </si>
  <si>
    <t>прочие выплаты по обязательствам  муниципального образования</t>
  </si>
  <si>
    <t>в т.ч. Капит. Ремонт, ремонт и содержание автомоб. Дорог общего пользования местного значения (мест. )</t>
  </si>
  <si>
    <t>в т.ч. осуществление дорожной деятельности, кроме деятельности по строительству автодорог местного значения в границах поселения (софин. мест. )</t>
  </si>
  <si>
    <t>на капремонт и ремонт дворовых территорий многоквартирных домов (местн.)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</si>
  <si>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</si>
  <si>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</si>
  <si>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в т.ч. Капитальный ремонт, ремонт и содержание  автомобильных дорог общего пользования местного значения в границах поселения (местн.)</t>
  </si>
  <si>
    <t>в т.ч.:капитальный ремонт и ремонт дворовых территорий многоквартирных домов, проездов к дворовым территориям многоквартирных домов (респ. Бюдж.)</t>
  </si>
  <si>
    <t>в т.ч.:софинансирование  из местного бюджета  на капремонт и ремонт дворовых территорий многоквартирных домов (софин. Мест.)</t>
  </si>
  <si>
    <t>в т.ч.:софинансирование  из местного бюджета  на капремонт и ремонт дворовых территорий многоквартирных домов (мест.)</t>
  </si>
  <si>
    <t>Е.Е.  Матушкина</t>
  </si>
  <si>
    <t>Анализ  исполнения бюджета Андреево-Базарского сельского поселения за ноябрь  2019 года</t>
  </si>
  <si>
    <t>Фактическое исполнение за  ноябрь   2019 года</t>
  </si>
  <si>
    <t>Анализ исполнения бюджета Аттиковского сельского поселения за  ноябрь    2019 года</t>
  </si>
  <si>
    <t>Анализ исполнения бюджета  Байгуловского сельского поселения за  ноябрь   2019 года</t>
  </si>
  <si>
    <t>Анализ исполнения бюджета  Еметкинского сельского поселения за  ноябрь    2019 года</t>
  </si>
  <si>
    <t>Фактическое исполнение за ноябрь  2019 года</t>
  </si>
  <si>
    <t>Анализ исполнения бюджета  Карамышевского сельского поселения за  ноябрь   2019 года</t>
  </si>
  <si>
    <t>Фактическое исполнение за  ноябрь    2019 года</t>
  </si>
  <si>
    <t>Анализ исполнения бюджета  Карачевского сельского поселения за ноябрь 2019 года</t>
  </si>
  <si>
    <t>Фактическое исполнение за ноябрь   2019 года</t>
  </si>
  <si>
    <t>Анализ исполнения бюджета  Козловского  городского  поселения  за  ноябрь  2019  года</t>
  </si>
  <si>
    <t>Фактическое исполнение за  ноябрь  2019 года</t>
  </si>
  <si>
    <t>Анализ исполнения бюджета  Солдыбаевского сельского поселения за  ноябрь  2019 года</t>
  </si>
  <si>
    <t>Анализ исполнения бюджета  Тюрлеминского сельского поселения за ноябрь   2019 года</t>
  </si>
  <si>
    <t>Анализ исполнения бюджета  Янгильдинского сельского поселения за  ноябрь   2019 года</t>
  </si>
  <si>
    <t>Анализ   исполнения   бюджетов   поселений   за  ноябрь  2019 года.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</si>
  <si>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</si>
  <si>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Благоустройство  дворовых и общественных территорий (ср-ва от населения)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</si>
</sst>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9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9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2" fontId="0" fillId="0" borderId="14" xfId="57" applyNumberFormat="1" applyFont="1" applyFill="1" applyBorder="1" applyAlignment="1">
      <alignment wrapText="1"/>
    </xf>
    <xf numFmtId="2" fontId="0" fillId="0" borderId="18" xfId="61" applyNumberFormat="1" applyFont="1" applyFill="1" applyBorder="1" applyAlignment="1">
      <alignment horizontal="right" wrapText="1"/>
    </xf>
    <xf numFmtId="2" fontId="0" fillId="0" borderId="14" xfId="0" applyNumberForma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view="pageBreakPreview" zoomScaleNormal="75" zoomScaleSheetLayoutView="100" zoomScalePageLayoutView="0" workbookViewId="0" topLeftCell="A51">
      <selection activeCell="B43" sqref="B43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293" t="s">
        <v>303</v>
      </c>
      <c r="B1" s="293"/>
      <c r="C1" s="293"/>
      <c r="D1" s="293"/>
      <c r="E1" s="293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270</v>
      </c>
      <c r="C3" s="32" t="s">
        <v>304</v>
      </c>
      <c r="D3" s="19" t="s">
        <v>271</v>
      </c>
      <c r="E3" s="36" t="s">
        <v>272</v>
      </c>
    </row>
    <row r="4" spans="1:5" s="63" customFormat="1" ht="10.5" customHeight="1">
      <c r="A4" s="59">
        <v>1</v>
      </c>
      <c r="B4" s="286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6">
        <f>SUM(B9)</f>
        <v>150500</v>
      </c>
      <c r="C7" s="236">
        <f>C9</f>
        <v>111091.01</v>
      </c>
      <c r="D7" s="72">
        <f>IF(B7=0,"   ",C7/B7*100)</f>
        <v>73.8146245847176</v>
      </c>
      <c r="E7" s="73">
        <f>C7-B7</f>
        <v>-39408.990000000005</v>
      </c>
    </row>
    <row r="8" spans="1:5" s="66" customFormat="1" ht="12.75" customHeight="1" hidden="1">
      <c r="A8" s="41" t="s">
        <v>3</v>
      </c>
      <c r="B8" s="237">
        <v>387940</v>
      </c>
      <c r="C8" s="238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7">
        <v>150500</v>
      </c>
      <c r="C9" s="271">
        <v>111091.01</v>
      </c>
      <c r="D9" s="72">
        <f>IF(B9=0,"   ",C9/B9*100)</f>
        <v>73.8146245847176</v>
      </c>
      <c r="E9" s="73">
        <f>C9-B9</f>
        <v>-39408.990000000005</v>
      </c>
    </row>
    <row r="10" spans="1:5" s="66" customFormat="1" ht="12.75" customHeight="1" hidden="1">
      <c r="A10" s="41" t="s">
        <v>24</v>
      </c>
      <c r="B10" s="237"/>
      <c r="C10" s="238">
        <v>175</v>
      </c>
      <c r="D10" s="72"/>
      <c r="E10" s="73"/>
    </row>
    <row r="11" spans="1:5" s="74" customFormat="1" ht="12.75" customHeight="1" hidden="1">
      <c r="A11" s="41" t="s">
        <v>4</v>
      </c>
      <c r="B11" s="237">
        <f>SUM(B12:B13)</f>
        <v>1848003</v>
      </c>
      <c r="C11" s="237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7">
        <v>17853</v>
      </c>
      <c r="C12" s="238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7">
        <v>1830150</v>
      </c>
      <c r="C13" s="238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6">
        <f>SUM(B15)</f>
        <v>553200</v>
      </c>
      <c r="C14" s="236">
        <f>SUM(C15)</f>
        <v>572226.35</v>
      </c>
      <c r="D14" s="72">
        <f>IF(B14=0,"   ",C14/B14*100)</f>
        <v>103.43932574114243</v>
      </c>
      <c r="E14" s="73">
        <f>C14-B14</f>
        <v>19026.349999999977</v>
      </c>
    </row>
    <row r="15" spans="1:5" s="66" customFormat="1" ht="15.75" customHeight="1">
      <c r="A15" s="41" t="s">
        <v>143</v>
      </c>
      <c r="B15" s="237">
        <v>553200</v>
      </c>
      <c r="C15" s="271">
        <v>572226.35</v>
      </c>
      <c r="D15" s="72">
        <f>IF(B15=0,"   ",C15/B15*100)</f>
        <v>103.43932574114243</v>
      </c>
      <c r="E15" s="73">
        <f>C15-B15</f>
        <v>19026.349999999977</v>
      </c>
    </row>
    <row r="16" spans="1:5" s="74" customFormat="1" ht="17.25" customHeight="1">
      <c r="A16" s="41" t="s">
        <v>7</v>
      </c>
      <c r="B16" s="236">
        <f>SUM(B18)</f>
        <v>23600</v>
      </c>
      <c r="C16" s="237">
        <f>SUM(C18:C18)</f>
        <v>6332.53</v>
      </c>
      <c r="D16" s="72">
        <f>IF(B16=0,"   ",C16/B16*100)</f>
        <v>26.832754237288135</v>
      </c>
      <c r="E16" s="73">
        <f>C16-B16</f>
        <v>-17267.47</v>
      </c>
    </row>
    <row r="17" spans="1:5" s="66" customFormat="1" ht="12.75" customHeight="1" hidden="1">
      <c r="A17" s="41" t="s">
        <v>8</v>
      </c>
      <c r="B17" s="237">
        <v>103725</v>
      </c>
      <c r="C17" s="238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7">
        <v>23600</v>
      </c>
      <c r="C18" s="271">
        <v>6332.53</v>
      </c>
      <c r="D18" s="72">
        <f aca="true" t="shared" si="0" ref="D18:D35">IF(B18=0,"   ",C18/B18*100)</f>
        <v>26.832754237288135</v>
      </c>
      <c r="E18" s="73">
        <f aca="true" t="shared" si="1" ref="E18:E35">C18-B18</f>
        <v>-17267.47</v>
      </c>
    </row>
    <row r="19" spans="1:5" s="66" customFormat="1" ht="18" customHeight="1">
      <c r="A19" s="41" t="s">
        <v>9</v>
      </c>
      <c r="B19" s="237">
        <f>SUM(B20:B21)</f>
        <v>700000</v>
      </c>
      <c r="C19" s="237">
        <f>SUM(C20:C21)</f>
        <v>577054.87</v>
      </c>
      <c r="D19" s="72">
        <f t="shared" si="0"/>
        <v>82.43641000000001</v>
      </c>
      <c r="E19" s="73">
        <f t="shared" si="1"/>
        <v>-122945.13</v>
      </c>
    </row>
    <row r="20" spans="1:5" s="66" customFormat="1" ht="12.75">
      <c r="A20" s="41" t="s">
        <v>115</v>
      </c>
      <c r="B20" s="237">
        <v>244000</v>
      </c>
      <c r="C20" s="271">
        <v>258098.8</v>
      </c>
      <c r="D20" s="72">
        <f t="shared" si="0"/>
        <v>105.77819672131147</v>
      </c>
      <c r="E20" s="73">
        <f t="shared" si="1"/>
        <v>14098.799999999988</v>
      </c>
    </row>
    <row r="21" spans="1:5" s="66" customFormat="1" ht="16.5" customHeight="1">
      <c r="A21" s="41" t="s">
        <v>171</v>
      </c>
      <c r="B21" s="237">
        <f>SUM(B22:B23)</f>
        <v>456000</v>
      </c>
      <c r="C21" s="237">
        <f>SUM(C22:C23)</f>
        <v>318956.07</v>
      </c>
      <c r="D21" s="72">
        <f t="shared" si="0"/>
        <v>69.94650657894736</v>
      </c>
      <c r="E21" s="73">
        <f t="shared" si="1"/>
        <v>-137043.93</v>
      </c>
    </row>
    <row r="22" spans="1:5" s="66" customFormat="1" ht="12.75">
      <c r="A22" s="41" t="s">
        <v>172</v>
      </c>
      <c r="B22" s="237">
        <v>199000</v>
      </c>
      <c r="C22" s="271">
        <v>162568.5</v>
      </c>
      <c r="D22" s="72">
        <f t="shared" si="0"/>
        <v>81.69271356783919</v>
      </c>
      <c r="E22" s="73">
        <f t="shared" si="1"/>
        <v>-36431.5</v>
      </c>
    </row>
    <row r="23" spans="1:5" s="66" customFormat="1" ht="12.75">
      <c r="A23" s="41" t="s">
        <v>173</v>
      </c>
      <c r="B23" s="237">
        <v>257000</v>
      </c>
      <c r="C23" s="271">
        <v>156387.57</v>
      </c>
      <c r="D23" s="72">
        <f t="shared" si="0"/>
        <v>60.851194552529186</v>
      </c>
      <c r="E23" s="73">
        <f t="shared" si="1"/>
        <v>-100612.43</v>
      </c>
    </row>
    <row r="24" spans="1:5" s="66" customFormat="1" ht="12.75">
      <c r="A24" s="41" t="s">
        <v>219</v>
      </c>
      <c r="B24" s="237">
        <v>0</v>
      </c>
      <c r="C24" s="271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7">
        <v>0</v>
      </c>
      <c r="C25" s="237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7">
        <f>SUM(B27:B29)</f>
        <v>290700</v>
      </c>
      <c r="C26" s="237">
        <f>SUM(C27:C29)</f>
        <v>441213</v>
      </c>
      <c r="D26" s="72">
        <f t="shared" si="0"/>
        <v>151.77605779153765</v>
      </c>
      <c r="E26" s="73">
        <f t="shared" si="1"/>
        <v>150513</v>
      </c>
    </row>
    <row r="27" spans="1:5" s="66" customFormat="1" ht="12.75">
      <c r="A27" s="41" t="s">
        <v>161</v>
      </c>
      <c r="B27" s="237">
        <v>281000</v>
      </c>
      <c r="C27" s="271">
        <v>436653.36</v>
      </c>
      <c r="D27" s="72">
        <f t="shared" si="0"/>
        <v>155.39265480427045</v>
      </c>
      <c r="E27" s="73">
        <f t="shared" si="1"/>
        <v>155653.36</v>
      </c>
    </row>
    <row r="28" spans="1:5" s="66" customFormat="1" ht="15.75" customHeight="1">
      <c r="A28" s="41" t="s">
        <v>30</v>
      </c>
      <c r="B28" s="237">
        <v>0</v>
      </c>
      <c r="C28" s="238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259</v>
      </c>
      <c r="B29" s="31">
        <v>9700</v>
      </c>
      <c r="C29" s="280">
        <v>4559.64</v>
      </c>
      <c r="D29" s="72">
        <f t="shared" si="0"/>
        <v>47.00659793814433</v>
      </c>
      <c r="E29" s="73">
        <f t="shared" si="1"/>
        <v>-5140.36</v>
      </c>
    </row>
    <row r="30" spans="1:5" s="66" customFormat="1" ht="18.75" customHeight="1">
      <c r="A30" s="41" t="s">
        <v>92</v>
      </c>
      <c r="B30" s="236">
        <v>0</v>
      </c>
      <c r="C30" s="238">
        <v>25439.29</v>
      </c>
      <c r="D30" s="72" t="str">
        <f t="shared" si="0"/>
        <v>   </v>
      </c>
      <c r="E30" s="73">
        <f t="shared" si="1"/>
        <v>25439.29</v>
      </c>
    </row>
    <row r="31" spans="1:5" s="66" customFormat="1" ht="16.5" customHeight="1">
      <c r="A31" s="41" t="s">
        <v>78</v>
      </c>
      <c r="B31" s="236">
        <f>B32+B33</f>
        <v>105242</v>
      </c>
      <c r="C31" s="236">
        <f>C32+C33</f>
        <v>105243.95000000001</v>
      </c>
      <c r="D31" s="72">
        <f t="shared" si="0"/>
        <v>100.00185287242738</v>
      </c>
      <c r="E31" s="73">
        <f t="shared" si="1"/>
        <v>1.9500000000116415</v>
      </c>
    </row>
    <row r="32" spans="1:5" s="66" customFormat="1" ht="16.5" customHeight="1">
      <c r="A32" s="41" t="s">
        <v>139</v>
      </c>
      <c r="B32" s="236">
        <v>29705</v>
      </c>
      <c r="C32" s="271">
        <v>29705.99</v>
      </c>
      <c r="D32" s="72">
        <f t="shared" si="0"/>
        <v>100.00333277226056</v>
      </c>
      <c r="E32" s="73">
        <f t="shared" si="1"/>
        <v>0.9900000000016007</v>
      </c>
    </row>
    <row r="33" spans="1:5" s="66" customFormat="1" ht="27.75" customHeight="1">
      <c r="A33" s="41" t="s">
        <v>230</v>
      </c>
      <c r="B33" s="237">
        <v>75537</v>
      </c>
      <c r="C33" s="239">
        <v>75537.96</v>
      </c>
      <c r="D33" s="72">
        <f t="shared" si="0"/>
        <v>100.00127090035346</v>
      </c>
      <c r="E33" s="73">
        <f t="shared" si="1"/>
        <v>0.9600000000064028</v>
      </c>
    </row>
    <row r="34" spans="1:5" s="66" customFormat="1" ht="15.75" customHeight="1">
      <c r="A34" s="16" t="s">
        <v>31</v>
      </c>
      <c r="B34" s="237">
        <v>0</v>
      </c>
      <c r="C34" s="239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7">
        <f>B38+B39</f>
        <v>0</v>
      </c>
      <c r="C35" s="237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7"/>
      <c r="C36" s="240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1" t="e">
        <f>SUM(B44,#REF!,#REF!,#REF!)</f>
        <v>#REF!</v>
      </c>
      <c r="C37" s="242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3">
        <v>0</v>
      </c>
      <c r="C38" s="236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7">
        <v>0</v>
      </c>
      <c r="C39" s="236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1"/>
      <c r="C40" s="236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5" t="s">
        <v>47</v>
      </c>
      <c r="B41" s="244">
        <v>1250</v>
      </c>
      <c r="C41" s="245"/>
      <c r="D41" s="97" t="e">
        <f>IF(#REF!=0,"   ",C41/#REF!)</f>
        <v>#REF!</v>
      </c>
      <c r="E41" s="98" t="e">
        <f>C41-#REF!</f>
        <v>#REF!</v>
      </c>
    </row>
    <row r="42" spans="1:5" s="9" customFormat="1" ht="22.5" customHeight="1">
      <c r="A42" s="201" t="s">
        <v>10</v>
      </c>
      <c r="B42" s="246">
        <f>B7+B16+B19+B25+B26+B30+B31+B35+B14+B34+B24</f>
        <v>1823242</v>
      </c>
      <c r="C42" s="242">
        <f>C7+C16+C19+C25+C26+C30+C31+C35+C14+C34+C24</f>
        <v>1838601</v>
      </c>
      <c r="D42" s="148">
        <f aca="true" t="shared" si="2" ref="D42:D56">IF(B42=0,"   ",C42/B42*100)</f>
        <v>100.84240051512636</v>
      </c>
      <c r="E42" s="202">
        <f aca="true" t="shared" si="3" ref="E42:E56">C42-B42</f>
        <v>15359</v>
      </c>
    </row>
    <row r="43" spans="1:5" s="9" customFormat="1" ht="18.75" customHeight="1">
      <c r="A43" s="190" t="s">
        <v>145</v>
      </c>
      <c r="B43" s="247">
        <f>SUM(B44:B47,B50:B53,B56)</f>
        <v>3006777.14</v>
      </c>
      <c r="C43" s="248">
        <f>SUM(C44:C47,C50:C53,C56)</f>
        <v>2726022.49</v>
      </c>
      <c r="D43" s="72">
        <f t="shared" si="2"/>
        <v>90.66260527709082</v>
      </c>
      <c r="E43" s="75">
        <f t="shared" si="3"/>
        <v>-280754.6499999999</v>
      </c>
    </row>
    <row r="44" spans="1:5" s="66" customFormat="1" ht="19.5" customHeight="1">
      <c r="A44" s="99" t="s">
        <v>34</v>
      </c>
      <c r="B44" s="248">
        <v>753500</v>
      </c>
      <c r="C44" s="271">
        <v>711400</v>
      </c>
      <c r="D44" s="85">
        <f t="shared" si="2"/>
        <v>94.4127405441274</v>
      </c>
      <c r="E44" s="86">
        <f t="shared" si="3"/>
        <v>-42100</v>
      </c>
    </row>
    <row r="45" spans="1:5" s="66" customFormat="1" ht="19.5" customHeight="1">
      <c r="A45" s="17" t="s">
        <v>263</v>
      </c>
      <c r="B45" s="248">
        <v>143300</v>
      </c>
      <c r="C45" s="271">
        <v>143300</v>
      </c>
      <c r="D45" s="85">
        <f>IF(B45=0,"   ",C45/B45*100)</f>
        <v>100</v>
      </c>
      <c r="E45" s="86">
        <f>C45-B45</f>
        <v>0</v>
      </c>
    </row>
    <row r="46" spans="1:5" s="66" customFormat="1" ht="30" customHeight="1">
      <c r="A46" s="116" t="s">
        <v>51</v>
      </c>
      <c r="B46" s="282">
        <v>90000</v>
      </c>
      <c r="C46" s="280">
        <v>81494</v>
      </c>
      <c r="D46" s="117">
        <f t="shared" si="2"/>
        <v>90.5488888888889</v>
      </c>
      <c r="E46" s="118">
        <f t="shared" si="3"/>
        <v>-8506</v>
      </c>
    </row>
    <row r="47" spans="1:5" s="66" customFormat="1" ht="30" customHeight="1">
      <c r="A47" s="116" t="s">
        <v>155</v>
      </c>
      <c r="B47" s="282">
        <f>SUM(B48:B49)</f>
        <v>200</v>
      </c>
      <c r="C47" s="282">
        <f>SUM(C48:C49)</f>
        <v>200</v>
      </c>
      <c r="D47" s="117">
        <f t="shared" si="2"/>
        <v>100</v>
      </c>
      <c r="E47" s="118">
        <f t="shared" si="3"/>
        <v>0</v>
      </c>
    </row>
    <row r="48" spans="1:5" s="66" customFormat="1" ht="18" customHeight="1">
      <c r="A48" s="116" t="s">
        <v>174</v>
      </c>
      <c r="B48" s="282">
        <v>200</v>
      </c>
      <c r="C48" s="282">
        <v>200</v>
      </c>
      <c r="D48" s="117">
        <f t="shared" si="2"/>
        <v>100</v>
      </c>
      <c r="E48" s="118">
        <f t="shared" si="3"/>
        <v>0</v>
      </c>
    </row>
    <row r="49" spans="1:5" s="66" customFormat="1" ht="30" customHeight="1">
      <c r="A49" s="116" t="s">
        <v>175</v>
      </c>
      <c r="B49" s="282">
        <v>0</v>
      </c>
      <c r="C49" s="282">
        <v>0</v>
      </c>
      <c r="D49" s="117" t="str">
        <f t="shared" si="2"/>
        <v>   </v>
      </c>
      <c r="E49" s="118">
        <f t="shared" si="3"/>
        <v>0</v>
      </c>
    </row>
    <row r="50" spans="1:5" s="66" customFormat="1" ht="31.5" customHeight="1">
      <c r="A50" s="16" t="s">
        <v>104</v>
      </c>
      <c r="B50" s="282">
        <v>0</v>
      </c>
      <c r="C50" s="282">
        <v>0</v>
      </c>
      <c r="D50" s="117" t="str">
        <f t="shared" si="2"/>
        <v>   </v>
      </c>
      <c r="E50" s="118">
        <f t="shared" si="3"/>
        <v>0</v>
      </c>
    </row>
    <row r="51" spans="1:5" s="66" customFormat="1" ht="18.75" customHeight="1">
      <c r="A51" s="16" t="s">
        <v>181</v>
      </c>
      <c r="B51" s="249">
        <v>50000</v>
      </c>
      <c r="C51" s="249">
        <v>0</v>
      </c>
      <c r="D51" s="117">
        <f t="shared" si="2"/>
        <v>0</v>
      </c>
      <c r="E51" s="118">
        <f t="shared" si="3"/>
        <v>-50000</v>
      </c>
    </row>
    <row r="52" spans="1:5" s="66" customFormat="1" ht="41.25" customHeight="1">
      <c r="A52" s="16" t="s">
        <v>282</v>
      </c>
      <c r="B52" s="282">
        <v>1376200</v>
      </c>
      <c r="C52" s="282">
        <v>1206002</v>
      </c>
      <c r="D52" s="117">
        <f t="shared" si="2"/>
        <v>87.63275686673448</v>
      </c>
      <c r="E52" s="118">
        <f t="shared" si="3"/>
        <v>-170198</v>
      </c>
    </row>
    <row r="53" spans="1:5" s="66" customFormat="1" ht="18" customHeight="1">
      <c r="A53" s="41" t="s">
        <v>54</v>
      </c>
      <c r="B53" s="237">
        <f>B55+B54</f>
        <v>471442.14</v>
      </c>
      <c r="C53" s="237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207</v>
      </c>
      <c r="B54" s="237">
        <v>471442.14</v>
      </c>
      <c r="C54" s="237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7">
        <v>0</v>
      </c>
      <c r="C55" s="237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222</v>
      </c>
      <c r="B56" s="237">
        <v>122135</v>
      </c>
      <c r="C56" s="237">
        <v>112184.35</v>
      </c>
      <c r="D56" s="72">
        <f t="shared" si="2"/>
        <v>91.85274491341548</v>
      </c>
      <c r="E56" s="73">
        <f t="shared" si="3"/>
        <v>-9950.649999999994</v>
      </c>
    </row>
    <row r="57" spans="1:5" s="66" customFormat="1" ht="27" customHeight="1">
      <c r="A57" s="30" t="s">
        <v>11</v>
      </c>
      <c r="B57" s="158">
        <f>B42+B43</f>
        <v>4830019.140000001</v>
      </c>
      <c r="C57" s="43">
        <f>C42+C43</f>
        <v>4564623.49</v>
      </c>
      <c r="D57" s="148">
        <f aca="true" t="shared" si="4" ref="D57:D86">IF(B57=0,"   ",C57/B57*100)</f>
        <v>94.50528781962548</v>
      </c>
      <c r="E57" s="149">
        <f aca="true" t="shared" si="5" ref="E57:E86">C57-B57</f>
        <v>-265395.6500000004</v>
      </c>
    </row>
    <row r="58" spans="1:5" s="8" customFormat="1" ht="13.5" thickBot="1">
      <c r="A58" s="113" t="s">
        <v>12</v>
      </c>
      <c r="B58" s="114"/>
      <c r="C58" s="115"/>
      <c r="D58" s="97"/>
      <c r="E58" s="98"/>
    </row>
    <row r="59" spans="1:5" s="66" customFormat="1" ht="18.75" customHeight="1" thickBot="1">
      <c r="A59" s="105" t="s">
        <v>35</v>
      </c>
      <c r="B59" s="106">
        <f>SUM(B60,B62:B63)</f>
        <v>1216626.89</v>
      </c>
      <c r="C59" s="106">
        <f>SUM(C60,C62:C63)</f>
        <v>953044.57</v>
      </c>
      <c r="D59" s="100">
        <f t="shared" si="4"/>
        <v>78.3349914286376</v>
      </c>
      <c r="E59" s="101">
        <f t="shared" si="5"/>
        <v>-263582.31999999995</v>
      </c>
    </row>
    <row r="60" spans="1:5" s="66" customFormat="1" ht="17.25" customHeight="1" thickBot="1">
      <c r="A60" s="103" t="s">
        <v>36</v>
      </c>
      <c r="B60" s="104">
        <v>1136700</v>
      </c>
      <c r="C60" s="106">
        <v>953044.57</v>
      </c>
      <c r="D60" s="85">
        <f t="shared" si="4"/>
        <v>83.84310460103809</v>
      </c>
      <c r="E60" s="86">
        <f t="shared" si="5"/>
        <v>-183655.43000000005</v>
      </c>
    </row>
    <row r="61" spans="1:5" s="66" customFormat="1" ht="18" customHeight="1">
      <c r="A61" s="41" t="s">
        <v>121</v>
      </c>
      <c r="B61" s="31">
        <v>737788</v>
      </c>
      <c r="C61" s="77">
        <v>643470.09</v>
      </c>
      <c r="D61" s="72">
        <f t="shared" si="4"/>
        <v>87.21612305974074</v>
      </c>
      <c r="E61" s="73">
        <f t="shared" si="5"/>
        <v>-94317.91000000003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SUM(B64:B66)</f>
        <v>79426.89</v>
      </c>
      <c r="C63" s="31">
        <f>SUM(C64:C66)</f>
        <v>0</v>
      </c>
      <c r="D63" s="72">
        <f t="shared" si="4"/>
        <v>0</v>
      </c>
      <c r="E63" s="73">
        <f t="shared" si="5"/>
        <v>-79426.89</v>
      </c>
    </row>
    <row r="64" spans="1:5" s="66" customFormat="1" ht="28.5" customHeight="1">
      <c r="A64" s="112" t="s">
        <v>164</v>
      </c>
      <c r="B64" s="31">
        <v>43226.89</v>
      </c>
      <c r="C64" s="75">
        <v>0</v>
      </c>
      <c r="D64" s="72">
        <f t="shared" si="4"/>
        <v>0</v>
      </c>
      <c r="E64" s="75">
        <f t="shared" si="5"/>
        <v>-43226.89</v>
      </c>
    </row>
    <row r="65" spans="1:5" s="66" customFormat="1" ht="28.5" customHeight="1">
      <c r="A65" s="112" t="s">
        <v>319</v>
      </c>
      <c r="B65" s="31">
        <v>36200</v>
      </c>
      <c r="C65" s="75"/>
      <c r="D65" s="72"/>
      <c r="E65" s="75"/>
    </row>
    <row r="66" spans="1:5" s="66" customFormat="1" ht="17.25" customHeight="1" thickBot="1">
      <c r="A66" s="223" t="s">
        <v>254</v>
      </c>
      <c r="B66" s="31">
        <v>0</v>
      </c>
      <c r="C66" s="75">
        <v>0</v>
      </c>
      <c r="D66" s="72" t="str">
        <f t="shared" si="4"/>
        <v>   </v>
      </c>
      <c r="E66" s="75">
        <f t="shared" si="5"/>
        <v>0</v>
      </c>
    </row>
    <row r="67" spans="1:5" s="66" customFormat="1" ht="13.5" thickBot="1">
      <c r="A67" s="105" t="s">
        <v>49</v>
      </c>
      <c r="B67" s="229">
        <f>SUM(B68)</f>
        <v>90000</v>
      </c>
      <c r="C67" s="229">
        <f>SUM(C68)</f>
        <v>71646.1</v>
      </c>
      <c r="D67" s="230">
        <f t="shared" si="4"/>
        <v>79.60677777777778</v>
      </c>
      <c r="E67" s="231">
        <f t="shared" si="5"/>
        <v>-18353.899999999994</v>
      </c>
    </row>
    <row r="68" spans="1:5" s="66" customFormat="1" ht="20.25" customHeight="1" thickBot="1">
      <c r="A68" s="82" t="s">
        <v>108</v>
      </c>
      <c r="B68" s="107">
        <v>90000</v>
      </c>
      <c r="C68" s="84">
        <v>71646.1</v>
      </c>
      <c r="D68" s="109">
        <f t="shared" si="4"/>
        <v>79.60677777777778</v>
      </c>
      <c r="E68" s="110">
        <f t="shared" si="5"/>
        <v>-18353.899999999994</v>
      </c>
    </row>
    <row r="69" spans="1:5" s="66" customFormat="1" ht="13.5" thickBot="1">
      <c r="A69" s="105" t="s">
        <v>37</v>
      </c>
      <c r="B69" s="106">
        <f>SUM(B70)</f>
        <v>20400</v>
      </c>
      <c r="C69" s="106">
        <f>SUM(C70)</f>
        <v>20400</v>
      </c>
      <c r="D69" s="100">
        <f t="shared" si="4"/>
        <v>100</v>
      </c>
      <c r="E69" s="101">
        <f t="shared" si="5"/>
        <v>0</v>
      </c>
    </row>
    <row r="70" spans="1:5" s="66" customFormat="1" ht="13.5" thickBot="1">
      <c r="A70" s="82" t="s">
        <v>130</v>
      </c>
      <c r="B70" s="107">
        <v>20400</v>
      </c>
      <c r="C70" s="84">
        <v>20400</v>
      </c>
      <c r="D70" s="109">
        <f t="shared" si="4"/>
        <v>100</v>
      </c>
      <c r="E70" s="110">
        <f t="shared" si="5"/>
        <v>0</v>
      </c>
    </row>
    <row r="71" spans="1:5" s="66" customFormat="1" ht="13.5" thickBot="1">
      <c r="A71" s="105" t="s">
        <v>38</v>
      </c>
      <c r="B71" s="106">
        <f>B72+B77+B87+B75</f>
        <v>1984400</v>
      </c>
      <c r="C71" s="106">
        <f>C72+C77+C87+C75</f>
        <v>1716030</v>
      </c>
      <c r="D71" s="100">
        <f t="shared" si="4"/>
        <v>86.47601290062488</v>
      </c>
      <c r="E71" s="101">
        <f t="shared" si="5"/>
        <v>-268370</v>
      </c>
    </row>
    <row r="72" spans="1:5" s="66" customFormat="1" ht="19.5" customHeight="1" thickBot="1">
      <c r="A72" s="82" t="s">
        <v>176</v>
      </c>
      <c r="B72" s="106">
        <f>SUM(B73+B74)</f>
        <v>0</v>
      </c>
      <c r="C72" s="106">
        <f>SUM(C73+C74)</f>
        <v>0</v>
      </c>
      <c r="D72" s="100" t="str">
        <f>IF(B72=0,"   ",C72/B72*100)</f>
        <v>   </v>
      </c>
      <c r="E72" s="101">
        <f>C72-B72</f>
        <v>0</v>
      </c>
    </row>
    <row r="73" spans="1:5" s="66" customFormat="1" ht="17.25" customHeight="1" thickBot="1">
      <c r="A73" s="155" t="s">
        <v>177</v>
      </c>
      <c r="B73" s="107">
        <v>0</v>
      </c>
      <c r="C73" s="106">
        <v>0</v>
      </c>
      <c r="D73" s="100" t="str">
        <f>IF(B73=0,"   ",C73/B73*100)</f>
        <v>   </v>
      </c>
      <c r="E73" s="101">
        <f>C73-B73</f>
        <v>0</v>
      </c>
    </row>
    <row r="74" spans="1:5" s="66" customFormat="1" ht="17.25" customHeight="1" thickBot="1">
      <c r="A74" s="155" t="s">
        <v>208</v>
      </c>
      <c r="B74" s="107">
        <v>0</v>
      </c>
      <c r="C74" s="106">
        <v>0</v>
      </c>
      <c r="D74" s="100"/>
      <c r="E74" s="101"/>
    </row>
    <row r="75" spans="1:5" s="66" customFormat="1" ht="17.25" customHeight="1" thickBot="1">
      <c r="A75" s="82" t="s">
        <v>265</v>
      </c>
      <c r="B75" s="106">
        <f>SUM(B76)</f>
        <v>55000</v>
      </c>
      <c r="C75" s="106">
        <f>SUM(C76)</f>
        <v>0</v>
      </c>
      <c r="D75" s="85">
        <f>IF(B75=0,"   ",C75/B75*100)</f>
        <v>0</v>
      </c>
      <c r="E75" s="86">
        <f>C75-B75</f>
        <v>-55000</v>
      </c>
    </row>
    <row r="76" spans="1:5" s="66" customFormat="1" ht="17.25" customHeight="1">
      <c r="A76" s="82" t="s">
        <v>266</v>
      </c>
      <c r="B76" s="107">
        <v>55000</v>
      </c>
      <c r="C76" s="107">
        <v>0</v>
      </c>
      <c r="D76" s="85">
        <f>IF(B76=0,"   ",C76/B76*100)</f>
        <v>0</v>
      </c>
      <c r="E76" s="86">
        <f>C76-B76</f>
        <v>-55000</v>
      </c>
    </row>
    <row r="77" spans="1:5" s="66" customFormat="1" ht="18.75" customHeight="1">
      <c r="A77" s="155" t="s">
        <v>134</v>
      </c>
      <c r="B77" s="104">
        <f>SUM(B78,B82:B86)</f>
        <v>1929400</v>
      </c>
      <c r="C77" s="104">
        <f>SUM(C78,C82:C86)</f>
        <v>1716030</v>
      </c>
      <c r="D77" s="85">
        <f t="shared" si="4"/>
        <v>88.94112159220484</v>
      </c>
      <c r="E77" s="86">
        <f t="shared" si="5"/>
        <v>-213370</v>
      </c>
    </row>
    <row r="78" spans="1:5" s="66" customFormat="1" ht="18.75" customHeight="1">
      <c r="A78" s="112" t="s">
        <v>231</v>
      </c>
      <c r="B78" s="125">
        <f>SUM(B79+B80+B81)</f>
        <v>0</v>
      </c>
      <c r="C78" s="125">
        <f>SUM(C79+C80+C81)</f>
        <v>0</v>
      </c>
      <c r="D78" s="85" t="str">
        <f>IF(B78=0,"   ",C78/B78*100)</f>
        <v>   </v>
      </c>
      <c r="E78" s="86">
        <f>C78-B78</f>
        <v>0</v>
      </c>
    </row>
    <row r="79" spans="1:5" s="66" customFormat="1" ht="17.25" customHeight="1">
      <c r="A79" s="112" t="s">
        <v>206</v>
      </c>
      <c r="B79" s="104">
        <v>0</v>
      </c>
      <c r="C79" s="104">
        <v>0</v>
      </c>
      <c r="D79" s="85" t="str">
        <f>IF(B79=0,"   ",C79/B79*100)</f>
        <v>   </v>
      </c>
      <c r="E79" s="86">
        <f>C79-B79</f>
        <v>0</v>
      </c>
    </row>
    <row r="80" spans="1:5" s="66" customFormat="1" ht="26.25" customHeight="1">
      <c r="A80" s="112" t="s">
        <v>232</v>
      </c>
      <c r="B80" s="104">
        <v>0</v>
      </c>
      <c r="C80" s="104">
        <v>0</v>
      </c>
      <c r="D80" s="85" t="str">
        <f>IF(B80=0,"   ",C80/B80*100)</f>
        <v>   </v>
      </c>
      <c r="E80" s="86">
        <f>C80-B80</f>
        <v>0</v>
      </c>
    </row>
    <row r="81" spans="1:5" s="66" customFormat="1" ht="28.5" customHeight="1">
      <c r="A81" s="112" t="s">
        <v>245</v>
      </c>
      <c r="B81" s="104">
        <v>0</v>
      </c>
      <c r="C81" s="104">
        <v>0</v>
      </c>
      <c r="D81" s="85" t="str">
        <f>IF(B81=0,"   ",C81/B81*100)</f>
        <v>   </v>
      </c>
      <c r="E81" s="86">
        <f>C81-B81</f>
        <v>0</v>
      </c>
    </row>
    <row r="82" spans="1:5" s="66" customFormat="1" ht="12" customHeight="1">
      <c r="A82" s="82" t="s">
        <v>158</v>
      </c>
      <c r="B82" s="31">
        <v>0</v>
      </c>
      <c r="C82" s="31">
        <v>0</v>
      </c>
      <c r="D82" s="85" t="str">
        <f t="shared" si="4"/>
        <v>   </v>
      </c>
      <c r="E82" s="86">
        <f t="shared" si="5"/>
        <v>0</v>
      </c>
    </row>
    <row r="83" spans="1:5" s="66" customFormat="1" ht="14.25" customHeight="1">
      <c r="A83" s="82" t="s">
        <v>154</v>
      </c>
      <c r="B83" s="31">
        <v>0</v>
      </c>
      <c r="C83" s="31">
        <v>0</v>
      </c>
      <c r="D83" s="85" t="str">
        <f t="shared" si="4"/>
        <v>   </v>
      </c>
      <c r="E83" s="86">
        <f t="shared" si="5"/>
        <v>0</v>
      </c>
    </row>
    <row r="84" spans="1:5" s="66" customFormat="1" ht="19.5" customHeight="1">
      <c r="A84" s="82" t="s">
        <v>156</v>
      </c>
      <c r="B84" s="31">
        <v>23600</v>
      </c>
      <c r="C84" s="31">
        <v>0</v>
      </c>
      <c r="D84" s="85">
        <f t="shared" si="4"/>
        <v>0</v>
      </c>
      <c r="E84" s="157">
        <f t="shared" si="5"/>
        <v>-23600</v>
      </c>
    </row>
    <row r="85" spans="1:5" s="66" customFormat="1" ht="26.25">
      <c r="A85" s="78" t="s">
        <v>135</v>
      </c>
      <c r="B85" s="31">
        <v>1376200</v>
      </c>
      <c r="C85" s="31">
        <v>1206002</v>
      </c>
      <c r="D85" s="72">
        <f t="shared" si="4"/>
        <v>87.63275686673448</v>
      </c>
      <c r="E85" s="75">
        <f t="shared" si="5"/>
        <v>-170198</v>
      </c>
    </row>
    <row r="86" spans="1:5" s="66" customFormat="1" ht="26.25">
      <c r="A86" s="78" t="s">
        <v>136</v>
      </c>
      <c r="B86" s="31">
        <v>529600</v>
      </c>
      <c r="C86" s="31">
        <v>510028</v>
      </c>
      <c r="D86" s="72">
        <f t="shared" si="4"/>
        <v>96.30438066465257</v>
      </c>
      <c r="E86" s="75">
        <f t="shared" si="5"/>
        <v>-19572</v>
      </c>
    </row>
    <row r="87" spans="1:5" s="66" customFormat="1" ht="12.75">
      <c r="A87" s="103" t="s">
        <v>195</v>
      </c>
      <c r="B87" s="31">
        <f>SUM(B88+B89)</f>
        <v>0</v>
      </c>
      <c r="C87" s="31">
        <f>SUM(C88+C89)</f>
        <v>0</v>
      </c>
      <c r="D87" s="72" t="str">
        <f>IF(B87=0,"   ",C87/B87*100)</f>
        <v>   </v>
      </c>
      <c r="E87" s="75">
        <f>C87-B87</f>
        <v>0</v>
      </c>
    </row>
    <row r="88" spans="1:5" s="66" customFormat="1" ht="26.25">
      <c r="A88" s="82" t="s">
        <v>196</v>
      </c>
      <c r="B88" s="31">
        <v>0</v>
      </c>
      <c r="C88" s="31">
        <v>0</v>
      </c>
      <c r="D88" s="72" t="str">
        <f>IF(B88=0,"   ",C88/B88*100)</f>
        <v>   </v>
      </c>
      <c r="E88" s="75">
        <f>C88-B88</f>
        <v>0</v>
      </c>
    </row>
    <row r="89" spans="1:5" s="66" customFormat="1" ht="27" thickBot="1">
      <c r="A89" s="82" t="s">
        <v>248</v>
      </c>
      <c r="B89" s="31">
        <v>0</v>
      </c>
      <c r="C89" s="31">
        <v>0</v>
      </c>
      <c r="D89" s="72" t="str">
        <f>IF(B89=0,"   ",C89/B89*100)</f>
        <v>   </v>
      </c>
      <c r="E89" s="75">
        <f>C89-B89</f>
        <v>0</v>
      </c>
    </row>
    <row r="90" spans="1:5" s="66" customFormat="1" ht="13.5" thickBot="1">
      <c r="A90" s="105" t="s">
        <v>13</v>
      </c>
      <c r="B90" s="31">
        <f>B102+B93+B95</f>
        <v>1049592.25</v>
      </c>
      <c r="C90" s="31">
        <f>C102+C93+C95</f>
        <v>955168.81</v>
      </c>
      <c r="D90" s="72">
        <f>IF(B90=0,"   ",C90/B90*100)</f>
        <v>91.00379790342393</v>
      </c>
      <c r="E90" s="75">
        <f>C90-B90</f>
        <v>-94423.43999999994</v>
      </c>
    </row>
    <row r="91" spans="1:5" s="66" customFormat="1" ht="12.75" customHeight="1" hidden="1">
      <c r="A91" s="103" t="s">
        <v>40</v>
      </c>
      <c r="B91" s="104" t="e">
        <f>SUM(#REF!,B102,#REF!)</f>
        <v>#REF!</v>
      </c>
      <c r="C91" s="104" t="e">
        <f>SUM(#REF!,C102,#REF!)</f>
        <v>#REF!</v>
      </c>
      <c r="D91" s="85" t="e">
        <f>IF(#REF!=0,"   ",C91/#REF!)</f>
        <v>#REF!</v>
      </c>
      <c r="E91" s="86" t="e">
        <f>C91-#REF!</f>
        <v>#REF!</v>
      </c>
    </row>
    <row r="92" spans="1:5" s="66" customFormat="1" ht="12.75" customHeight="1" hidden="1">
      <c r="A92" s="41" t="s">
        <v>18</v>
      </c>
      <c r="B92" s="31">
        <v>851563</v>
      </c>
      <c r="C92" s="75">
        <v>851563</v>
      </c>
      <c r="D92" s="72" t="e">
        <f>IF(#REF!=0,"   ",C92/#REF!)</f>
        <v>#REF!</v>
      </c>
      <c r="E92" s="73" t="e">
        <f>C92-#REF!</f>
        <v>#REF!</v>
      </c>
    </row>
    <row r="93" spans="1:5" s="66" customFormat="1" ht="12.75" customHeight="1">
      <c r="A93" s="41" t="s">
        <v>165</v>
      </c>
      <c r="B93" s="31">
        <f>SUM(B94)</f>
        <v>0</v>
      </c>
      <c r="C93" s="31">
        <f>SUM(C94)</f>
        <v>0</v>
      </c>
      <c r="D93" s="72" t="str">
        <f aca="true" t="shared" si="6" ref="D93:D99">IF(B93=0,"   ",C93/B93*100)</f>
        <v>   </v>
      </c>
      <c r="E93" s="75">
        <f aca="true" t="shared" si="7" ref="E93:E101">C93-B93</f>
        <v>0</v>
      </c>
    </row>
    <row r="94" spans="1:5" s="66" customFormat="1" ht="12.75" customHeight="1">
      <c r="A94" s="41" t="s">
        <v>166</v>
      </c>
      <c r="B94" s="31">
        <v>0</v>
      </c>
      <c r="C94" s="31">
        <v>0</v>
      </c>
      <c r="D94" s="72" t="str">
        <f t="shared" si="6"/>
        <v>   </v>
      </c>
      <c r="E94" s="75">
        <f t="shared" si="7"/>
        <v>0</v>
      </c>
    </row>
    <row r="95" spans="1:5" s="66" customFormat="1" ht="12.75" customHeight="1">
      <c r="A95" s="41" t="s">
        <v>157</v>
      </c>
      <c r="B95" s="31">
        <f>SUM(B96+B97)</f>
        <v>516166.75</v>
      </c>
      <c r="C95" s="31">
        <f>SUM(C96+C97)</f>
        <v>516166.75</v>
      </c>
      <c r="D95" s="72">
        <f t="shared" si="6"/>
        <v>100</v>
      </c>
      <c r="E95" s="75">
        <f t="shared" si="7"/>
        <v>0</v>
      </c>
    </row>
    <row r="96" spans="1:5" s="66" customFormat="1" ht="12.75" customHeight="1">
      <c r="A96" s="16" t="s">
        <v>168</v>
      </c>
      <c r="B96" s="31">
        <v>0</v>
      </c>
      <c r="C96" s="31">
        <v>0</v>
      </c>
      <c r="D96" s="72" t="str">
        <f t="shared" si="6"/>
        <v>   </v>
      </c>
      <c r="E96" s="75">
        <f t="shared" si="7"/>
        <v>0</v>
      </c>
    </row>
    <row r="97" spans="1:5" s="66" customFormat="1" ht="18.75" customHeight="1">
      <c r="A97" s="112" t="s">
        <v>231</v>
      </c>
      <c r="B97" s="125">
        <f>SUM(B98+B99+B100)</f>
        <v>516166.75</v>
      </c>
      <c r="C97" s="125">
        <f>SUM(C98+C99+C100)</f>
        <v>516166.75</v>
      </c>
      <c r="D97" s="72">
        <f t="shared" si="6"/>
        <v>100</v>
      </c>
      <c r="E97" s="75">
        <f t="shared" si="7"/>
        <v>0</v>
      </c>
    </row>
    <row r="98" spans="1:5" s="66" customFormat="1" ht="22.5" customHeight="1">
      <c r="A98" s="112" t="s">
        <v>206</v>
      </c>
      <c r="B98" s="31">
        <v>309700.05</v>
      </c>
      <c r="C98" s="31">
        <v>309700.05</v>
      </c>
      <c r="D98" s="72">
        <f t="shared" si="6"/>
        <v>100</v>
      </c>
      <c r="E98" s="75">
        <f t="shared" si="7"/>
        <v>0</v>
      </c>
    </row>
    <row r="99" spans="1:5" s="66" customFormat="1" ht="27" customHeight="1">
      <c r="A99" s="112" t="s">
        <v>232</v>
      </c>
      <c r="B99" s="31">
        <v>112966.7</v>
      </c>
      <c r="C99" s="31">
        <v>112966.7</v>
      </c>
      <c r="D99" s="72">
        <f t="shared" si="6"/>
        <v>100</v>
      </c>
      <c r="E99" s="75">
        <f t="shared" si="7"/>
        <v>0</v>
      </c>
    </row>
    <row r="100" spans="1:5" s="66" customFormat="1" ht="28.5" customHeight="1">
      <c r="A100" s="112" t="s">
        <v>245</v>
      </c>
      <c r="B100" s="31">
        <v>93500</v>
      </c>
      <c r="C100" s="31">
        <v>93500</v>
      </c>
      <c r="D100" s="72">
        <f>IF(B100=0,"   ",C100/B100*100)</f>
        <v>100</v>
      </c>
      <c r="E100" s="75">
        <f t="shared" si="7"/>
        <v>0</v>
      </c>
    </row>
    <row r="101" spans="1:5" s="66" customFormat="1" ht="12.75" customHeight="1">
      <c r="A101" s="16" t="s">
        <v>220</v>
      </c>
      <c r="B101" s="31">
        <v>0</v>
      </c>
      <c r="C101" s="31">
        <v>0</v>
      </c>
      <c r="D101" s="72" t="str">
        <f>IF(B101=0,"   ",C101/B101*100)</f>
        <v>   </v>
      </c>
      <c r="E101" s="204">
        <f t="shared" si="7"/>
        <v>0</v>
      </c>
    </row>
    <row r="102" spans="1:5" s="66" customFormat="1" ht="12.75">
      <c r="A102" s="41" t="s">
        <v>58</v>
      </c>
      <c r="B102" s="31">
        <f>SUM(B103:B106)</f>
        <v>533425.5</v>
      </c>
      <c r="C102" s="31">
        <f>SUM(C103:C106)</f>
        <v>439002.06</v>
      </c>
      <c r="D102" s="72">
        <f aca="true" t="shared" si="8" ref="D102:D114">IF(B102=0,"   ",C102/B102*100)</f>
        <v>82.2986640121254</v>
      </c>
      <c r="E102" s="73">
        <f aca="true" t="shared" si="9" ref="E102:E114">C102-B102</f>
        <v>-94423.44</v>
      </c>
    </row>
    <row r="103" spans="1:5" s="66" customFormat="1" ht="15" customHeight="1">
      <c r="A103" s="41" t="s">
        <v>56</v>
      </c>
      <c r="B103" s="31">
        <v>255000</v>
      </c>
      <c r="C103" s="75">
        <v>160653.27</v>
      </c>
      <c r="D103" s="72">
        <f t="shared" si="8"/>
        <v>63.00128235294117</v>
      </c>
      <c r="E103" s="73">
        <f t="shared" si="9"/>
        <v>-94346.73000000001</v>
      </c>
    </row>
    <row r="104" spans="1:5" s="66" customFormat="1" ht="32.25" customHeight="1">
      <c r="A104" s="112" t="s">
        <v>178</v>
      </c>
      <c r="B104" s="96">
        <v>0</v>
      </c>
      <c r="C104" s="80">
        <v>0</v>
      </c>
      <c r="D104" s="97" t="str">
        <f t="shared" si="8"/>
        <v>   </v>
      </c>
      <c r="E104" s="98">
        <f t="shared" si="9"/>
        <v>0</v>
      </c>
    </row>
    <row r="105" spans="1:5" s="66" customFormat="1" ht="17.25" customHeight="1">
      <c r="A105" s="78" t="s">
        <v>57</v>
      </c>
      <c r="B105" s="96">
        <v>8800</v>
      </c>
      <c r="C105" s="102">
        <v>8723.29</v>
      </c>
      <c r="D105" s="97">
        <f t="shared" si="8"/>
        <v>99.12829545454547</v>
      </c>
      <c r="E105" s="98">
        <f t="shared" si="9"/>
        <v>-76.70999999999913</v>
      </c>
    </row>
    <row r="106" spans="1:5" s="66" customFormat="1" ht="17.25" customHeight="1">
      <c r="A106" s="112" t="s">
        <v>231</v>
      </c>
      <c r="B106" s="125">
        <f>SUM(B107+B108+B109)</f>
        <v>269625.5</v>
      </c>
      <c r="C106" s="125">
        <f>SUM(C107+C108+C109)</f>
        <v>269625.5</v>
      </c>
      <c r="D106" s="72">
        <f t="shared" si="8"/>
        <v>100</v>
      </c>
      <c r="E106" s="75">
        <f t="shared" si="9"/>
        <v>0</v>
      </c>
    </row>
    <row r="107" spans="1:5" s="66" customFormat="1" ht="15.75" customHeight="1">
      <c r="A107" s="112" t="s">
        <v>206</v>
      </c>
      <c r="B107" s="31">
        <v>161742.09</v>
      </c>
      <c r="C107" s="77">
        <v>161742.09</v>
      </c>
      <c r="D107" s="72">
        <f t="shared" si="8"/>
        <v>100</v>
      </c>
      <c r="E107" s="75">
        <f t="shared" si="9"/>
        <v>0</v>
      </c>
    </row>
    <row r="108" spans="1:5" s="66" customFormat="1" ht="27.75" customHeight="1">
      <c r="A108" s="112" t="s">
        <v>232</v>
      </c>
      <c r="B108" s="31">
        <v>79248.41</v>
      </c>
      <c r="C108" s="77">
        <v>79248.41</v>
      </c>
      <c r="D108" s="72">
        <f>IF(B108=0,"   ",C108/B108*100)</f>
        <v>100</v>
      </c>
      <c r="E108" s="75">
        <f>C108-B108</f>
        <v>0</v>
      </c>
    </row>
    <row r="109" spans="1:5" s="66" customFormat="1" ht="27" customHeight="1" thickBot="1">
      <c r="A109" s="112" t="s">
        <v>245</v>
      </c>
      <c r="B109" s="31">
        <v>28635</v>
      </c>
      <c r="C109" s="77">
        <v>28635</v>
      </c>
      <c r="D109" s="72">
        <f t="shared" si="8"/>
        <v>100</v>
      </c>
      <c r="E109" s="75">
        <f t="shared" si="9"/>
        <v>0</v>
      </c>
    </row>
    <row r="110" spans="1:5" s="66" customFormat="1" ht="15" customHeight="1" thickBot="1">
      <c r="A110" s="105" t="s">
        <v>17</v>
      </c>
      <c r="B110" s="229">
        <v>8000</v>
      </c>
      <c r="C110" s="229">
        <v>8000</v>
      </c>
      <c r="D110" s="230">
        <f t="shared" si="8"/>
        <v>100</v>
      </c>
      <c r="E110" s="231">
        <f t="shared" si="9"/>
        <v>0</v>
      </c>
    </row>
    <row r="111" spans="1:5" s="66" customFormat="1" ht="13.5" thickBot="1">
      <c r="A111" s="105" t="s">
        <v>41</v>
      </c>
      <c r="B111" s="191">
        <f>SUM(B112)</f>
        <v>519000</v>
      </c>
      <c r="C111" s="106">
        <f>SUM(C112)</f>
        <v>519000</v>
      </c>
      <c r="D111" s="100">
        <f t="shared" si="8"/>
        <v>100</v>
      </c>
      <c r="E111" s="101">
        <f t="shared" si="9"/>
        <v>0</v>
      </c>
    </row>
    <row r="112" spans="1:5" s="66" customFormat="1" ht="13.5" thickBot="1">
      <c r="A112" s="103" t="s">
        <v>42</v>
      </c>
      <c r="B112" s="104">
        <v>519000</v>
      </c>
      <c r="C112" s="111">
        <v>519000</v>
      </c>
      <c r="D112" s="85">
        <f t="shared" si="8"/>
        <v>100</v>
      </c>
      <c r="E112" s="86">
        <f t="shared" si="9"/>
        <v>0</v>
      </c>
    </row>
    <row r="113" spans="1:5" s="66" customFormat="1" ht="19.5" customHeight="1" thickBot="1">
      <c r="A113" s="105" t="s">
        <v>125</v>
      </c>
      <c r="B113" s="191">
        <f>SUM(B114)</f>
        <v>15000</v>
      </c>
      <c r="C113" s="191">
        <f>SUM(C114)</f>
        <v>15000</v>
      </c>
      <c r="D113" s="100">
        <f t="shared" si="8"/>
        <v>100</v>
      </c>
      <c r="E113" s="101">
        <f t="shared" si="9"/>
        <v>0</v>
      </c>
    </row>
    <row r="114" spans="1:5" s="66" customFormat="1" ht="16.5" customHeight="1">
      <c r="A114" s="82" t="s">
        <v>43</v>
      </c>
      <c r="B114" s="107">
        <v>15000</v>
      </c>
      <c r="C114" s="108">
        <v>15000</v>
      </c>
      <c r="D114" s="109">
        <f t="shared" si="8"/>
        <v>100</v>
      </c>
      <c r="E114" s="110">
        <f t="shared" si="9"/>
        <v>0</v>
      </c>
    </row>
    <row r="115" spans="1:5" s="66" customFormat="1" ht="16.5" customHeight="1">
      <c r="A115" s="30" t="s">
        <v>15</v>
      </c>
      <c r="B115" s="158">
        <f>SUM(B59,B67,B69,B71,B90,B110,B111,B113,)</f>
        <v>4903019.14</v>
      </c>
      <c r="C115" s="158">
        <f>SUM(C59,C67,C69,C71,C90,C110,C111,C113,)</f>
        <v>4258289.48</v>
      </c>
      <c r="D115" s="148">
        <f>IF(B115=0,"   ",C115/B115*100)</f>
        <v>86.85035400453283</v>
      </c>
      <c r="E115" s="149">
        <f>C115-B115</f>
        <v>-644729.6599999992</v>
      </c>
    </row>
    <row r="116" spans="1:5" s="66" customFormat="1" ht="12.75" customHeight="1" hidden="1">
      <c r="A116" s="82" t="s">
        <v>21</v>
      </c>
      <c r="B116" s="83"/>
      <c r="C116" s="84"/>
      <c r="D116" s="85" t="e">
        <f>IF(#REF!=0,"   ",C116/#REF!)</f>
        <v>#REF!</v>
      </c>
      <c r="E116" s="86" t="e">
        <f>C116-#REF!</f>
        <v>#REF!</v>
      </c>
    </row>
    <row r="117" spans="1:5" s="66" customFormat="1" ht="12.75" customHeight="1" hidden="1">
      <c r="A117" s="78" t="s">
        <v>22</v>
      </c>
      <c r="B117" s="79">
        <v>1122919</v>
      </c>
      <c r="C117" s="80">
        <v>815256</v>
      </c>
      <c r="D117" s="72" t="e">
        <f>IF(#REF!=0,"   ",C117/#REF!)</f>
        <v>#REF!</v>
      </c>
      <c r="E117" s="73" t="e">
        <f>C117-#REF!</f>
        <v>#REF!</v>
      </c>
    </row>
    <row r="118" spans="1:5" s="66" customFormat="1" ht="13.5" customHeight="1" hidden="1" thickBot="1">
      <c r="A118" s="78" t="s">
        <v>23</v>
      </c>
      <c r="B118" s="79">
        <v>1700000</v>
      </c>
      <c r="C118" s="102">
        <v>1700000</v>
      </c>
      <c r="D118" s="97" t="e">
        <f>IF(#REF!=0,"   ",C118/#REF!)</f>
        <v>#REF!</v>
      </c>
      <c r="E118" s="98" t="e">
        <f>C118-#REF!</f>
        <v>#REF!</v>
      </c>
    </row>
    <row r="119" spans="1:5" s="66" customFormat="1" ht="23.25" customHeight="1">
      <c r="A119" s="87" t="s">
        <v>256</v>
      </c>
      <c r="B119" s="87"/>
      <c r="C119" s="292"/>
      <c r="D119" s="292"/>
      <c r="E119" s="292"/>
    </row>
    <row r="120" spans="1:5" s="66" customFormat="1" ht="12" customHeight="1">
      <c r="A120" s="87" t="s">
        <v>163</v>
      </c>
      <c r="B120" s="87"/>
      <c r="C120" s="88" t="s">
        <v>302</v>
      </c>
      <c r="D120" s="89"/>
      <c r="E120" s="90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</sheetData>
  <sheetProtection/>
  <mergeCells count="2">
    <mergeCell ref="C119:E119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65">
      <selection activeCell="B30" sqref="B30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294" t="s">
        <v>317</v>
      </c>
      <c r="B1" s="294"/>
      <c r="C1" s="294"/>
      <c r="D1" s="294"/>
      <c r="E1" s="294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270</v>
      </c>
      <c r="C4" s="32" t="s">
        <v>308</v>
      </c>
      <c r="D4" s="19" t="s">
        <v>271</v>
      </c>
      <c r="E4" s="36" t="s">
        <v>272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6">
        <f>SUM(B8)</f>
        <v>32100</v>
      </c>
      <c r="C7" s="156">
        <f>SUM(C8)</f>
        <v>19916.76</v>
      </c>
      <c r="D7" s="26">
        <f aca="true" t="shared" si="0" ref="D7:D82">IF(B7=0,"   ",C7/B7*100)</f>
        <v>62.045981308411214</v>
      </c>
      <c r="E7" s="42">
        <f aca="true" t="shared" si="1" ref="E7:E83">C7-B7</f>
        <v>-12183.240000000002</v>
      </c>
    </row>
    <row r="8" spans="1:5" ht="12.75">
      <c r="A8" s="16" t="s">
        <v>44</v>
      </c>
      <c r="B8" s="91">
        <v>32100</v>
      </c>
      <c r="C8" s="276">
        <v>19916.76</v>
      </c>
      <c r="D8" s="26">
        <f t="shared" si="0"/>
        <v>62.045981308411214</v>
      </c>
      <c r="E8" s="42">
        <f t="shared" si="1"/>
        <v>-12183.240000000002</v>
      </c>
    </row>
    <row r="9" spans="1:5" ht="16.5" customHeight="1">
      <c r="A9" s="71" t="s">
        <v>142</v>
      </c>
      <c r="B9" s="233">
        <f>SUM(B10)</f>
        <v>369400</v>
      </c>
      <c r="C9" s="233">
        <f>SUM(C10)</f>
        <v>399115.82</v>
      </c>
      <c r="D9" s="26">
        <f t="shared" si="0"/>
        <v>108.0443475906876</v>
      </c>
      <c r="E9" s="42">
        <f t="shared" si="1"/>
        <v>29715.820000000007</v>
      </c>
    </row>
    <row r="10" spans="1:5" ht="12.75">
      <c r="A10" s="41" t="s">
        <v>143</v>
      </c>
      <c r="B10" s="234">
        <v>369400</v>
      </c>
      <c r="C10" s="276">
        <v>399115.82</v>
      </c>
      <c r="D10" s="26">
        <f t="shared" si="0"/>
        <v>108.0443475906876</v>
      </c>
      <c r="E10" s="42">
        <f t="shared" si="1"/>
        <v>29715.820000000007</v>
      </c>
    </row>
    <row r="11" spans="1:5" ht="16.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352040</v>
      </c>
      <c r="C13" s="234">
        <f>SUM(C14:C15)</f>
        <v>229028.75</v>
      </c>
      <c r="D13" s="26">
        <f t="shared" si="0"/>
        <v>65.05759288717191</v>
      </c>
      <c r="E13" s="42">
        <f t="shared" si="1"/>
        <v>-123011.25</v>
      </c>
    </row>
    <row r="14" spans="1:5" ht="15" customHeight="1">
      <c r="A14" s="16" t="s">
        <v>112</v>
      </c>
      <c r="B14" s="234">
        <v>77000</v>
      </c>
      <c r="C14" s="276">
        <v>26235.75</v>
      </c>
      <c r="D14" s="26">
        <f t="shared" si="0"/>
        <v>34.07240259740259</v>
      </c>
      <c r="E14" s="42">
        <f t="shared" si="1"/>
        <v>-50764.25</v>
      </c>
    </row>
    <row r="15" spans="1:5" ht="15.75" customHeight="1">
      <c r="A15" s="41" t="s">
        <v>171</v>
      </c>
      <c r="B15" s="234">
        <f>SUM(B16:B17)</f>
        <v>275040</v>
      </c>
      <c r="C15" s="234">
        <f>SUM(C16:C17)</f>
        <v>202793</v>
      </c>
      <c r="D15" s="26">
        <f t="shared" si="0"/>
        <v>73.73218440954044</v>
      </c>
      <c r="E15" s="42">
        <f t="shared" si="1"/>
        <v>-72247</v>
      </c>
    </row>
    <row r="16" spans="1:5" ht="15.75" customHeight="1">
      <c r="A16" s="41" t="s">
        <v>172</v>
      </c>
      <c r="B16" s="234">
        <v>133000</v>
      </c>
      <c r="C16" s="276">
        <v>138299.56</v>
      </c>
      <c r="D16" s="26">
        <f t="shared" si="0"/>
        <v>103.98463157894737</v>
      </c>
      <c r="E16" s="42">
        <f t="shared" si="1"/>
        <v>5299.559999999998</v>
      </c>
    </row>
    <row r="17" spans="1:5" ht="15.75" customHeight="1">
      <c r="A17" s="41" t="s">
        <v>173</v>
      </c>
      <c r="B17" s="234">
        <v>142040</v>
      </c>
      <c r="C17" s="276">
        <v>64493.44</v>
      </c>
      <c r="D17" s="26">
        <f t="shared" si="0"/>
        <v>45.40512531681217</v>
      </c>
      <c r="E17" s="42">
        <f t="shared" si="1"/>
        <v>-77546.56</v>
      </c>
    </row>
    <row r="18" spans="1:5" ht="15.75" customHeight="1">
      <c r="A18" s="41" t="s">
        <v>219</v>
      </c>
      <c r="B18" s="234">
        <v>1700</v>
      </c>
      <c r="C18" s="235">
        <v>1600</v>
      </c>
      <c r="D18" s="26">
        <f t="shared" si="0"/>
        <v>94.11764705882352</v>
      </c>
      <c r="E18" s="42">
        <f t="shared" si="1"/>
        <v>-100</v>
      </c>
    </row>
    <row r="19" spans="1:5" ht="28.5" customHeight="1">
      <c r="A19" s="16" t="s">
        <v>89</v>
      </c>
      <c r="B19" s="234">
        <v>0</v>
      </c>
      <c r="C19" s="23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4">
        <f>SUM(B21,B22)</f>
        <v>280000</v>
      </c>
      <c r="C20" s="234">
        <f>SUM(C21,C22)</f>
        <v>189192.17</v>
      </c>
      <c r="D20" s="26">
        <f t="shared" si="0"/>
        <v>67.56863214285714</v>
      </c>
      <c r="E20" s="42">
        <f t="shared" si="1"/>
        <v>-90807.82999999999</v>
      </c>
    </row>
    <row r="21" spans="1:5" ht="12.75">
      <c r="A21" s="16" t="s">
        <v>160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4">
        <v>280000</v>
      </c>
      <c r="C22" s="235">
        <v>189192.17</v>
      </c>
      <c r="D22" s="26">
        <f t="shared" si="0"/>
        <v>67.56863214285714</v>
      </c>
      <c r="E22" s="42">
        <f t="shared" si="1"/>
        <v>-90807.82999999999</v>
      </c>
    </row>
    <row r="23" spans="1:5" ht="17.25" customHeight="1">
      <c r="A23" s="39" t="s">
        <v>92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4">
        <f>SUM(B25)</f>
        <v>0</v>
      </c>
      <c r="C24" s="234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179</v>
      </c>
      <c r="B25" s="233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4">
        <f>SUM(B28)</f>
        <v>0</v>
      </c>
      <c r="C26" s="234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4">
        <v>0</v>
      </c>
      <c r="C27" s="234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2" t="s">
        <v>10</v>
      </c>
      <c r="B29" s="184">
        <f>B7+B11+B13+B20+B23+B24+B26+B9+B19+B18</f>
        <v>1035240</v>
      </c>
      <c r="C29" s="184">
        <f>C7+C11+C13+C20+C23+C24+C26+C9+C19+C18</f>
        <v>838853.5</v>
      </c>
      <c r="D29" s="148">
        <f t="shared" si="0"/>
        <v>81.02985781074919</v>
      </c>
      <c r="E29" s="149">
        <f t="shared" si="1"/>
        <v>-196386.5</v>
      </c>
    </row>
    <row r="30" spans="1:5" ht="21" customHeight="1">
      <c r="A30" s="190" t="s">
        <v>145</v>
      </c>
      <c r="B30" s="200">
        <f>SUM(B31:B34,B37,B38,B41+B42+B43)</f>
        <v>2008160</v>
      </c>
      <c r="C30" s="200">
        <f>SUM(C31:C34,C37,C38,C41+C42+C43)</f>
        <v>1800987</v>
      </c>
      <c r="D30" s="148">
        <f t="shared" si="0"/>
        <v>89.68344155844156</v>
      </c>
      <c r="E30" s="149">
        <f t="shared" si="1"/>
        <v>-207173</v>
      </c>
    </row>
    <row r="31" spans="1:5" ht="15.75" customHeight="1">
      <c r="A31" s="17" t="s">
        <v>34</v>
      </c>
      <c r="B31" s="168">
        <v>592500</v>
      </c>
      <c r="C31" s="276">
        <v>559300</v>
      </c>
      <c r="D31" s="26">
        <f t="shared" si="0"/>
        <v>94.39662447257385</v>
      </c>
      <c r="E31" s="42">
        <f t="shared" si="1"/>
        <v>-33200</v>
      </c>
    </row>
    <row r="32" spans="1:5" ht="15.75" customHeight="1">
      <c r="A32" s="17" t="s">
        <v>263</v>
      </c>
      <c r="B32" s="168">
        <v>35000</v>
      </c>
      <c r="C32" s="276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1" t="s">
        <v>51</v>
      </c>
      <c r="B33" s="142">
        <v>89900</v>
      </c>
      <c r="C33" s="270">
        <v>71844</v>
      </c>
      <c r="D33" s="143">
        <f t="shared" si="0"/>
        <v>79.91546162402669</v>
      </c>
      <c r="E33" s="144">
        <f t="shared" si="1"/>
        <v>-18056</v>
      </c>
    </row>
    <row r="34" spans="1:5" ht="29.25" customHeight="1">
      <c r="A34" s="116" t="s">
        <v>155</v>
      </c>
      <c r="B34" s="234">
        <f>SUM(B35:B36)</f>
        <v>100</v>
      </c>
      <c r="C34" s="234">
        <f>SUM(C35:C36)</f>
        <v>100</v>
      </c>
      <c r="D34" s="26">
        <f t="shared" si="0"/>
        <v>100</v>
      </c>
      <c r="E34" s="42">
        <f t="shared" si="1"/>
        <v>0</v>
      </c>
    </row>
    <row r="35" spans="1:5" ht="14.25" customHeight="1">
      <c r="A35" s="116" t="s">
        <v>174</v>
      </c>
      <c r="B35" s="234">
        <v>100</v>
      </c>
      <c r="C35" s="235">
        <v>100</v>
      </c>
      <c r="D35" s="26">
        <f>IF(B35=0,"   ",C35/B35*100)</f>
        <v>100</v>
      </c>
      <c r="E35" s="42">
        <f>C35-B35</f>
        <v>0</v>
      </c>
    </row>
    <row r="36" spans="1:5" ht="29.25" customHeight="1">
      <c r="A36" s="116" t="s">
        <v>175</v>
      </c>
      <c r="B36" s="234">
        <v>0</v>
      </c>
      <c r="C36" s="235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282</v>
      </c>
      <c r="B37" s="234">
        <v>958900</v>
      </c>
      <c r="C37" s="235">
        <v>852983</v>
      </c>
      <c r="D37" s="26">
        <f>IF(B37=0,"   ",C37/B37*100)</f>
        <v>88.95432266138283</v>
      </c>
      <c r="E37" s="42">
        <f>C37-B37</f>
        <v>-105917</v>
      </c>
    </row>
    <row r="38" spans="1:5" ht="18" customHeight="1">
      <c r="A38" s="16" t="s">
        <v>82</v>
      </c>
      <c r="B38" s="234">
        <f>B40+B39</f>
        <v>211320</v>
      </c>
      <c r="C38" s="234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207</v>
      </c>
      <c r="B39" s="234">
        <v>211320</v>
      </c>
      <c r="C39" s="234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4">
        <v>0</v>
      </c>
      <c r="C40" s="234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181</v>
      </c>
      <c r="B41" s="234">
        <v>50000</v>
      </c>
      <c r="C41" s="234">
        <v>0</v>
      </c>
      <c r="D41" s="26">
        <f t="shared" si="0"/>
        <v>0</v>
      </c>
      <c r="E41" s="42">
        <f t="shared" si="1"/>
        <v>-50000</v>
      </c>
    </row>
    <row r="42" spans="1:5" s="7" customFormat="1" ht="42" customHeight="1">
      <c r="A42" s="16" t="s">
        <v>104</v>
      </c>
      <c r="B42" s="234">
        <v>0</v>
      </c>
      <c r="C42" s="235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222</v>
      </c>
      <c r="B43" s="234">
        <v>70440</v>
      </c>
      <c r="C43" s="235">
        <v>70440</v>
      </c>
      <c r="D43" s="26">
        <f t="shared" si="0"/>
        <v>100</v>
      </c>
      <c r="E43" s="40">
        <f t="shared" si="1"/>
        <v>0</v>
      </c>
    </row>
    <row r="44" spans="1:5" ht="26.25" customHeight="1">
      <c r="A44" s="182" t="s">
        <v>11</v>
      </c>
      <c r="B44" s="158">
        <f>SUM(B29,B30,)</f>
        <v>3043400</v>
      </c>
      <c r="C44" s="158">
        <f>SUM(C29,C30,)</f>
        <v>2639840.5</v>
      </c>
      <c r="D44" s="148">
        <f t="shared" si="0"/>
        <v>86.73984688177696</v>
      </c>
      <c r="E44" s="149">
        <f t="shared" si="1"/>
        <v>-403559.5</v>
      </c>
    </row>
    <row r="45" spans="1:5" ht="14.25" customHeight="1">
      <c r="A45" s="30"/>
      <c r="B45" s="168"/>
      <c r="C45" s="160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1077200</v>
      </c>
      <c r="C47" s="27">
        <f>SUM(C48,C51)</f>
        <v>778583.78</v>
      </c>
      <c r="D47" s="26">
        <f t="shared" si="0"/>
        <v>72.27847939101373</v>
      </c>
      <c r="E47" s="42">
        <f t="shared" si="1"/>
        <v>-298616.22</v>
      </c>
    </row>
    <row r="48" spans="1:5" ht="16.5" customHeight="1">
      <c r="A48" s="16" t="s">
        <v>36</v>
      </c>
      <c r="B48" s="25">
        <v>1032866.45</v>
      </c>
      <c r="C48" s="25">
        <v>734750.23</v>
      </c>
      <c r="D48" s="26">
        <f t="shared" si="0"/>
        <v>71.13700227168769</v>
      </c>
      <c r="E48" s="42">
        <f t="shared" si="1"/>
        <v>-298116.22</v>
      </c>
    </row>
    <row r="49" spans="1:5" ht="12.75">
      <c r="A49" s="92" t="s">
        <v>123</v>
      </c>
      <c r="B49" s="25">
        <v>698298.45</v>
      </c>
      <c r="C49" s="28">
        <v>514677.11</v>
      </c>
      <c r="D49" s="26">
        <f t="shared" si="0"/>
        <v>73.70446117988662</v>
      </c>
      <c r="E49" s="42">
        <f t="shared" si="1"/>
        <v>-183621.33999999997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43833.55</v>
      </c>
      <c r="C51" s="27">
        <f>SUM(C52)</f>
        <v>43833.55</v>
      </c>
      <c r="D51" s="26">
        <f t="shared" si="0"/>
        <v>100</v>
      </c>
      <c r="E51" s="42">
        <f t="shared" si="1"/>
        <v>0</v>
      </c>
    </row>
    <row r="52" spans="1:5" ht="26.25">
      <c r="A52" s="112" t="s">
        <v>164</v>
      </c>
      <c r="B52" s="25">
        <v>43833.55</v>
      </c>
      <c r="C52" s="27">
        <v>43833.55</v>
      </c>
      <c r="D52" s="26">
        <f t="shared" si="0"/>
        <v>100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64472.77</v>
      </c>
      <c r="D53" s="26">
        <f t="shared" si="0"/>
        <v>71.7160956618465</v>
      </c>
      <c r="E53" s="42">
        <f t="shared" si="1"/>
        <v>-25427.230000000003</v>
      </c>
    </row>
    <row r="54" spans="1:5" ht="19.5" customHeight="1">
      <c r="A54" s="16" t="s">
        <v>108</v>
      </c>
      <c r="B54" s="25">
        <v>89900</v>
      </c>
      <c r="C54" s="27">
        <v>64472.77</v>
      </c>
      <c r="D54" s="26">
        <f t="shared" si="0"/>
        <v>71.7160956618465</v>
      </c>
      <c r="E54" s="42">
        <f t="shared" si="1"/>
        <v>-25427.230000000003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1328300</v>
      </c>
      <c r="C57" s="25">
        <f>C61+C58</f>
        <v>1029499.8</v>
      </c>
      <c r="D57" s="26">
        <f t="shared" si="0"/>
        <v>77.5050666265151</v>
      </c>
      <c r="E57" s="42">
        <f t="shared" si="1"/>
        <v>-298800.19999999995</v>
      </c>
    </row>
    <row r="58" spans="1:5" ht="19.5" customHeight="1">
      <c r="A58" s="82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180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3" t="s">
        <v>134</v>
      </c>
      <c r="B61" s="25">
        <f>B62+B63+B64</f>
        <v>1328300</v>
      </c>
      <c r="C61" s="25">
        <f>C62+C63+C64</f>
        <v>1029499.8</v>
      </c>
      <c r="D61" s="26">
        <f t="shared" si="0"/>
        <v>77.5050666265151</v>
      </c>
      <c r="E61" s="42">
        <f t="shared" si="1"/>
        <v>-298800.19999999995</v>
      </c>
    </row>
    <row r="62" spans="1:5" ht="19.5" customHeight="1">
      <c r="A62" s="82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852983</v>
      </c>
      <c r="D63" s="26">
        <f t="shared" si="0"/>
        <v>88.95432266138283</v>
      </c>
      <c r="E63" s="42">
        <f t="shared" si="1"/>
        <v>-105917</v>
      </c>
    </row>
    <row r="64" spans="1:5" ht="25.5" customHeight="1">
      <c r="A64" s="78" t="s">
        <v>136</v>
      </c>
      <c r="B64" s="25">
        <v>369400</v>
      </c>
      <c r="C64" s="25">
        <v>176516.8</v>
      </c>
      <c r="D64" s="26">
        <f t="shared" si="0"/>
        <v>47.78473199783432</v>
      </c>
      <c r="E64" s="42">
        <f t="shared" si="1"/>
        <v>-192883.2</v>
      </c>
    </row>
    <row r="65" spans="1:5" ht="15" customHeight="1">
      <c r="A65" s="16" t="s">
        <v>13</v>
      </c>
      <c r="B65" s="25">
        <f>SUM(B68,B66)</f>
        <v>554200</v>
      </c>
      <c r="C65" s="25">
        <f>SUM(C68,C66)</f>
        <v>502360.71</v>
      </c>
      <c r="D65" s="26">
        <f t="shared" si="0"/>
        <v>90.64610429447853</v>
      </c>
      <c r="E65" s="42">
        <f t="shared" si="1"/>
        <v>-51839.28999999998</v>
      </c>
    </row>
    <row r="66" spans="1:5" ht="15.75" customHeight="1">
      <c r="A66" s="16" t="s">
        <v>91</v>
      </c>
      <c r="B66" s="25">
        <f>B67</f>
        <v>30000</v>
      </c>
      <c r="C66" s="25">
        <f>C67</f>
        <v>30000</v>
      </c>
      <c r="D66" s="26">
        <f>IF(B66=0,"   ",C66/B66*100)</f>
        <v>100</v>
      </c>
      <c r="E66" s="42">
        <f>C66-B66</f>
        <v>0</v>
      </c>
    </row>
    <row r="67" spans="1:5" ht="25.5" customHeight="1">
      <c r="A67" s="164" t="s">
        <v>148</v>
      </c>
      <c r="B67" s="25">
        <v>30000</v>
      </c>
      <c r="C67" s="25">
        <v>30000</v>
      </c>
      <c r="D67" s="26">
        <f>IF(B67=0,"   ",C67/B67*100)</f>
        <v>100</v>
      </c>
      <c r="E67" s="42">
        <f>C67-B67</f>
        <v>0</v>
      </c>
    </row>
    <row r="68" spans="1:5" ht="12.75">
      <c r="A68" s="16" t="s">
        <v>58</v>
      </c>
      <c r="B68" s="25">
        <f>B69+B71+B70+B72</f>
        <v>524200</v>
      </c>
      <c r="C68" s="25">
        <f>C69+C71+C70+C72</f>
        <v>472360.71</v>
      </c>
      <c r="D68" s="26">
        <f t="shared" si="0"/>
        <v>90.11078023655094</v>
      </c>
      <c r="E68" s="42">
        <f t="shared" si="1"/>
        <v>-51839.28999999998</v>
      </c>
    </row>
    <row r="69" spans="1:5" ht="12.75">
      <c r="A69" s="16" t="s">
        <v>60</v>
      </c>
      <c r="B69" s="25">
        <v>172000</v>
      </c>
      <c r="C69" s="27">
        <v>120160.71</v>
      </c>
      <c r="D69" s="26">
        <f t="shared" si="0"/>
        <v>69.86087790697675</v>
      </c>
      <c r="E69" s="42">
        <f t="shared" si="1"/>
        <v>-51839.28999999999</v>
      </c>
    </row>
    <row r="70" spans="1:5" ht="26.25">
      <c r="A70" s="112" t="s">
        <v>178</v>
      </c>
      <c r="B70" s="25">
        <v>0</v>
      </c>
      <c r="C70" s="27">
        <v>0</v>
      </c>
      <c r="D70" s="26" t="str">
        <f t="shared" si="0"/>
        <v>   </v>
      </c>
      <c r="E70" s="42">
        <f t="shared" si="1"/>
        <v>0</v>
      </c>
    </row>
    <row r="71" spans="1:5" ht="12.75">
      <c r="A71" s="16" t="s">
        <v>59</v>
      </c>
      <c r="B71" s="25">
        <v>0</v>
      </c>
      <c r="C71" s="27">
        <v>0</v>
      </c>
      <c r="D71" s="26" t="str">
        <f t="shared" si="0"/>
        <v>   </v>
      </c>
      <c r="E71" s="42">
        <f t="shared" si="1"/>
        <v>0</v>
      </c>
    </row>
    <row r="72" spans="1:5" ht="26.25">
      <c r="A72" s="112" t="s">
        <v>231</v>
      </c>
      <c r="B72" s="25">
        <f>B73+B74+B75</f>
        <v>352200</v>
      </c>
      <c r="C72" s="25">
        <f>C73+C74+C75</f>
        <v>352200</v>
      </c>
      <c r="D72" s="26">
        <f>IF(B72=0,"   ",C72/B72*100)</f>
        <v>100</v>
      </c>
      <c r="E72" s="42">
        <f>C72-B72</f>
        <v>0</v>
      </c>
    </row>
    <row r="73" spans="1:5" ht="26.25">
      <c r="A73" s="112" t="s">
        <v>206</v>
      </c>
      <c r="B73" s="25">
        <v>211320</v>
      </c>
      <c r="C73" s="27">
        <v>211320</v>
      </c>
      <c r="D73" s="26">
        <f>IF(B73=0,"   ",C73/B73*100)</f>
        <v>100</v>
      </c>
      <c r="E73" s="42">
        <f>C73-B73</f>
        <v>0</v>
      </c>
    </row>
    <row r="74" spans="1:5" ht="26.25">
      <c r="A74" s="112" t="s">
        <v>223</v>
      </c>
      <c r="B74" s="25">
        <v>70440</v>
      </c>
      <c r="C74" s="27">
        <v>70440</v>
      </c>
      <c r="D74" s="26">
        <f>IF(B74=0,"   ",C74/B74*100)</f>
        <v>100</v>
      </c>
      <c r="E74" s="42">
        <f>C74-B74</f>
        <v>0</v>
      </c>
    </row>
    <row r="75" spans="1:5" ht="24.75" customHeight="1">
      <c r="A75" s="112" t="s">
        <v>237</v>
      </c>
      <c r="B75" s="31">
        <v>70440</v>
      </c>
      <c r="C75" s="31">
        <v>70440</v>
      </c>
      <c r="D75" s="26">
        <f t="shared" si="0"/>
        <v>100</v>
      </c>
      <c r="E75" s="42">
        <f t="shared" si="1"/>
        <v>0</v>
      </c>
    </row>
    <row r="76" spans="1:5" ht="24.75" customHeight="1">
      <c r="A76" s="18" t="s">
        <v>17</v>
      </c>
      <c r="B76" s="31">
        <v>8000</v>
      </c>
      <c r="C76" s="31">
        <v>8000</v>
      </c>
      <c r="D76" s="26">
        <f t="shared" si="0"/>
        <v>100</v>
      </c>
      <c r="E76" s="42">
        <f t="shared" si="1"/>
        <v>0</v>
      </c>
    </row>
    <row r="77" spans="1:5" ht="15" customHeight="1">
      <c r="A77" s="16" t="s">
        <v>41</v>
      </c>
      <c r="B77" s="24">
        <f>SUM(B78,)</f>
        <v>50000</v>
      </c>
      <c r="C77" s="24">
        <f>SUM(C78,)</f>
        <v>50000</v>
      </c>
      <c r="D77" s="26">
        <f t="shared" si="0"/>
        <v>100</v>
      </c>
      <c r="E77" s="42">
        <f t="shared" si="1"/>
        <v>0</v>
      </c>
    </row>
    <row r="78" spans="1:5" ht="12.75">
      <c r="A78" s="16" t="s">
        <v>42</v>
      </c>
      <c r="B78" s="25">
        <v>50000</v>
      </c>
      <c r="C78" s="27">
        <v>50000</v>
      </c>
      <c r="D78" s="26">
        <f t="shared" si="0"/>
        <v>100</v>
      </c>
      <c r="E78" s="42">
        <f t="shared" si="1"/>
        <v>0</v>
      </c>
    </row>
    <row r="79" spans="1:5" ht="12.75">
      <c r="A79" s="16" t="s">
        <v>267</v>
      </c>
      <c r="B79" s="24">
        <f>SUM(B80,)</f>
        <v>0</v>
      </c>
      <c r="C79" s="24">
        <f>SUM(C80,)</f>
        <v>0</v>
      </c>
      <c r="D79" s="26" t="str">
        <f>IF(B79=0,"   ",C79/B79*100)</f>
        <v>   </v>
      </c>
      <c r="E79" s="42">
        <f>C79-B79</f>
        <v>0</v>
      </c>
    </row>
    <row r="80" spans="1:5" ht="12.75">
      <c r="A80" s="16" t="s">
        <v>268</v>
      </c>
      <c r="B80" s="25">
        <v>0</v>
      </c>
      <c r="C80" s="27">
        <v>0</v>
      </c>
      <c r="D80" s="26" t="str">
        <f>IF(B80=0,"   ",C80/B80*100)</f>
        <v>   </v>
      </c>
      <c r="E80" s="42">
        <f>C80-B80</f>
        <v>0</v>
      </c>
    </row>
    <row r="81" spans="1:5" ht="18" customHeight="1">
      <c r="A81" s="16" t="s">
        <v>125</v>
      </c>
      <c r="B81" s="24">
        <f>SUM(B82,)</f>
        <v>16000</v>
      </c>
      <c r="C81" s="24">
        <f>SUM(C82,)</f>
        <v>16000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43</v>
      </c>
      <c r="B82" s="232">
        <v>16000</v>
      </c>
      <c r="C82" s="28">
        <v>16000</v>
      </c>
      <c r="D82" s="26">
        <f t="shared" si="0"/>
        <v>100</v>
      </c>
      <c r="E82" s="42">
        <f t="shared" si="1"/>
        <v>0</v>
      </c>
    </row>
    <row r="83" spans="1:5" ht="21" customHeight="1">
      <c r="A83" s="182" t="s">
        <v>15</v>
      </c>
      <c r="B83" s="158">
        <f>SUM(B47,B53,B55,B57,B65,B76,B77,B79,B81,)</f>
        <v>3124600</v>
      </c>
      <c r="C83" s="158">
        <f>SUM(C47,C53,C55,C57,C65,C76,C77,C79,C81,)</f>
        <v>2449917.06</v>
      </c>
      <c r="D83" s="148">
        <f>IF(B83=0,"   ",C83/B83*100)</f>
        <v>78.40738206490431</v>
      </c>
      <c r="E83" s="149">
        <f t="shared" si="1"/>
        <v>-674682.94</v>
      </c>
    </row>
    <row r="84" spans="1:5" s="66" customFormat="1" ht="23.25" customHeight="1">
      <c r="A84" s="87" t="s">
        <v>256</v>
      </c>
      <c r="B84" s="87"/>
      <c r="C84" s="292"/>
      <c r="D84" s="292"/>
      <c r="E84" s="292"/>
    </row>
    <row r="85" spans="1:5" s="66" customFormat="1" ht="12" customHeight="1">
      <c r="A85" s="87" t="s">
        <v>163</v>
      </c>
      <c r="B85" s="87"/>
      <c r="C85" s="88" t="s">
        <v>302</v>
      </c>
      <c r="D85" s="89"/>
      <c r="E85" s="90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</sheetData>
  <sheetProtection/>
  <mergeCells count="2">
    <mergeCell ref="A1:E1"/>
    <mergeCell ref="C84:E84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56">
      <selection activeCell="B56" sqref="B56"/>
    </sheetView>
  </sheetViews>
  <sheetFormatPr defaultColWidth="9.00390625" defaultRowHeight="12.75"/>
  <cols>
    <col min="1" max="1" width="61.0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7.25">
      <c r="A1" s="294" t="s">
        <v>318</v>
      </c>
      <c r="B1" s="294"/>
      <c r="C1" s="294"/>
      <c r="D1" s="294"/>
      <c r="E1" s="294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270</v>
      </c>
      <c r="C3" s="32" t="s">
        <v>304</v>
      </c>
      <c r="D3" s="19" t="s">
        <v>271</v>
      </c>
      <c r="E3" s="36" t="s">
        <v>272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3.5">
      <c r="A6" s="206" t="s">
        <v>45</v>
      </c>
      <c r="B6" s="199">
        <f>SUM(B7)</f>
        <v>10725400</v>
      </c>
      <c r="C6" s="199">
        <f>SUM(C7)</f>
        <v>8982275.5</v>
      </c>
      <c r="D6" s="207">
        <f aca="true" t="shared" si="0" ref="D6:D33">IF(B6=0,"   ",C6/B6*100)</f>
        <v>83.74769705558766</v>
      </c>
      <c r="E6" s="208">
        <f aca="true" t="shared" si="1" ref="E6:E56">C6-B6</f>
        <v>-1743124.5</v>
      </c>
    </row>
    <row r="7" spans="1:5" ht="13.5">
      <c r="A7" s="209" t="s">
        <v>44</v>
      </c>
      <c r="B7" s="210">
        <f>Лист1!B9+Лист2!B7+Лист3!B7+Лист4!B8+Лист5!B8+Лист6!B8+Лист7!B8+Лист8!B8+Лист9!B8+Лист10!B8</f>
        <v>10725400</v>
      </c>
      <c r="C7" s="210">
        <f>Лист1!C9+Лист2!C7+Лист3!C7+Лист4!C8+Лист5!C8+Лист6!C8+Лист7!C8+Лист8!C8+Лист9!C8+Лист10!C8</f>
        <v>8982275.5</v>
      </c>
      <c r="D7" s="207">
        <f t="shared" si="0"/>
        <v>83.74769705558766</v>
      </c>
      <c r="E7" s="208">
        <f t="shared" si="1"/>
        <v>-1743124.5</v>
      </c>
    </row>
    <row r="8" spans="1:5" ht="31.5" customHeight="1">
      <c r="A8" s="206" t="s">
        <v>142</v>
      </c>
      <c r="B8" s="199">
        <f>SUM(B9)</f>
        <v>5717800</v>
      </c>
      <c r="C8" s="199">
        <f>SUM(C9)</f>
        <v>6152634.970000001</v>
      </c>
      <c r="D8" s="207">
        <f t="shared" si="0"/>
        <v>107.60493494001192</v>
      </c>
      <c r="E8" s="208">
        <f t="shared" si="1"/>
        <v>434834.97000000067</v>
      </c>
    </row>
    <row r="9" spans="1:5" ht="27">
      <c r="A9" s="209" t="s">
        <v>143</v>
      </c>
      <c r="B9" s="210">
        <f>Лист1!B15+Лист2!B9+Лист3!B9+Лист4!B10+Лист5!B10+Лист6!B10+Лист7!B10+Лист8!B10+Лист9!B10+Лист10!B10</f>
        <v>5717800</v>
      </c>
      <c r="C9" s="210">
        <f>Лист1!C15+Лист2!C9+Лист3!C9+Лист4!C10+Лист5!C10+Лист6!C10+Лист7!C10+Лист8!C10+Лист9!C10+Лист10!C10</f>
        <v>6152634.970000001</v>
      </c>
      <c r="D9" s="207">
        <f t="shared" si="0"/>
        <v>107.60493494001192</v>
      </c>
      <c r="E9" s="208">
        <f t="shared" si="1"/>
        <v>434834.97000000067</v>
      </c>
    </row>
    <row r="10" spans="1:5" ht="13.5">
      <c r="A10" s="209" t="s">
        <v>7</v>
      </c>
      <c r="B10" s="210">
        <f>B11</f>
        <v>207000</v>
      </c>
      <c r="C10" s="210">
        <f>SUM(C11:C11)</f>
        <v>224477.64</v>
      </c>
      <c r="D10" s="207">
        <f t="shared" si="0"/>
        <v>108.4433043478261</v>
      </c>
      <c r="E10" s="208">
        <f t="shared" si="1"/>
        <v>17477.640000000014</v>
      </c>
    </row>
    <row r="11" spans="1:5" ht="13.5">
      <c r="A11" s="209" t="s">
        <v>26</v>
      </c>
      <c r="B11" s="210">
        <f>Лист1!B18+Лист2!B11+Лист3!B11+Лист4!B12+Лист5!B12+Лист6!B12+Лист7!B12+Лист8!B12+Лист9!B12+Лист10!B12</f>
        <v>207000</v>
      </c>
      <c r="C11" s="210">
        <f>Лист1!C18+Лист2!C11+Лист3!C11+Лист4!C12+Лист5!C12+Лист6!C12+Лист7!C12+Лист8!C12+Лист9!C12+Лист10!C12</f>
        <v>224477.64</v>
      </c>
      <c r="D11" s="207">
        <f t="shared" si="0"/>
        <v>108.4433043478261</v>
      </c>
      <c r="E11" s="208">
        <f t="shared" si="1"/>
        <v>17477.640000000014</v>
      </c>
    </row>
    <row r="12" spans="1:5" ht="13.5">
      <c r="A12" s="209" t="s">
        <v>9</v>
      </c>
      <c r="B12" s="210">
        <f>SUM(B13:B14)</f>
        <v>9375440</v>
      </c>
      <c r="C12" s="210">
        <f>SUM(C13:C14)</f>
        <v>7322452.19</v>
      </c>
      <c r="D12" s="207">
        <f t="shared" si="0"/>
        <v>78.10249108308517</v>
      </c>
      <c r="E12" s="208">
        <f t="shared" si="1"/>
        <v>-2052987.8099999996</v>
      </c>
    </row>
    <row r="13" spans="1:5" ht="13.5">
      <c r="A13" s="209" t="s">
        <v>27</v>
      </c>
      <c r="B13" s="210">
        <f>Лист1!B20+Лист2!B13+Лист3!B13+Лист4!B14+Лист5!B14+Лист6!B14+Лист7!B14+Лист8!B14+Лист9!B14+Лист10!B14</f>
        <v>4499400</v>
      </c>
      <c r="C13" s="210">
        <f>Лист1!C20+Лист2!C13+Лист3!C13+Лист4!C14+Лист5!C14+Лист6!C14+Лист7!C14+Лист8!C14+Лист9!C14+Лист10!C14</f>
        <v>3235166.29</v>
      </c>
      <c r="D13" s="207">
        <f t="shared" si="0"/>
        <v>71.90217117837933</v>
      </c>
      <c r="E13" s="208">
        <f t="shared" si="1"/>
        <v>-1264233.71</v>
      </c>
    </row>
    <row r="14" spans="1:5" ht="13.5">
      <c r="A14" s="209" t="s">
        <v>171</v>
      </c>
      <c r="B14" s="210">
        <f>Лист1!B21+Лист2!B14+Лист3!B14+Лист4!B15+Лист5!B15+Лист6!B15+Лист7!B15+Лист8!B15+Лист9!B15+Лист10!B15</f>
        <v>4876040</v>
      </c>
      <c r="C14" s="210">
        <f>Лист1!C21+Лист2!C14+Лист3!C14+Лист4!C15+Лист5!C15+Лист6!C15+Лист7!C15+Лист8!C15+Лист9!C15+Лист10!C15</f>
        <v>4087285.9000000004</v>
      </c>
      <c r="D14" s="207">
        <f t="shared" si="0"/>
        <v>83.82387962362901</v>
      </c>
      <c r="E14" s="208">
        <f t="shared" si="1"/>
        <v>-788754.0999999996</v>
      </c>
    </row>
    <row r="15" spans="1:5" ht="13.5">
      <c r="A15" s="209" t="s">
        <v>172</v>
      </c>
      <c r="B15" s="210">
        <f>Лист1!B22+Лист2!B15+Лист3!B15+Лист4!B16+Лист5!B16+Лист6!B16+Лист7!B16+Лист8!B16+Лист9!B16+Лист10!B16</f>
        <v>1559000</v>
      </c>
      <c r="C15" s="210">
        <f>Лист1!C22+Лист2!C15+Лист3!C15+Лист4!C16+Лист5!C16+Лист6!C16+Лист7!C16+Лист8!C16+Лист9!C16+Лист10!C16</f>
        <v>1482575.8000000003</v>
      </c>
      <c r="D15" s="207">
        <f t="shared" si="0"/>
        <v>95.0978704297627</v>
      </c>
      <c r="E15" s="208">
        <f t="shared" si="1"/>
        <v>-76424.19999999972</v>
      </c>
    </row>
    <row r="16" spans="1:5" ht="13.5">
      <c r="A16" s="209" t="s">
        <v>173</v>
      </c>
      <c r="B16" s="210">
        <f>Лист1!B23+Лист2!B16+Лист3!B16+Лист4!B17+Лист5!B17+Лист6!B17+Лист7!B17+Лист8!B17+Лист9!B17+Лист10!B17</f>
        <v>3317040</v>
      </c>
      <c r="C16" s="210">
        <f>Лист1!C23+Лист2!C16+Лист3!C16+Лист4!C17+Лист5!C17+Лист6!C17+Лист7!C17+Лист8!C17+Лист9!C17+Лист10!C17</f>
        <v>2604710.1</v>
      </c>
      <c r="D16" s="207">
        <f t="shared" si="0"/>
        <v>78.52513385427973</v>
      </c>
      <c r="E16" s="208">
        <f t="shared" si="1"/>
        <v>-712329.8999999999</v>
      </c>
    </row>
    <row r="17" spans="1:5" ht="13.5">
      <c r="A17" s="209" t="s">
        <v>219</v>
      </c>
      <c r="B17" s="196">
        <f>Лист8!B18+Лист5!B18+Лист9!B18+Лист3!B17+Лист4!B18+Лист2!B17+Лист10!B18+Лист1!B24+Лист6!B18</f>
        <v>17300</v>
      </c>
      <c r="C17" s="196">
        <f>Лист8!C18+Лист5!C18+Лист9!C18+Лист3!C17+Лист4!C18+Лист2!C17+Лист10!C18+Лист1!C24+Лист6!C18</f>
        <v>25890</v>
      </c>
      <c r="D17" s="207">
        <f>IF(B17=0,"   ",C17/B17*100)</f>
        <v>149.65317919075144</v>
      </c>
      <c r="E17" s="208">
        <f>C17-B17</f>
        <v>8590</v>
      </c>
    </row>
    <row r="18" spans="1:5" ht="28.5" customHeight="1">
      <c r="A18" s="209" t="s">
        <v>94</v>
      </c>
      <c r="B18" s="196">
        <f>Лист1!B25+Лист2!B18+Лист3!B18+Лист4!B19+Лист5!B19+Лист6!B19+Лист7!B18+Лист8!B19+Лист9!B19+Лист10!B19</f>
        <v>0</v>
      </c>
      <c r="C18" s="196">
        <f>Лист1!C25+Лист2!C18+Лист3!C18+Лист4!C19+Лист5!C19+Лист6!C19+Лист7!C18+Лист8!C19+Лист9!C19+Лист10!C19</f>
        <v>51045.05</v>
      </c>
      <c r="D18" s="207" t="str">
        <f t="shared" si="0"/>
        <v>   </v>
      </c>
      <c r="E18" s="208">
        <f t="shared" si="1"/>
        <v>51045.05</v>
      </c>
    </row>
    <row r="19" spans="1:5" ht="46.5" customHeight="1">
      <c r="A19" s="209" t="s">
        <v>28</v>
      </c>
      <c r="B19" s="210">
        <f>SUM(B20:B24)</f>
        <v>3070700</v>
      </c>
      <c r="C19" s="210">
        <f>SUM(C20:C24)</f>
        <v>2179508.6999999997</v>
      </c>
      <c r="D19" s="207">
        <f t="shared" si="0"/>
        <v>70.97758491549158</v>
      </c>
      <c r="E19" s="208">
        <f t="shared" si="1"/>
        <v>-891191.3000000003</v>
      </c>
    </row>
    <row r="20" spans="1:5" ht="13.5">
      <c r="A20" s="209" t="s">
        <v>162</v>
      </c>
      <c r="B20" s="210">
        <f>Лист7!B20</f>
        <v>1273200</v>
      </c>
      <c r="C20" s="210">
        <f>Лист7!C20</f>
        <v>607607.83</v>
      </c>
      <c r="D20" s="207">
        <f t="shared" si="0"/>
        <v>47.72288956958843</v>
      </c>
      <c r="E20" s="208">
        <f t="shared" si="1"/>
        <v>-665592.17</v>
      </c>
    </row>
    <row r="21" spans="1:5" ht="13.5">
      <c r="A21" s="209" t="s">
        <v>144</v>
      </c>
      <c r="B21" s="210">
        <f>Лист1!B27+Лист2!B23+Лист3!B20+Лист4!B21+Лист5!B21+Лист6!B21+Лист7!B21+Лист8!B21+Лист9!B22+Лист10!B22</f>
        <v>967300</v>
      </c>
      <c r="C21" s="210">
        <f>Лист1!C27+Лист2!C23+Лист3!C20+Лист4!C21+Лист5!C21+Лист6!C21+Лист7!C21+Лист8!C21+Лист9!C22+Лист10!C22</f>
        <v>831018.2699999999</v>
      </c>
      <c r="D21" s="207">
        <f t="shared" si="0"/>
        <v>85.91112064509458</v>
      </c>
      <c r="E21" s="208">
        <f t="shared" si="1"/>
        <v>-136281.7300000001</v>
      </c>
    </row>
    <row r="22" spans="1:5" ht="33" customHeight="1">
      <c r="A22" s="209" t="s">
        <v>30</v>
      </c>
      <c r="B22" s="210">
        <f>Лист1!B28+Лист2!B24+Лист3!B21+Лист4!B22+Лист5!B22+Лист6!B22+Лист7!B22+Лист8!B22+Лист9!B23+Лист10!B21</f>
        <v>254500</v>
      </c>
      <c r="C22" s="210">
        <f>Лист1!C28+Лист2!C24+Лист3!C21+Лист4!C22+Лист5!C22+Лист6!C22+Лист7!C22+Лист8!C22+Лист9!C23+Лист10!C21</f>
        <v>136242.13</v>
      </c>
      <c r="D22" s="207">
        <f t="shared" si="0"/>
        <v>53.533253438113945</v>
      </c>
      <c r="E22" s="208">
        <f t="shared" si="1"/>
        <v>-118257.87</v>
      </c>
    </row>
    <row r="23" spans="1:5" ht="73.5" customHeight="1">
      <c r="A23" s="209" t="s">
        <v>225</v>
      </c>
      <c r="B23" s="210">
        <f>Лист7!B23</f>
        <v>550000</v>
      </c>
      <c r="C23" s="210">
        <f>Лист7!C23</f>
        <v>584928.07</v>
      </c>
      <c r="D23" s="207">
        <f>IF(B23=0,"   ",C23/B23*100)</f>
        <v>106.35055818181817</v>
      </c>
      <c r="E23" s="208">
        <f>C23-B23</f>
        <v>34928.06999999995</v>
      </c>
    </row>
    <row r="24" spans="1:5" ht="72" customHeight="1">
      <c r="A24" s="209" t="s">
        <v>259</v>
      </c>
      <c r="B24" s="210">
        <f>Лист1!B29+Лист9!B24</f>
        <v>25700</v>
      </c>
      <c r="C24" s="210">
        <f>Лист1!C29+Лист9!C24</f>
        <v>19712.4</v>
      </c>
      <c r="D24" s="207">
        <f>IF(B24=0,"   ",C24/B24*100)</f>
        <v>76.70194552529183</v>
      </c>
      <c r="E24" s="208">
        <f>C24-B24</f>
        <v>-5987.5999999999985</v>
      </c>
    </row>
    <row r="25" spans="1:5" ht="30.75" customHeight="1">
      <c r="A25" s="209" t="s">
        <v>83</v>
      </c>
      <c r="B25" s="210">
        <f>SUM(B27,B26)</f>
        <v>10000</v>
      </c>
      <c r="C25" s="210">
        <f>SUM(C27,C26)</f>
        <v>61529.810000000005</v>
      </c>
      <c r="D25" s="207">
        <f t="shared" si="0"/>
        <v>615.2981000000001</v>
      </c>
      <c r="E25" s="208">
        <f t="shared" si="1"/>
        <v>51529.810000000005</v>
      </c>
    </row>
    <row r="26" spans="1:5" ht="16.5" customHeight="1">
      <c r="A26" s="209" t="s">
        <v>192</v>
      </c>
      <c r="B26" s="210">
        <f>Лист2!B26</f>
        <v>0</v>
      </c>
      <c r="C26" s="210">
        <f>Лист2!C26</f>
        <v>0</v>
      </c>
      <c r="D26" s="207"/>
      <c r="E26" s="208">
        <f t="shared" si="1"/>
        <v>0</v>
      </c>
    </row>
    <row r="27" spans="1:5" ht="44.25" customHeight="1">
      <c r="A27" s="209" t="s">
        <v>84</v>
      </c>
      <c r="B27" s="210">
        <f>Лист4!B23+Лист9!B25+Лист7!B24</f>
        <v>10000</v>
      </c>
      <c r="C27" s="210">
        <f>Лист4!C23+Лист9!C25+Лист7!C24+Лист1!C30</f>
        <v>61529.810000000005</v>
      </c>
      <c r="D27" s="207">
        <f t="shared" si="0"/>
        <v>615.2981000000001</v>
      </c>
      <c r="E27" s="208">
        <f t="shared" si="1"/>
        <v>51529.810000000005</v>
      </c>
    </row>
    <row r="28" spans="1:5" ht="31.5" customHeight="1">
      <c r="A28" s="209" t="s">
        <v>76</v>
      </c>
      <c r="B28" s="210">
        <f>SUM(B30+B29+B31)</f>
        <v>600242</v>
      </c>
      <c r="C28" s="210">
        <f>SUM(C30+C29+C31)</f>
        <v>803831.6699999999</v>
      </c>
      <c r="D28" s="207">
        <f t="shared" si="0"/>
        <v>133.91793143432147</v>
      </c>
      <c r="E28" s="208">
        <f t="shared" si="1"/>
        <v>203589.66999999993</v>
      </c>
    </row>
    <row r="29" spans="1:5" ht="30.75" customHeight="1">
      <c r="A29" s="209" t="s">
        <v>139</v>
      </c>
      <c r="B29" s="210">
        <f>Лист1!B32+Лист5!B25+Лист9!B27+Лист7!B26+Лист2!B20+Лист3!B25</f>
        <v>374705</v>
      </c>
      <c r="C29" s="210">
        <f>Лист1!C32+Лист5!C25+Лист9!C27+Лист7!C26+Лист2!C20+Лист3!C25</f>
        <v>555364.63</v>
      </c>
      <c r="D29" s="207">
        <f t="shared" si="0"/>
        <v>148.21382954590945</v>
      </c>
      <c r="E29" s="208">
        <f t="shared" si="1"/>
        <v>180659.63</v>
      </c>
    </row>
    <row r="30" spans="1:5" ht="42" customHeight="1">
      <c r="A30" s="209" t="s">
        <v>260</v>
      </c>
      <c r="B30" s="210">
        <f>Лист7!B27</f>
        <v>150000</v>
      </c>
      <c r="C30" s="210">
        <f>Лист7!C27</f>
        <v>172929.08</v>
      </c>
      <c r="D30" s="207">
        <f t="shared" si="0"/>
        <v>115.28605333333333</v>
      </c>
      <c r="E30" s="208">
        <f t="shared" si="1"/>
        <v>22929.079999999987</v>
      </c>
    </row>
    <row r="31" spans="1:5" ht="46.5" customHeight="1">
      <c r="A31" s="209" t="s">
        <v>261</v>
      </c>
      <c r="B31" s="210">
        <f>Лист1!B33+Лист2!B21+Лист3!B24+Лист4!B25+Лист6!B25+Лист8!B25+Лист9!B28+Лист10!B25</f>
        <v>75537</v>
      </c>
      <c r="C31" s="210">
        <f>Лист1!C33+Лист2!C21+Лист3!C24+Лист4!C25+Лист6!C25+Лист8!C25+Лист9!C28+Лист10!C25</f>
        <v>75537.96</v>
      </c>
      <c r="D31" s="207">
        <f t="shared" si="0"/>
        <v>100.00127090035346</v>
      </c>
      <c r="E31" s="208">
        <f t="shared" si="1"/>
        <v>0.9600000000064028</v>
      </c>
    </row>
    <row r="32" spans="1:5" ht="13.5">
      <c r="A32" s="209" t="s">
        <v>31</v>
      </c>
      <c r="B32" s="210">
        <f>Лист1!B34+Лист2!B27+Лист5!B28+Лист7!B28+Лист6!B26</f>
        <v>0</v>
      </c>
      <c r="C32" s="210">
        <f>Лист5!C28+Лист7!C28+Лист6!C26</f>
        <v>109040</v>
      </c>
      <c r="D32" s="207" t="str">
        <f t="shared" si="0"/>
        <v>   </v>
      </c>
      <c r="E32" s="208">
        <f t="shared" si="1"/>
        <v>109040</v>
      </c>
    </row>
    <row r="33" spans="1:5" ht="13.5">
      <c r="A33" s="209" t="s">
        <v>32</v>
      </c>
      <c r="B33" s="210">
        <f>B34+B35</f>
        <v>0</v>
      </c>
      <c r="C33" s="210">
        <f>C34+C35</f>
        <v>-3435.5299999999997</v>
      </c>
      <c r="D33" s="207" t="str">
        <f t="shared" si="0"/>
        <v>   </v>
      </c>
      <c r="E33" s="208">
        <f t="shared" si="1"/>
        <v>-3435.5299999999997</v>
      </c>
    </row>
    <row r="34" spans="1:5" ht="13.5">
      <c r="A34" s="209" t="s">
        <v>46</v>
      </c>
      <c r="B34" s="210">
        <v>0</v>
      </c>
      <c r="C34" s="210">
        <f>Лист1!C38+Лист2!C29+Лист4!C27+Лист6!C28+Лист7!C30+Лист8!C27+Лист9!C31+Лист3!C27+Лист10!C27+Лист5!C27</f>
        <v>-3435.5299999999997</v>
      </c>
      <c r="D34" s="207"/>
      <c r="E34" s="208">
        <f t="shared" si="1"/>
        <v>-3435.5299999999997</v>
      </c>
    </row>
    <row r="35" spans="1:5" ht="13.5">
      <c r="A35" s="209" t="s">
        <v>50</v>
      </c>
      <c r="B35" s="210">
        <f>Лист1!B39+Лист2!B30+Лист3!B28+Лист4!B28+Лист5!B27+Лист6!B29+Лист7!B31+Лист8!B28+Лист9!B32+Лист10!B28</f>
        <v>0</v>
      </c>
      <c r="C35" s="210">
        <f>Лист1!C39+Лист2!C30+Лист3!C28+Лист4!C28+Лист6!C29+Лист7!C31+Лист8!C28+Лист9!C32+Лист10!C28</f>
        <v>0</v>
      </c>
      <c r="D35" s="207" t="str">
        <f>IF(B35=0,"   ",C35/B35*100)</f>
        <v>   </v>
      </c>
      <c r="E35" s="208">
        <f t="shared" si="1"/>
        <v>0</v>
      </c>
    </row>
    <row r="36" spans="1:5" ht="18" customHeight="1">
      <c r="A36" s="211" t="s">
        <v>10</v>
      </c>
      <c r="B36" s="212">
        <f>SUM(B6,B8,B10,B12,B18,B19,B25,B28,B33,+B32+B17)</f>
        <v>29723882</v>
      </c>
      <c r="C36" s="212">
        <f>SUM(C6,C8,C10,C12,C18,C19,C25,C28,C33,+C32+C17)</f>
        <v>25909250</v>
      </c>
      <c r="D36" s="213">
        <f>IF(B36=0,"   ",C36/B36*100)</f>
        <v>87.16644077647732</v>
      </c>
      <c r="E36" s="214">
        <f t="shared" si="1"/>
        <v>-3814632</v>
      </c>
    </row>
    <row r="37" spans="1:5" ht="33" customHeight="1">
      <c r="A37" s="206" t="s">
        <v>34</v>
      </c>
      <c r="B37" s="199">
        <f>Лист1!B44+Лист2!B33+Лист3!B32+Лист4!B32+Лист5!B31+Лист6!B32+Лист7!B34+Лист8!B32+Лист9!B35+Лист10!B31</f>
        <v>16275000</v>
      </c>
      <c r="C37" s="199">
        <f>Лист1!C44+Лист2!C33+Лист3!C32+Лист4!C32+Лист5!C31+Лист6!C32+Лист7!C34+Лист8!C32+Лист9!C35+Лист10!C31</f>
        <v>15364100</v>
      </c>
      <c r="D37" s="207">
        <f>IF(B37=0,"   ",C37/B37*100)</f>
        <v>94.40307219662058</v>
      </c>
      <c r="E37" s="208">
        <f t="shared" si="1"/>
        <v>-910900</v>
      </c>
    </row>
    <row r="38" spans="1:5" ht="33" customHeight="1">
      <c r="A38" s="206" t="s">
        <v>263</v>
      </c>
      <c r="B38" s="199">
        <f>Лист1!B45+Лист2!B34+Лист3!B33+Лист4!B33+Лист5!B32+Лист6!B33+Лист7!B35+Лист8!B33+Лист9!B36+Лист10!B32</f>
        <v>6027000</v>
      </c>
      <c r="C38" s="199">
        <f>Лист1!C45+Лист2!C34+Лист3!C33+Лист4!C33+Лист5!C32+Лист6!C33+Лист7!C35+Лист8!C33+Лист9!C36+Лист10!C32</f>
        <v>2784400</v>
      </c>
      <c r="D38" s="207">
        <f>IF(B38=0,"   ",C38/B38*100)</f>
        <v>46.19877219180355</v>
      </c>
      <c r="E38" s="208">
        <f>C38-B38</f>
        <v>-3242600</v>
      </c>
    </row>
    <row r="39" spans="1:5" ht="13.5">
      <c r="A39" s="215" t="s">
        <v>116</v>
      </c>
      <c r="B39" s="199">
        <f>B45+B44+B41+B42+B43</f>
        <v>45553555.32</v>
      </c>
      <c r="C39" s="199">
        <f>C45+C44+C41+C42+C43</f>
        <v>29204738.52</v>
      </c>
      <c r="D39" s="207">
        <f>IF(B39=0,"   ",C39/B39*100)</f>
        <v>64.11077755588013</v>
      </c>
      <c r="E39" s="208">
        <f t="shared" si="1"/>
        <v>-16348816.8</v>
      </c>
    </row>
    <row r="40" spans="1:5" ht="13.5">
      <c r="A40" s="206" t="s">
        <v>117</v>
      </c>
      <c r="B40" s="199"/>
      <c r="C40" s="199"/>
      <c r="D40" s="207"/>
      <c r="E40" s="208"/>
    </row>
    <row r="41" spans="1:5" ht="33" customHeight="1">
      <c r="A41" s="16" t="s">
        <v>283</v>
      </c>
      <c r="B41" s="210">
        <f>Лист2!B43</f>
        <v>14299855.32</v>
      </c>
      <c r="C41" s="210">
        <f>Лист2!C43</f>
        <v>9701033.16</v>
      </c>
      <c r="D41" s="207">
        <f>IF(B41=0,"   ",C41/B41*100)</f>
        <v>67.84007909808699</v>
      </c>
      <c r="E41" s="208">
        <f>C41-B41</f>
        <v>-4598822.16</v>
      </c>
    </row>
    <row r="42" spans="1:5" ht="45" customHeight="1">
      <c r="A42" s="209" t="s">
        <v>197</v>
      </c>
      <c r="B42" s="195">
        <v>0</v>
      </c>
      <c r="C42" s="195">
        <v>0</v>
      </c>
      <c r="D42" s="197" t="str">
        <f>IF(B42=0,"   ",C42/B42)</f>
        <v>   </v>
      </c>
      <c r="E42" s="198">
        <f>C42-B42</f>
        <v>0</v>
      </c>
    </row>
    <row r="43" spans="1:5" ht="90" customHeight="1">
      <c r="A43" s="16" t="s">
        <v>282</v>
      </c>
      <c r="B43" s="210">
        <f>Лист1!B52+Лист2!B42+Лист3!B40+Лист4!B40+Лист5!B37+Лист6!B38+Лист7!B43+Лист8!B40+Лист9!B41+Лист10!B37</f>
        <v>23994400</v>
      </c>
      <c r="C43" s="210">
        <f>Лист1!C52+Лист2!C42+Лист3!C40+Лист4!C40+Лист5!C37+Лист6!C38+Лист7!C43+Лист8!C40+Лист9!C41+Лист10!C37</f>
        <v>12356368</v>
      </c>
      <c r="D43" s="207">
        <f>IF(B43=0,"   ",C43/B43*100)</f>
        <v>51.49688260594139</v>
      </c>
      <c r="E43" s="208">
        <f>C43-B43</f>
        <v>-11638032</v>
      </c>
    </row>
    <row r="44" spans="1:5" ht="98.25" customHeight="1">
      <c r="A44" s="16" t="s">
        <v>284</v>
      </c>
      <c r="B44" s="210">
        <f>Лист7!B44</f>
        <v>1594900</v>
      </c>
      <c r="C44" s="210">
        <f>Лист7!C44</f>
        <v>1594900</v>
      </c>
      <c r="D44" s="207">
        <f>IF(B44=0,"   ",C44/B44*100)</f>
        <v>100</v>
      </c>
      <c r="E44" s="208">
        <f>C44-B44</f>
        <v>0</v>
      </c>
    </row>
    <row r="45" spans="1:5" ht="13.5">
      <c r="A45" s="209" t="s">
        <v>107</v>
      </c>
      <c r="B45" s="210">
        <f>B49+B48+B47</f>
        <v>5664400</v>
      </c>
      <c r="C45" s="210">
        <f>C49+C48+C47</f>
        <v>5552437.359999999</v>
      </c>
      <c r="D45" s="207">
        <f>IF(B45=0,"   ",C45/B45*100)</f>
        <v>98.02339806510838</v>
      </c>
      <c r="E45" s="208">
        <f>C45-B45</f>
        <v>-111962.6400000006</v>
      </c>
    </row>
    <row r="46" spans="1:5" ht="13.5">
      <c r="A46" s="209" t="s">
        <v>118</v>
      </c>
      <c r="B46" s="210"/>
      <c r="C46" s="210"/>
      <c r="D46" s="207"/>
      <c r="E46" s="208"/>
    </row>
    <row r="47" spans="1:5" ht="41.25">
      <c r="A47" s="209" t="s">
        <v>253</v>
      </c>
      <c r="B47" s="210">
        <v>0</v>
      </c>
      <c r="C47" s="210">
        <v>0</v>
      </c>
      <c r="D47" s="207" t="str">
        <f>IF(B47=0,"   ",C47/B47*100)</f>
        <v>   </v>
      </c>
      <c r="E47" s="208">
        <f>C47-B47</f>
        <v>0</v>
      </c>
    </row>
    <row r="48" spans="1:5" ht="51.75" customHeight="1">
      <c r="A48" s="209" t="s">
        <v>252</v>
      </c>
      <c r="B48" s="210">
        <f>Лист1!B54+Лист2!B45+Лист3!B42+Лист4!B42+Лист5!B40+Лист6!B41+Лист7!B46+Лист8!B42+Лист9!B43+Лист10!B39</f>
        <v>5664400</v>
      </c>
      <c r="C48" s="210">
        <f>Лист1!C54+Лист2!C45+Лист3!C42+Лист4!C42+Лист5!C40+Лист6!C41+Лист7!C46+Лист8!C42+Лист9!C43+Лист10!C39</f>
        <v>5552437.359999999</v>
      </c>
      <c r="D48" s="207">
        <f>IF(B48=0,"   ",C48/B48*100)</f>
        <v>98.02339806510838</v>
      </c>
      <c r="E48" s="208">
        <f>C48-B48</f>
        <v>-111962.6400000006</v>
      </c>
    </row>
    <row r="49" spans="1:5" s="66" customFormat="1" ht="40.5" customHeight="1">
      <c r="A49" s="209" t="s">
        <v>119</v>
      </c>
      <c r="B49" s="210">
        <v>0</v>
      </c>
      <c r="C49" s="210">
        <v>0</v>
      </c>
      <c r="D49" s="207" t="str">
        <f>IF(B49=0,"   ",C49/B49*100)</f>
        <v>   </v>
      </c>
      <c r="E49" s="208">
        <f>C49-B49</f>
        <v>0</v>
      </c>
    </row>
    <row r="50" spans="1:5" s="66" customFormat="1" ht="13.5">
      <c r="A50" s="215" t="s">
        <v>19</v>
      </c>
      <c r="B50" s="210">
        <f>B52+B53</f>
        <v>1302900</v>
      </c>
      <c r="C50" s="210">
        <f>C52+C53</f>
        <v>1180353.8</v>
      </c>
      <c r="D50" s="207">
        <f>IF(B50=0,"   ",C50/B50*100)</f>
        <v>90.59435106301328</v>
      </c>
      <c r="E50" s="208">
        <f>C50-B50</f>
        <v>-122546.19999999995</v>
      </c>
    </row>
    <row r="51" spans="1:5" ht="13.5">
      <c r="A51" s="206" t="s">
        <v>117</v>
      </c>
      <c r="B51" s="199"/>
      <c r="C51" s="199"/>
      <c r="D51" s="207"/>
      <c r="E51" s="208"/>
    </row>
    <row r="52" spans="1:5" ht="58.5" customHeight="1">
      <c r="A52" s="216" t="s">
        <v>51</v>
      </c>
      <c r="B52" s="217">
        <f>Лист1!B46+Лист2!B36+Лист3!B34+Лист4!B34+Лист5!B33+Лист6!B34+Лист7!B36+Лист8!B34+Лист9!B37+Лист10!B33</f>
        <v>1259300</v>
      </c>
      <c r="C52" s="217">
        <f>Лист1!C46+Лист2!C36+Лист3!C34+Лист4!C34+Лист5!C33+Лист6!C34+Лист7!C36+Лист8!C34+Лист9!C37+Лист10!C33</f>
        <v>1156000</v>
      </c>
      <c r="D52" s="218">
        <f>IF(B52=0,"   ",C52/B52*100)</f>
        <v>91.79703009608514</v>
      </c>
      <c r="E52" s="219">
        <f>C52-B52</f>
        <v>-103300</v>
      </c>
    </row>
    <row r="53" spans="1:5" ht="45" customHeight="1">
      <c r="A53" s="216" t="s">
        <v>155</v>
      </c>
      <c r="B53" s="217">
        <f>Лист1!B47+Лист2!B37+Лист3!B35+Лист4!B35+Лист5!B34+Лист6!B35+Лист7!B37+Лист8!B35+Лист9!B38+Лист10!B34</f>
        <v>43600</v>
      </c>
      <c r="C53" s="217">
        <f>Лист1!C47+Лист2!C37+Лист3!C35+Лист4!C35+Лист5!C34+Лист6!C35+Лист7!C37+Лист8!C35+Лист9!C38+Лист10!C34</f>
        <v>24353.8</v>
      </c>
      <c r="D53" s="218">
        <f>IF(B53=0,"   ",C53/B53*100)</f>
        <v>55.857339449541286</v>
      </c>
      <c r="E53" s="219">
        <f>C53-B53</f>
        <v>-19246.2</v>
      </c>
    </row>
    <row r="54" spans="1:5" ht="27.75" customHeight="1">
      <c r="A54" s="216" t="s">
        <v>174</v>
      </c>
      <c r="B54" s="217">
        <f>Лист1!B48+Лист2!B38+Лист3!B36+Лист4!B36+Лист5!B35+Лист6!B36+Лист7!B38+Лист8!B36+Лист9!B39+Лист10!B35</f>
        <v>3000</v>
      </c>
      <c r="C54" s="217">
        <f>Лист1!C48+Лист2!C38+Лист3!C36+Лист4!C36+Лист5!C35+Лист6!C36+Лист7!C38+Лист8!C36+Лист9!C39+Лист10!C35</f>
        <v>2250</v>
      </c>
      <c r="D54" s="218">
        <f>IF(B54=0,"   ",C54/B54*100)</f>
        <v>75</v>
      </c>
      <c r="E54" s="219">
        <f>C54-B54</f>
        <v>-750</v>
      </c>
    </row>
    <row r="55" spans="1:5" ht="39.75" customHeight="1">
      <c r="A55" s="216" t="s">
        <v>175</v>
      </c>
      <c r="B55" s="217">
        <f>Лист1!B49+Лист2!B39+Лист3!B37+Лист4!B37+Лист5!B36+Лист6!B37+Лист7!B39+Лист8!B37+Лист9!B40+Лист10!B36</f>
        <v>40600</v>
      </c>
      <c r="C55" s="217">
        <f>Лист1!C49+Лист2!C39+Лист3!C37+Лист4!C37+Лист5!C36+Лист6!C37+Лист7!C39+Лист8!C37+Лист9!C40+Лист10!C36</f>
        <v>22103.8</v>
      </c>
      <c r="D55" s="218">
        <f>IF(B55=0,"   ",C55/B55*100)</f>
        <v>54.442857142857136</v>
      </c>
      <c r="E55" s="219">
        <f>C55-B55</f>
        <v>-18496.2</v>
      </c>
    </row>
    <row r="56" spans="1:5" ht="13.5">
      <c r="A56" s="215" t="s">
        <v>120</v>
      </c>
      <c r="B56" s="210">
        <f>B58+B60+B59</f>
        <v>7305686.46</v>
      </c>
      <c r="C56" s="210">
        <f>C58+C60+C59</f>
        <v>6054212.51</v>
      </c>
      <c r="D56" s="207">
        <f>IF(B56=0,"   ",C56/B56*100)</f>
        <v>82.86986504482428</v>
      </c>
      <c r="E56" s="208">
        <f t="shared" si="1"/>
        <v>-1251473.9500000002</v>
      </c>
    </row>
    <row r="57" spans="1:5" ht="13.5">
      <c r="A57" s="206" t="s">
        <v>117</v>
      </c>
      <c r="B57" s="199"/>
      <c r="C57" s="199"/>
      <c r="D57" s="207"/>
      <c r="E57" s="208"/>
    </row>
    <row r="58" spans="1:5" ht="75" customHeight="1">
      <c r="A58" s="209" t="s">
        <v>90</v>
      </c>
      <c r="B58" s="217">
        <f>Лист1!B50+Лист2!B40+Лист3!B38+Лист4!B38+Лист5!B41+Лист6!B43+Лист7!B40+Лист8!B38+Лист9!B45+Лист10!B42</f>
        <v>0</v>
      </c>
      <c r="C58" s="217">
        <f>Лист1!C50+Лист2!C40+Лист3!C38+Лист4!C38+Лист5!C41+Лист6!C43+Лист7!C40+Лист8!C38+Лист9!C45+Лист10!C42</f>
        <v>0</v>
      </c>
      <c r="D58" s="207" t="str">
        <f aca="true" t="shared" si="2" ref="D58:D88">IF(B58=0,"   ",C58/B58*100)</f>
        <v>   </v>
      </c>
      <c r="E58" s="208">
        <f>C58-B58</f>
        <v>0</v>
      </c>
    </row>
    <row r="59" spans="1:5" ht="89.25" customHeight="1">
      <c r="A59" s="209" t="s">
        <v>251</v>
      </c>
      <c r="B59" s="195">
        <f>Лист7!B42</f>
        <v>6805686.46</v>
      </c>
      <c r="C59" s="195">
        <f>Лист7!C42</f>
        <v>6054212.51</v>
      </c>
      <c r="D59" s="207">
        <f>IF(B59=0,"   ",C59/B59*100)</f>
        <v>88.95814618530046</v>
      </c>
      <c r="E59" s="208">
        <f>C59-B59</f>
        <v>-751473.9500000002</v>
      </c>
    </row>
    <row r="60" spans="1:5" ht="27.75" customHeight="1">
      <c r="A60" s="209" t="s">
        <v>181</v>
      </c>
      <c r="B60" s="217">
        <f>Лист1!B51+Лист2!B41+Лист3!B39+Лист6!B42+Лист8!B39+Лист10!B41+Лист4!B39+Лист5!B42+Лист7!B41+Лист9!B46</f>
        <v>500000</v>
      </c>
      <c r="C60" s="217">
        <f>Лист1!C51+Лист2!C41+Лист3!C39+Лист6!C42+Лист8!C39+Лист10!C41+Лист4!C39+Лист5!C42+Лист7!C41+Лист9!C46</f>
        <v>0</v>
      </c>
      <c r="D60" s="207">
        <f t="shared" si="2"/>
        <v>0</v>
      </c>
      <c r="E60" s="208">
        <f>C60-B60</f>
        <v>-500000</v>
      </c>
    </row>
    <row r="61" spans="1:5" ht="21" customHeight="1">
      <c r="A61" s="211" t="s">
        <v>204</v>
      </c>
      <c r="B61" s="210">
        <f>Лист1!B56+Лист2!B47+Лист3!B43+Лист4!B44+Лист5!B43+Лист6!B44+Лист7!B48+Лист8!B44+Лист9!B47+Лист10!B43</f>
        <v>1343525.7000000002</v>
      </c>
      <c r="C61" s="210">
        <f>Лист1!C56+Лист2!C47+Лист3!C43+Лист4!C44+Лист5!C43+Лист6!C44+Лист7!C48+Лист8!C44+Лист9!C47+Лист10!C43</f>
        <v>1264938.73</v>
      </c>
      <c r="D61" s="207">
        <f>IF(B61=0,"   ",C61/B61*100)</f>
        <v>94.15069097673381</v>
      </c>
      <c r="E61" s="208">
        <f>C61-B61</f>
        <v>-78586.9700000002</v>
      </c>
    </row>
    <row r="62" spans="1:5" ht="13.5">
      <c r="A62" s="211" t="s">
        <v>105</v>
      </c>
      <c r="B62" s="212">
        <f>B37+B39+B50+B56+B61+B38</f>
        <v>77807667.48</v>
      </c>
      <c r="C62" s="212">
        <f>C37+C39+C50+C56+C61+C38</f>
        <v>55852743.55999999</v>
      </c>
      <c r="D62" s="213">
        <f t="shared" si="2"/>
        <v>71.78308432694837</v>
      </c>
      <c r="E62" s="214">
        <f aca="true" t="shared" si="3" ref="E62:E99">C62-B62</f>
        <v>-21954923.920000017</v>
      </c>
    </row>
    <row r="63" spans="1:5" ht="23.25" customHeight="1">
      <c r="A63" s="211" t="s">
        <v>11</v>
      </c>
      <c r="B63" s="212">
        <f>B36+B62</f>
        <v>107531549.48</v>
      </c>
      <c r="C63" s="212">
        <f>C36+C62</f>
        <v>81761993.55999999</v>
      </c>
      <c r="D63" s="213">
        <f t="shared" si="2"/>
        <v>76.03535330364328</v>
      </c>
      <c r="E63" s="214">
        <f t="shared" si="3"/>
        <v>-25769555.920000017</v>
      </c>
    </row>
    <row r="64" spans="1:5" ht="27" hidden="1">
      <c r="A64" s="211" t="s">
        <v>48</v>
      </c>
      <c r="B64" s="210"/>
      <c r="C64" s="210"/>
      <c r="D64" s="207" t="str">
        <f t="shared" si="2"/>
        <v>   </v>
      </c>
      <c r="E64" s="208">
        <f t="shared" si="3"/>
        <v>0</v>
      </c>
    </row>
    <row r="65" spans="1:5" ht="14.25">
      <c r="A65" s="220" t="s">
        <v>12</v>
      </c>
      <c r="B65" s="221"/>
      <c r="C65" s="222"/>
      <c r="D65" s="207" t="str">
        <f t="shared" si="2"/>
        <v>   </v>
      </c>
      <c r="E65" s="208"/>
    </row>
    <row r="66" spans="1:5" ht="13.5">
      <c r="A66" s="209" t="s">
        <v>35</v>
      </c>
      <c r="B66" s="210">
        <f>Лист1!B59+Лист2!B51+Лист3!B46+Лист4!B47+Лист5!B47+Лист6!B47+Лист7!B52+Лист8!B47+Лист9!B50+Лист10!B47</f>
        <v>14132818.21</v>
      </c>
      <c r="C66" s="210">
        <f>Лист1!C59+Лист2!C51+Лист3!C46+Лист4!C47+Лист5!C47+Лист6!C47+Лист7!C52+Лист8!C47+Лист9!C50+Лист10!C47</f>
        <v>11172078.589999998</v>
      </c>
      <c r="D66" s="207">
        <f t="shared" si="2"/>
        <v>79.05060706218478</v>
      </c>
      <c r="E66" s="208">
        <f t="shared" si="3"/>
        <v>-2960739.620000003</v>
      </c>
    </row>
    <row r="67" spans="1:5" ht="13.5" customHeight="1">
      <c r="A67" s="209" t="s">
        <v>36</v>
      </c>
      <c r="B67" s="210">
        <f>Лист1!B60+Лист2!B52+Лист3!B47+Лист4!B48+Лист5!B48+Лист6!B48+Лист7!B53+Лист8!B48+Лист9!B51+Лист10!B48</f>
        <v>13271765.27</v>
      </c>
      <c r="C67" s="210">
        <f>Лист1!C60+Лист2!C52+Лист3!C47+Лист4!C48+Лист5!C48+Лист6!C48+Лист7!C53+Лист8!C48+Лист9!C51+Лист10!C48</f>
        <v>10598118.14</v>
      </c>
      <c r="D67" s="207">
        <f t="shared" si="2"/>
        <v>79.85462313710737</v>
      </c>
      <c r="E67" s="208">
        <f t="shared" si="3"/>
        <v>-2673647.129999999</v>
      </c>
    </row>
    <row r="68" spans="1:5" ht="13.5">
      <c r="A68" s="209" t="s">
        <v>122</v>
      </c>
      <c r="B68" s="210">
        <f>Лист1!B61+Лист2!B53+Лист3!B48+Лист4!B49+Лист5!B49+Лист6!B49+Лист7!B54+Лист8!B49+Лист9!B52+Лист10!B49</f>
        <v>8332233.93</v>
      </c>
      <c r="C68" s="210">
        <f>Лист1!C61+Лист2!C53+Лист3!C48+Лист4!C49+Лист5!C49+Лист6!C49+Лист7!C54+Лист8!C49+Лист9!C52+Лист10!C49</f>
        <v>6995922.150000001</v>
      </c>
      <c r="D68" s="207">
        <f t="shared" si="2"/>
        <v>83.96214279115902</v>
      </c>
      <c r="E68" s="208">
        <f t="shared" si="3"/>
        <v>-1336311.7799999984</v>
      </c>
    </row>
    <row r="69" spans="1:5" ht="13.5">
      <c r="A69" s="209" t="s">
        <v>96</v>
      </c>
      <c r="B69" s="210">
        <f>Лист1!B62+Лист2!B54+Лист3!B49+Лист4!B50+Лист5!B50+Лист6!B50+Лист7!B55+Лист8!B50+Лист9!B53+Лист10!B50</f>
        <v>2500</v>
      </c>
      <c r="C69" s="210">
        <f>Лист1!C62+Лист2!C54+Лист3!C49+Лист4!C50+Лист5!C50+Лист6!C50+Лист7!C55+Лист8!C50+Лист9!C53+Лист10!C50</f>
        <v>0</v>
      </c>
      <c r="D69" s="207">
        <f t="shared" si="2"/>
        <v>0</v>
      </c>
      <c r="E69" s="208">
        <f t="shared" si="3"/>
        <v>-2500</v>
      </c>
    </row>
    <row r="70" spans="1:5" ht="13.5">
      <c r="A70" s="209" t="s">
        <v>52</v>
      </c>
      <c r="B70" s="196">
        <f>B73+B74+B75+B71+B72</f>
        <v>858552.94</v>
      </c>
      <c r="C70" s="196">
        <f>C73+C74+C75+C71+C72</f>
        <v>573960.45</v>
      </c>
      <c r="D70" s="207">
        <f t="shared" si="2"/>
        <v>66.85207437528547</v>
      </c>
      <c r="E70" s="208">
        <f t="shared" si="3"/>
        <v>-284592.49</v>
      </c>
    </row>
    <row r="71" spans="1:5" ht="27">
      <c r="A71" s="223" t="s">
        <v>288</v>
      </c>
      <c r="B71" s="210">
        <f>Лист7!B58</f>
        <v>2000</v>
      </c>
      <c r="C71" s="210">
        <f>Лист7!C58</f>
        <v>0</v>
      </c>
      <c r="D71" s="207">
        <f>IF(B71=0,"   ",C71/B71*100)</f>
        <v>0</v>
      </c>
      <c r="E71" s="208">
        <f>C71-B71</f>
        <v>-2000</v>
      </c>
    </row>
    <row r="72" spans="1:5" ht="47.25" customHeight="1">
      <c r="A72" s="223" t="s">
        <v>289</v>
      </c>
      <c r="B72" s="210">
        <f>Лист3!B52+Лист7!B57+Лист1!B65</f>
        <v>55700</v>
      </c>
      <c r="C72" s="210">
        <f>Лист3!C52+Лист7!C57+Лист1!C65</f>
        <v>9500</v>
      </c>
      <c r="D72" s="207">
        <f>IF(B72=0,"   ",C72/B72*100)</f>
        <v>17.0556552962298</v>
      </c>
      <c r="E72" s="208">
        <f>C72-B72</f>
        <v>-46200</v>
      </c>
    </row>
    <row r="73" spans="1:5" ht="26.25" customHeight="1">
      <c r="A73" s="223" t="s">
        <v>255</v>
      </c>
      <c r="B73" s="210">
        <f>Лист3!B53</f>
        <v>100000</v>
      </c>
      <c r="C73" s="210">
        <f>Лист3!C53</f>
        <v>100000</v>
      </c>
      <c r="D73" s="207">
        <f t="shared" si="2"/>
        <v>100</v>
      </c>
      <c r="E73" s="208">
        <f>C73-B73</f>
        <v>0</v>
      </c>
    </row>
    <row r="74" spans="1:5" ht="33" customHeight="1">
      <c r="A74" s="112" t="s">
        <v>280</v>
      </c>
      <c r="B74" s="210">
        <f>Лист4!B52+Лист7!B60+Лист5!B53</f>
        <v>235814.6</v>
      </c>
      <c r="C74" s="210">
        <f>Лист4!C52+Лист7!C60+Лист5!C53</f>
        <v>74225</v>
      </c>
      <c r="D74" s="207">
        <f t="shared" si="2"/>
        <v>31.475998517479407</v>
      </c>
      <c r="E74" s="208">
        <f>C74-B74</f>
        <v>-161589.6</v>
      </c>
    </row>
    <row r="75" spans="1:5" ht="55.5" customHeight="1">
      <c r="A75" s="223" t="s">
        <v>276</v>
      </c>
      <c r="B75" s="210">
        <f>Лист7!B59+Лист1!B64+Лист2!B56+Лист4!B53+Лист10!B52</f>
        <v>465038.34</v>
      </c>
      <c r="C75" s="210">
        <f>Лист7!C59+Лист1!C64+Лист2!C56+Лист4!C53+Лист10!C52</f>
        <v>390235.45</v>
      </c>
      <c r="D75" s="210">
        <f>Лист7!D59</f>
        <v>86.7327731092437</v>
      </c>
      <c r="E75" s="208">
        <f>C75-B75</f>
        <v>-74802.89000000001</v>
      </c>
    </row>
    <row r="76" spans="1:5" ht="13.5">
      <c r="A76" s="209" t="s">
        <v>49</v>
      </c>
      <c r="B76" s="196">
        <f>SUM(B77)</f>
        <v>1259300</v>
      </c>
      <c r="C76" s="196">
        <f>SUM(C77)</f>
        <v>1077352.03</v>
      </c>
      <c r="D76" s="207">
        <f t="shared" si="2"/>
        <v>85.55165806400382</v>
      </c>
      <c r="E76" s="208">
        <f t="shared" si="3"/>
        <v>-181947.96999999997</v>
      </c>
    </row>
    <row r="77" spans="1:5" ht="33" customHeight="1">
      <c r="A77" s="209" t="s">
        <v>108</v>
      </c>
      <c r="B77" s="210">
        <f>Лист1!B68+Лист2!B58+Лист3!B55+Лист4!B55+Лист5!B55+Лист6!B54+Лист7!B62+Лист8!B54+Лист9!B59+Лист10!B54</f>
        <v>1259300</v>
      </c>
      <c r="C77" s="210">
        <f>Лист1!C68+Лист2!C58+Лист3!C55+Лист4!C55+Лист5!C55+Лист6!C54+Лист7!C62+Лист8!C54+Лист9!C59+Лист10!C54</f>
        <v>1077352.03</v>
      </c>
      <c r="D77" s="207">
        <f t="shared" si="2"/>
        <v>85.55165806400382</v>
      </c>
      <c r="E77" s="208">
        <f t="shared" si="3"/>
        <v>-181947.96999999997</v>
      </c>
    </row>
    <row r="78" spans="1:5" ht="27">
      <c r="A78" s="209" t="s">
        <v>37</v>
      </c>
      <c r="B78" s="210">
        <f>Лист1!B69+Лист2!B59+Лист3!B56+Лист4!B56+Лист5!B56+Лист6!B55+Лист7!B63+Лист8!B55+Лист9!B60+Лист10!B55</f>
        <v>975146</v>
      </c>
      <c r="C78" s="210">
        <f>Лист1!C69+Лист2!C59+Лист3!C56+Лист4!C56+Лист5!C56+Лист6!C55+Лист7!C63+Лист8!C55+Лист9!C60+Лист10!C55</f>
        <v>834080.46</v>
      </c>
      <c r="D78" s="207">
        <f t="shared" si="2"/>
        <v>85.53390569207072</v>
      </c>
      <c r="E78" s="208">
        <f t="shared" si="3"/>
        <v>-141065.54000000004</v>
      </c>
    </row>
    <row r="79" spans="1:5" ht="45" customHeight="1">
      <c r="A79" s="209" t="s">
        <v>87</v>
      </c>
      <c r="B79" s="196">
        <f>Лист7!B64</f>
        <v>890546</v>
      </c>
      <c r="C79" s="196">
        <f>Лист7!C64</f>
        <v>749480.46</v>
      </c>
      <c r="D79" s="207">
        <f t="shared" si="2"/>
        <v>84.1596571092341</v>
      </c>
      <c r="E79" s="208">
        <f t="shared" si="3"/>
        <v>-141065.54000000004</v>
      </c>
    </row>
    <row r="80" spans="1:5" ht="18.75" customHeight="1">
      <c r="A80" s="209" t="s">
        <v>97</v>
      </c>
      <c r="B80" s="210">
        <f>Лист7!B65</f>
        <v>890546</v>
      </c>
      <c r="C80" s="210">
        <f>Лист7!C65</f>
        <v>749480.46</v>
      </c>
      <c r="D80" s="207">
        <f t="shared" si="2"/>
        <v>84.1596571092341</v>
      </c>
      <c r="E80" s="208">
        <f t="shared" si="3"/>
        <v>-141065.54000000004</v>
      </c>
    </row>
    <row r="81" spans="1:5" ht="15.75" customHeight="1">
      <c r="A81" s="209" t="s">
        <v>122</v>
      </c>
      <c r="B81" s="210">
        <f>Лист7!B66</f>
        <v>660215</v>
      </c>
      <c r="C81" s="210">
        <f>Лист7!C66</f>
        <v>556284.38</v>
      </c>
      <c r="D81" s="207">
        <f t="shared" si="2"/>
        <v>84.25806441840915</v>
      </c>
      <c r="E81" s="208">
        <f t="shared" si="3"/>
        <v>-103930.62</v>
      </c>
    </row>
    <row r="82" spans="1:5" ht="13.5">
      <c r="A82" s="209" t="s">
        <v>98</v>
      </c>
      <c r="B82" s="210">
        <f>Лист1!B70+Лист2!B60+Лист3!B57+Лист4!B57+Лист5!B57+Лист6!B56+Лист7!B67+Лист8!B56+Лист9!B61+Лист10!B56</f>
        <v>84600</v>
      </c>
      <c r="C82" s="210">
        <f>Лист1!C70+Лист2!C60+Лист3!C57+Лист4!C57+Лист5!C57+Лист6!C56+Лист7!C67+Лист8!C56+Лист9!C61+Лист10!C56</f>
        <v>84600</v>
      </c>
      <c r="D82" s="207">
        <f t="shared" si="2"/>
        <v>100</v>
      </c>
      <c r="E82" s="208">
        <f t="shared" si="3"/>
        <v>0</v>
      </c>
    </row>
    <row r="83" spans="1:5" ht="13.5">
      <c r="A83" s="209" t="s">
        <v>38</v>
      </c>
      <c r="B83" s="196">
        <f>B91+B86+B106+B89+B84</f>
        <v>34378671.23</v>
      </c>
      <c r="C83" s="196">
        <f>C91+C86+C106+C89+C84</f>
        <v>20604358.79</v>
      </c>
      <c r="D83" s="207">
        <f t="shared" si="2"/>
        <v>59.93355197515585</v>
      </c>
      <c r="E83" s="208">
        <f t="shared" si="3"/>
        <v>-13774312.439999998</v>
      </c>
    </row>
    <row r="84" spans="1:5" ht="13.5">
      <c r="A84" s="285" t="s">
        <v>286</v>
      </c>
      <c r="B84" s="196">
        <f>B85</f>
        <v>260400</v>
      </c>
      <c r="C84" s="196">
        <f>C85</f>
        <v>214428.19</v>
      </c>
      <c r="D84" s="207">
        <f>IF(B84=0,"   ",C84/B84*100)</f>
        <v>82.3456950844854</v>
      </c>
      <c r="E84" s="208">
        <f t="shared" si="3"/>
        <v>-45971.81</v>
      </c>
    </row>
    <row r="85" spans="1:5" ht="26.25">
      <c r="A85" s="287" t="s">
        <v>287</v>
      </c>
      <c r="B85" s="196">
        <f>Лист7!B70</f>
        <v>260400</v>
      </c>
      <c r="C85" s="196">
        <f>Лист7!C70</f>
        <v>214428.19</v>
      </c>
      <c r="D85" s="207">
        <f>IF(B85=0,"   ",C85/B85*100)</f>
        <v>82.3456950844854</v>
      </c>
      <c r="E85" s="208">
        <f t="shared" si="3"/>
        <v>-45971.81</v>
      </c>
    </row>
    <row r="86" spans="1:5" ht="15.75" customHeight="1">
      <c r="A86" s="224" t="s">
        <v>190</v>
      </c>
      <c r="B86" s="196">
        <f>B88+B87</f>
        <v>100600</v>
      </c>
      <c r="C86" s="196">
        <f>C88+C87</f>
        <v>71725.64</v>
      </c>
      <c r="D86" s="207">
        <f t="shared" si="2"/>
        <v>71.29785288270376</v>
      </c>
      <c r="E86" s="208">
        <f>C86-B86</f>
        <v>-28874.36</v>
      </c>
    </row>
    <row r="87" spans="1:5" ht="30" customHeight="1">
      <c r="A87" s="225" t="s">
        <v>180</v>
      </c>
      <c r="B87" s="196">
        <f>Лист10!B59+Лист7!B72+Лист2!B64+Лист6!B60+Лист1!B74+Лист3!B61+Лист4!B61+Лист5!B61+Лист8!B60+Лист9!B65</f>
        <v>60000</v>
      </c>
      <c r="C87" s="196">
        <f>Лист10!C59+Лист7!C72+Лист2!C64+Лист6!C60+Лист1!C74+Лист3!C61+Лист4!C61+Лист5!C61+Лист8!C60+Лист9!C65</f>
        <v>55595.84</v>
      </c>
      <c r="D87" s="207">
        <f t="shared" si="2"/>
        <v>92.65973333333332</v>
      </c>
      <c r="E87" s="208">
        <f>C87-B87</f>
        <v>-4404.1600000000035</v>
      </c>
    </row>
    <row r="88" spans="1:5" ht="27">
      <c r="A88" s="226" t="s">
        <v>177</v>
      </c>
      <c r="B88" s="196">
        <f>Лист1!B73+Лист2!B63+Лист3!B60+Лист4!B60+Лист5!B60+Лист6!B59+Лист7!B73+Лист8!B59+Лист9!B64+Лист10!B60</f>
        <v>40600</v>
      </c>
      <c r="C88" s="196">
        <f>Лист1!C73+Лист2!C63+Лист3!C60+Лист4!C60+Лист5!C60+Лист6!C59+Лист7!C73+Лист8!C59+Лист9!C64+Лист10!C60</f>
        <v>16129.8</v>
      </c>
      <c r="D88" s="207">
        <f t="shared" si="2"/>
        <v>39.72857142857143</v>
      </c>
      <c r="E88" s="208">
        <f>C88-B88</f>
        <v>-24470.2</v>
      </c>
    </row>
    <row r="89" spans="1:5" ht="13.5">
      <c r="A89" s="283" t="s">
        <v>269</v>
      </c>
      <c r="B89" s="196">
        <f>B90</f>
        <v>105000</v>
      </c>
      <c r="C89" s="196">
        <f>C90</f>
        <v>0</v>
      </c>
      <c r="D89" s="207">
        <f>IF(B89=0,"   ",C89/B89*100)</f>
        <v>0</v>
      </c>
      <c r="E89" s="208">
        <f>C89-B89</f>
        <v>-105000</v>
      </c>
    </row>
    <row r="90" spans="1:5" ht="27">
      <c r="A90" s="225" t="s">
        <v>266</v>
      </c>
      <c r="B90" s="196">
        <f>Лист7!B75+Лист1!B76+Лист6!B62</f>
        <v>105000</v>
      </c>
      <c r="C90" s="196">
        <f>Лист7!C75+Лист1!C76+Лист6!C62</f>
        <v>0</v>
      </c>
      <c r="D90" s="207">
        <f>IF(B90=0,"   ",C90/B90*100)</f>
        <v>0</v>
      </c>
      <c r="E90" s="208">
        <f>C90-B90</f>
        <v>-105000</v>
      </c>
    </row>
    <row r="91" spans="1:5" ht="13.5">
      <c r="A91" s="227" t="s">
        <v>134</v>
      </c>
      <c r="B91" s="196">
        <f>B92+B98+B99+B102+B101+B96+B97+B100+B103+B105+B104</f>
        <v>33831900</v>
      </c>
      <c r="C91" s="196">
        <f>C92+C98+C99+C102+C101+C96+C97+C100+C103+C105+C104</f>
        <v>20287714.959999997</v>
      </c>
      <c r="D91" s="207">
        <f aca="true" t="shared" si="4" ref="D91:D112">IF(B91=0,"   ",C91/B91*100)</f>
        <v>59.966229978215814</v>
      </c>
      <c r="E91" s="208">
        <f t="shared" si="3"/>
        <v>-13544185.040000003</v>
      </c>
    </row>
    <row r="92" spans="1:5" ht="27">
      <c r="A92" s="223" t="s">
        <v>231</v>
      </c>
      <c r="B92" s="196">
        <f>B94+B93+B95</f>
        <v>0</v>
      </c>
      <c r="C92" s="196">
        <f>C94+C93+C95</f>
        <v>0</v>
      </c>
      <c r="D92" s="207" t="str">
        <f>IF(B92=0,"   ",C92/B92*100)</f>
        <v>   </v>
      </c>
      <c r="E92" s="208">
        <f>C92-B92</f>
        <v>0</v>
      </c>
    </row>
    <row r="93" spans="1:5" ht="42.75" customHeight="1">
      <c r="A93" s="223" t="s">
        <v>206</v>
      </c>
      <c r="B93" s="196">
        <f>Лист1!B79</f>
        <v>0</v>
      </c>
      <c r="C93" s="196">
        <f>Лист1!C79</f>
        <v>0</v>
      </c>
      <c r="D93" s="207" t="str">
        <f>IF(B93=0,"   ",C93/B93*100)</f>
        <v>   </v>
      </c>
      <c r="E93" s="208">
        <f>C93-B93</f>
        <v>0</v>
      </c>
    </row>
    <row r="94" spans="1:5" ht="45" customHeight="1">
      <c r="A94" s="223" t="s">
        <v>232</v>
      </c>
      <c r="B94" s="196">
        <f>Лист1!B80</f>
        <v>0</v>
      </c>
      <c r="C94" s="196">
        <f>Лист1!C80</f>
        <v>0</v>
      </c>
      <c r="D94" s="207" t="str">
        <f t="shared" si="4"/>
        <v>   </v>
      </c>
      <c r="E94" s="208">
        <f t="shared" si="3"/>
        <v>0</v>
      </c>
    </row>
    <row r="95" spans="1:5" ht="44.25" customHeight="1">
      <c r="A95" s="223" t="s">
        <v>245</v>
      </c>
      <c r="B95" s="196">
        <f>Лист1!B81</f>
        <v>0</v>
      </c>
      <c r="C95" s="196">
        <f>Лист1!C81</f>
        <v>0</v>
      </c>
      <c r="D95" s="207" t="str">
        <f t="shared" si="4"/>
        <v>   </v>
      </c>
      <c r="E95" s="208">
        <f t="shared" si="3"/>
        <v>0</v>
      </c>
    </row>
    <row r="96" spans="1:5" ht="27" customHeight="1">
      <c r="A96" s="225" t="s">
        <v>189</v>
      </c>
      <c r="B96" s="196">
        <v>0</v>
      </c>
      <c r="C96" s="196">
        <f>Лист1!C84+Лист9!C69</f>
        <v>0</v>
      </c>
      <c r="D96" s="207" t="str">
        <f t="shared" si="4"/>
        <v>   </v>
      </c>
      <c r="E96" s="208">
        <f t="shared" si="3"/>
        <v>0</v>
      </c>
    </row>
    <row r="97" spans="1:5" ht="27" customHeight="1">
      <c r="A97" s="228" t="s">
        <v>193</v>
      </c>
      <c r="B97" s="196">
        <f>Лист2!B66+Лист3!B64+Лист6!B65+Лист8!B63+Лист10!B62+Лист5!B63+Лист7!B79+Лист4!B63+Лист1!B84</f>
        <v>323600</v>
      </c>
      <c r="C97" s="196">
        <f>Лист2!C66+Лист3!C64+Лист6!C65+Лист8!C63+Лист10!C62+Лист5!C63+Лист7!C79+Лист4!C63+Лист1!C84</f>
        <v>298168.83</v>
      </c>
      <c r="D97" s="207">
        <f t="shared" si="4"/>
        <v>92.14117119901113</v>
      </c>
      <c r="E97" s="208">
        <f>C97-B97</f>
        <v>-25431.169999999984</v>
      </c>
    </row>
    <row r="98" spans="1:5" ht="46.5" customHeight="1">
      <c r="A98" s="226" t="s">
        <v>290</v>
      </c>
      <c r="B98" s="196">
        <f>Лист1!B85+Лист2!B67+Лист3!B65+Лист4!B64+Лист5!B64+Лист6!B66+Лист7!B81+Лист8!B64+Лист9!B70+Лист10!B63</f>
        <v>23994400</v>
      </c>
      <c r="C98" s="196">
        <f>Лист1!C85+Лист2!C67+Лист3!C65+Лист4!C64+Лист5!C64+Лист6!C66+Лист7!C81+Лист8!C64+Лист9!C70+Лист10!C63</f>
        <v>12356368</v>
      </c>
      <c r="D98" s="207">
        <f t="shared" si="4"/>
        <v>51.49688260594139</v>
      </c>
      <c r="E98" s="208">
        <f t="shared" si="3"/>
        <v>-11638032</v>
      </c>
    </row>
    <row r="99" spans="1:5" ht="45" customHeight="1">
      <c r="A99" s="226" t="s">
        <v>291</v>
      </c>
      <c r="B99" s="196">
        <f>Лист1!B86+Лист2!B68+Лист3!B67+Лист4!B65+Лист5!B65+Лист6!B67+Лист7!B82+Лист8!B65+Лист9!B71+Лист10!B64</f>
        <v>7207500</v>
      </c>
      <c r="C99" s="196">
        <f>Лист1!C86+Лист2!C68+Лист3!C67+Лист4!C65+Лист5!C65+Лист6!C67+Лист7!C82+Лист8!C65+Лист9!C71+Лист10!C64</f>
        <v>5566778.13</v>
      </c>
      <c r="D99" s="207">
        <f t="shared" si="4"/>
        <v>77.23590884495317</v>
      </c>
      <c r="E99" s="208">
        <f t="shared" si="3"/>
        <v>-1640721.87</v>
      </c>
    </row>
    <row r="100" spans="1:5" ht="45" customHeight="1">
      <c r="A100" s="226" t="s">
        <v>298</v>
      </c>
      <c r="B100" s="196">
        <f>Лист7!B83</f>
        <v>100000</v>
      </c>
      <c r="C100" s="196">
        <f>Лист7!C83</f>
        <v>50000</v>
      </c>
      <c r="D100" s="207">
        <f>IF(B100=0,"   ",C100/B100*100)</f>
        <v>50</v>
      </c>
      <c r="E100" s="208">
        <f>C100-B100</f>
        <v>-50000</v>
      </c>
    </row>
    <row r="101" spans="1:5" ht="42.75" customHeight="1">
      <c r="A101" s="223" t="s">
        <v>299</v>
      </c>
      <c r="B101" s="196">
        <f>Лист7!B84</f>
        <v>1594900</v>
      </c>
      <c r="C101" s="196">
        <f>Лист7!C84</f>
        <v>1594900</v>
      </c>
      <c r="D101" s="207">
        <f t="shared" si="4"/>
        <v>100</v>
      </c>
      <c r="E101" s="208">
        <f aca="true" t="shared" si="5" ref="E101:E149">C101-B101</f>
        <v>0</v>
      </c>
    </row>
    <row r="102" spans="1:5" ht="30.75" customHeight="1">
      <c r="A102" s="223" t="s">
        <v>300</v>
      </c>
      <c r="B102" s="196">
        <f>Лист7!B85</f>
        <v>241500</v>
      </c>
      <c r="C102" s="196">
        <f>Лист7!C85</f>
        <v>241500</v>
      </c>
      <c r="D102" s="207">
        <f t="shared" si="4"/>
        <v>100</v>
      </c>
      <c r="E102" s="208">
        <f t="shared" si="5"/>
        <v>0</v>
      </c>
    </row>
    <row r="103" spans="1:5" ht="30.75" customHeight="1">
      <c r="A103" s="223" t="s">
        <v>301</v>
      </c>
      <c r="B103" s="196">
        <f>Лист7!B86</f>
        <v>190000</v>
      </c>
      <c r="C103" s="196">
        <f>Лист7!C86</f>
        <v>0</v>
      </c>
      <c r="D103" s="207">
        <f>IF(B103=0,"   ",C103/B103*100)</f>
        <v>0</v>
      </c>
      <c r="E103" s="208">
        <f>C103-B103</f>
        <v>-190000</v>
      </c>
    </row>
    <row r="104" spans="1:5" ht="30.75" customHeight="1">
      <c r="A104" s="223" t="s">
        <v>213</v>
      </c>
      <c r="B104" s="196">
        <f>Лист7!B87</f>
        <v>180000</v>
      </c>
      <c r="C104" s="196">
        <f>Лист7!C87</f>
        <v>180000</v>
      </c>
      <c r="D104" s="207">
        <f t="shared" si="4"/>
        <v>100</v>
      </c>
      <c r="E104" s="208">
        <f t="shared" si="5"/>
        <v>0</v>
      </c>
    </row>
    <row r="105" spans="1:5" ht="30" customHeight="1">
      <c r="A105" s="223" t="s">
        <v>211</v>
      </c>
      <c r="B105" s="196">
        <v>0</v>
      </c>
      <c r="C105" s="196">
        <v>0</v>
      </c>
      <c r="D105" s="207" t="str">
        <f t="shared" si="4"/>
        <v>   </v>
      </c>
      <c r="E105" s="208">
        <f t="shared" si="5"/>
        <v>0</v>
      </c>
    </row>
    <row r="106" spans="1:5" ht="18.75" customHeight="1">
      <c r="A106" s="227" t="s">
        <v>195</v>
      </c>
      <c r="B106" s="196">
        <f>B107+B108</f>
        <v>80771.23000000001</v>
      </c>
      <c r="C106" s="196">
        <f>C107+C108</f>
        <v>30490</v>
      </c>
      <c r="D106" s="207">
        <f t="shared" si="4"/>
        <v>37.748589442057515</v>
      </c>
      <c r="E106" s="208">
        <f t="shared" si="5"/>
        <v>-50281.23000000001</v>
      </c>
    </row>
    <row r="107" spans="1:5" ht="45" customHeight="1">
      <c r="A107" s="225" t="s">
        <v>196</v>
      </c>
      <c r="B107" s="196">
        <f>Лист2!B70+Лист6!B69+Лист8!B67</f>
        <v>80771.23000000001</v>
      </c>
      <c r="C107" s="196">
        <f>Лист2!C70+Лист6!C69+Лист8!C67</f>
        <v>30490</v>
      </c>
      <c r="D107" s="207">
        <f t="shared" si="4"/>
        <v>37.748589442057515</v>
      </c>
      <c r="E107" s="208">
        <f>C107-B107</f>
        <v>-50281.23000000001</v>
      </c>
    </row>
    <row r="108" spans="1:5" ht="46.5" customHeight="1">
      <c r="A108" s="225" t="s">
        <v>248</v>
      </c>
      <c r="B108" s="196">
        <f>Лист1!B89</f>
        <v>0</v>
      </c>
      <c r="C108" s="196">
        <f>Лист1!C89</f>
        <v>0</v>
      </c>
      <c r="D108" s="207" t="str">
        <f>IF(B108=0,"   ",C108/B108*100)</f>
        <v>   </v>
      </c>
      <c r="E108" s="208">
        <f>C108-B108</f>
        <v>0</v>
      </c>
    </row>
    <row r="109" spans="1:5" ht="15.75" customHeight="1">
      <c r="A109" s="209" t="s">
        <v>13</v>
      </c>
      <c r="B109" s="210">
        <f>SUM(B110,B113,B123,)</f>
        <v>27633543.22</v>
      </c>
      <c r="C109" s="210">
        <f>SUM(C110,C113,C123,)</f>
        <v>24137884.689999998</v>
      </c>
      <c r="D109" s="207">
        <f t="shared" si="4"/>
        <v>87.34994458665732</v>
      </c>
      <c r="E109" s="208">
        <f t="shared" si="5"/>
        <v>-3495658.530000001</v>
      </c>
    </row>
    <row r="110" spans="1:5" ht="14.25" customHeight="1">
      <c r="A110" s="209" t="s">
        <v>14</v>
      </c>
      <c r="B110" s="210">
        <f>SUM(B111:B112)</f>
        <v>616377</v>
      </c>
      <c r="C110" s="210">
        <f>SUM(C111:C112)</f>
        <v>399376.33</v>
      </c>
      <c r="D110" s="207">
        <f t="shared" si="4"/>
        <v>64.79416493477207</v>
      </c>
      <c r="E110" s="208">
        <f t="shared" si="5"/>
        <v>-217000.66999999998</v>
      </c>
    </row>
    <row r="111" spans="1:5" ht="14.25" customHeight="1">
      <c r="A111" s="209" t="s">
        <v>93</v>
      </c>
      <c r="B111" s="210">
        <f>Лист7!B93+Лист9!B74+Лист1!B94</f>
        <v>399377</v>
      </c>
      <c r="C111" s="210">
        <f>Лист7!C93+Лист9!C74+Лист1!C94</f>
        <v>399376.33</v>
      </c>
      <c r="D111" s="207">
        <f t="shared" si="4"/>
        <v>99.99983223871179</v>
      </c>
      <c r="E111" s="208">
        <f t="shared" si="5"/>
        <v>-0.6699999999837019</v>
      </c>
    </row>
    <row r="112" spans="1:5" ht="21.75" customHeight="1">
      <c r="A112" s="209" t="s">
        <v>201</v>
      </c>
      <c r="B112" s="210">
        <f>Лист7!B94</f>
        <v>217000</v>
      </c>
      <c r="C112" s="210">
        <f>Лист7!C94</f>
        <v>0</v>
      </c>
      <c r="D112" s="207">
        <f t="shared" si="4"/>
        <v>0</v>
      </c>
      <c r="E112" s="208">
        <f>C112-B112</f>
        <v>-217000</v>
      </c>
    </row>
    <row r="113" spans="1:5" ht="14.25" customHeight="1">
      <c r="A113" s="209" t="s">
        <v>70</v>
      </c>
      <c r="B113" s="210">
        <f>SUM(B114:B116,B120:B122)</f>
        <v>6695586.039999999</v>
      </c>
      <c r="C113" s="210">
        <f>SUM(C114:C116,C120:C122)</f>
        <v>6320942.089999999</v>
      </c>
      <c r="D113" s="207">
        <f aca="true" t="shared" si="6" ref="D113:D156">IF(B113=0,"   ",C113/B113*100)</f>
        <v>94.40461301278417</v>
      </c>
      <c r="E113" s="208">
        <f t="shared" si="5"/>
        <v>-374643.9500000002</v>
      </c>
    </row>
    <row r="114" spans="1:5" ht="13.5">
      <c r="A114" s="209" t="s">
        <v>71</v>
      </c>
      <c r="B114" s="210">
        <f>Лист7!B103</f>
        <v>200000</v>
      </c>
      <c r="C114" s="210">
        <f>Лист7!C103</f>
        <v>128416.35</v>
      </c>
      <c r="D114" s="207">
        <f t="shared" si="6"/>
        <v>64.208175</v>
      </c>
      <c r="E114" s="208">
        <f t="shared" si="5"/>
        <v>-71583.65</v>
      </c>
    </row>
    <row r="115" spans="1:5" ht="26.25">
      <c r="A115" s="288" t="s">
        <v>297</v>
      </c>
      <c r="B115" s="210">
        <f>Лист7!B102</f>
        <v>185500</v>
      </c>
      <c r="C115" s="210">
        <f>Лист7!C102</f>
        <v>185500</v>
      </c>
      <c r="D115" s="207">
        <f>IF(B115=0,"   ",C115/B115*100)</f>
        <v>100</v>
      </c>
      <c r="E115" s="208">
        <f>C115-B115</f>
        <v>0</v>
      </c>
    </row>
    <row r="116" spans="1:5" ht="27">
      <c r="A116" s="223" t="s">
        <v>231</v>
      </c>
      <c r="B116" s="210">
        <f>SUM(B117:B119)</f>
        <v>5959686.039999999</v>
      </c>
      <c r="C116" s="210">
        <f>SUM(C117:C119)</f>
        <v>5847723.399999999</v>
      </c>
      <c r="D116" s="207">
        <f t="shared" si="6"/>
        <v>98.12133325063547</v>
      </c>
      <c r="E116" s="208">
        <f t="shared" si="5"/>
        <v>-111962.63999999966</v>
      </c>
    </row>
    <row r="117" spans="1:5" ht="44.25" customHeight="1">
      <c r="A117" s="223" t="s">
        <v>241</v>
      </c>
      <c r="B117" s="210">
        <f>Лист2!B75+Лист5!B69+Лист6!B73+Лист7!B99+Лист1!B98+Лист9!B77</f>
        <v>3620559.51</v>
      </c>
      <c r="C117" s="210">
        <f>Лист2!C75+Лист5!C69+Лист6!C73+Лист7!C99+Лист1!C98+Лист9!C77</f>
        <v>3508596.8699999996</v>
      </c>
      <c r="D117" s="207">
        <f>IF(B117=0,"   ",C117/B117*100)</f>
        <v>96.90758735795507</v>
      </c>
      <c r="E117" s="208">
        <f>C117-B117</f>
        <v>-111962.64000000013</v>
      </c>
    </row>
    <row r="118" spans="1:5" ht="44.25" customHeight="1">
      <c r="A118" s="223" t="s">
        <v>242</v>
      </c>
      <c r="B118" s="210">
        <f>Лист2!B76+Лист5!B70+Лист6!B74+Лист7!B100+Лист1!B99+Лист9!B78</f>
        <v>1588292.94</v>
      </c>
      <c r="C118" s="210">
        <f>Лист2!C76+Лист5!C70+Лист6!C74+Лист7!C100+Лист1!C99+Лист9!C78</f>
        <v>1588292.94</v>
      </c>
      <c r="D118" s="207">
        <f>IF(B118=0,"   ",C118/B118*100)</f>
        <v>100</v>
      </c>
      <c r="E118" s="208">
        <f>C118-B118</f>
        <v>0</v>
      </c>
    </row>
    <row r="119" spans="1:5" ht="44.25" customHeight="1">
      <c r="A119" s="223" t="s">
        <v>243</v>
      </c>
      <c r="B119" s="210">
        <f>Лист2!B77+Лист5!B71+Лист6!B75+Лист7!B101+Лист1!B100+Лист9!B79</f>
        <v>750833.59</v>
      </c>
      <c r="C119" s="210">
        <f>Лист2!C77+Лист5!C71+Лист6!C75+Лист7!C101+Лист1!C100+Лист9!C79</f>
        <v>750833.59</v>
      </c>
      <c r="D119" s="207">
        <f>IF(B119=0,"   ",C119/B119*100)</f>
        <v>100</v>
      </c>
      <c r="E119" s="208">
        <f>C119-B119</f>
        <v>0</v>
      </c>
    </row>
    <row r="120" spans="1:5" ht="41.25">
      <c r="A120" s="209" t="s">
        <v>218</v>
      </c>
      <c r="B120" s="210">
        <f>Лист8!B72+Лист7!B96+Лист10!B67</f>
        <v>160000</v>
      </c>
      <c r="C120" s="210">
        <f>Лист8!C72+Лист7!C96+Лист10!C67</f>
        <v>60000</v>
      </c>
      <c r="D120" s="207">
        <f>IF(B120=0,"   ",C120/B120*100)</f>
        <v>37.5</v>
      </c>
      <c r="E120" s="208">
        <f>C120-B120</f>
        <v>-100000</v>
      </c>
    </row>
    <row r="121" spans="1:5" ht="27">
      <c r="A121" s="206" t="s">
        <v>258</v>
      </c>
      <c r="B121" s="210">
        <f>Лист4!B67</f>
        <v>0</v>
      </c>
      <c r="C121" s="210">
        <f>Лист4!C67</f>
        <v>0</v>
      </c>
      <c r="D121" s="207" t="str">
        <f>IF(B121=0,"   ",C121/B121*100)</f>
        <v>   </v>
      </c>
      <c r="E121" s="208">
        <f>C121-B121</f>
        <v>0</v>
      </c>
    </row>
    <row r="122" spans="1:5" ht="17.25" customHeight="1">
      <c r="A122" s="206" t="s">
        <v>169</v>
      </c>
      <c r="B122" s="210">
        <f>Лист7!B97</f>
        <v>190400</v>
      </c>
      <c r="C122" s="210">
        <f>Лист7!C97</f>
        <v>99302.34</v>
      </c>
      <c r="D122" s="207">
        <f t="shared" si="6"/>
        <v>52.154590336134454</v>
      </c>
      <c r="E122" s="208">
        <f t="shared" si="5"/>
        <v>-91097.66</v>
      </c>
    </row>
    <row r="123" spans="1:5" ht="13.5">
      <c r="A123" s="209" t="s">
        <v>72</v>
      </c>
      <c r="B123" s="210">
        <f>B124+B127+B128+B129+B134+B126+B135+B139+B130+B125</f>
        <v>20321580.18</v>
      </c>
      <c r="C123" s="210">
        <f>C124+C127+C128+C129+C134+C126+C135+C139+C130+C125</f>
        <v>17417566.27</v>
      </c>
      <c r="D123" s="207">
        <f t="shared" si="6"/>
        <v>85.70970424407223</v>
      </c>
      <c r="E123" s="208">
        <f t="shared" si="5"/>
        <v>-2904013.91</v>
      </c>
    </row>
    <row r="124" spans="1:5" ht="13.5">
      <c r="A124" s="209" t="s">
        <v>60</v>
      </c>
      <c r="B124" s="210">
        <f>Лист1!B103+Лист2!B80+Лист3!B73+Лист4!B69+Лист5!B73+Лист6!B77+Лист7!B105+Лист8!B74+Лист9!B81+Лист10!B69</f>
        <v>6115552.72</v>
      </c>
      <c r="C124" s="210">
        <f>Лист1!C103+Лист2!C80+Лист3!C73+Лист4!C69+Лист5!C73+Лист6!C77+Лист7!C105+Лист8!C74+Лист9!C81+Лист10!C69</f>
        <v>4677206.970000001</v>
      </c>
      <c r="D124" s="207">
        <f t="shared" si="6"/>
        <v>76.48052733980848</v>
      </c>
      <c r="E124" s="208">
        <f t="shared" si="5"/>
        <v>-1438345.749999999</v>
      </c>
    </row>
    <row r="125" spans="1:5" ht="27" customHeight="1">
      <c r="A125" s="209" t="s">
        <v>250</v>
      </c>
      <c r="B125" s="210">
        <f>Лист7!B106</f>
        <v>5000</v>
      </c>
      <c r="C125" s="210">
        <f>Лист7!C106</f>
        <v>5000</v>
      </c>
      <c r="D125" s="207">
        <f>IF(B125=0,"   ",C125/B125*100)</f>
        <v>100</v>
      </c>
      <c r="E125" s="208">
        <f>C125-B125</f>
        <v>0</v>
      </c>
    </row>
    <row r="126" spans="1:5" ht="41.25">
      <c r="A126" s="209" t="s">
        <v>170</v>
      </c>
      <c r="B126" s="210">
        <f>Лист1!B104+Лист2!B81+Лист3!B75+Лист4!B75+Лист5!B75+Лист6!B83+Лист8!B75+Лист10!B70+Лист9!B82</f>
        <v>350000</v>
      </c>
      <c r="C126" s="210">
        <f>Лист1!C104+Лист2!C81+Лист3!C75+Лист4!C75+Лист5!C75+Лист6!C83+Лист8!C75+Лист10!C70+Лист9!C82</f>
        <v>149185.72</v>
      </c>
      <c r="D126" s="207">
        <f t="shared" si="6"/>
        <v>42.62449142857143</v>
      </c>
      <c r="E126" s="208">
        <f t="shared" si="5"/>
        <v>-200814.28</v>
      </c>
    </row>
    <row r="127" spans="1:5" ht="13.5">
      <c r="A127" s="209" t="s">
        <v>73</v>
      </c>
      <c r="B127" s="210">
        <f>Лист7!B107</f>
        <v>250000</v>
      </c>
      <c r="C127" s="210">
        <f>Лист7!C107</f>
        <v>250000</v>
      </c>
      <c r="D127" s="207">
        <f t="shared" si="6"/>
        <v>100</v>
      </c>
      <c r="E127" s="208">
        <f t="shared" si="5"/>
        <v>0</v>
      </c>
    </row>
    <row r="128" spans="1:5" ht="13.5">
      <c r="A128" s="209" t="s">
        <v>74</v>
      </c>
      <c r="B128" s="210">
        <f>Лист7!B108</f>
        <v>516756.24</v>
      </c>
      <c r="C128" s="210">
        <f>Лист7!C108</f>
        <v>516664.24</v>
      </c>
      <c r="D128" s="207">
        <f t="shared" si="6"/>
        <v>99.98219663491629</v>
      </c>
      <c r="E128" s="208">
        <f t="shared" si="5"/>
        <v>-92</v>
      </c>
    </row>
    <row r="129" spans="1:5" ht="13.5">
      <c r="A129" s="209" t="s">
        <v>75</v>
      </c>
      <c r="B129" s="210">
        <f>Лист1!B105+Лист3!B74+Лист4!B70+Лист5!B74+Лист7!B109+Лист8!B76+Лист9!B83+Лист10!B71+Лист6!B78+Лист2!B86</f>
        <v>2802993.9299999997</v>
      </c>
      <c r="C129" s="210">
        <f>Лист1!C105+Лист3!C74+Лист4!C70+Лист5!C74+Лист7!C109+Лист8!C76+Лист9!C83+Лист10!C71+Лист6!C78+Лист2!C86</f>
        <v>2358915.59</v>
      </c>
      <c r="D129" s="207">
        <f t="shared" si="6"/>
        <v>84.1569995836559</v>
      </c>
      <c r="E129" s="208">
        <f t="shared" si="5"/>
        <v>-444078.33999999985</v>
      </c>
    </row>
    <row r="130" spans="1:5" ht="27">
      <c r="A130" s="223" t="s">
        <v>231</v>
      </c>
      <c r="B130" s="210">
        <f>SUM(B131:B133)</f>
        <v>3406682.6499999994</v>
      </c>
      <c r="C130" s="210">
        <f>SUM(C131:C133)</f>
        <v>3406682.6499999994</v>
      </c>
      <c r="D130" s="207">
        <f>IF(B130=0,"   ",C130/B130*100)</f>
        <v>100</v>
      </c>
      <c r="E130" s="208">
        <f>C130-B130</f>
        <v>0</v>
      </c>
    </row>
    <row r="131" spans="1:5" ht="41.25">
      <c r="A131" s="223" t="s">
        <v>234</v>
      </c>
      <c r="B131" s="210">
        <f>Лист2!B83+Лист5!B77+Лист6!B80+Лист8!B78+Лист1!B107+Лист9!B85+Лист3!B77+Лист4!B72+Лист10!B73</f>
        <v>2043840.49</v>
      </c>
      <c r="C131" s="210">
        <f>Лист2!C83+Лист5!C77+Лист6!C80+Лист8!C78+Лист1!C107+Лист9!C85+Лист3!C77+Лист4!C72+Лист10!C73</f>
        <v>2043840.49</v>
      </c>
      <c r="D131" s="207">
        <f t="shared" si="6"/>
        <v>100</v>
      </c>
      <c r="E131" s="208">
        <f t="shared" si="5"/>
        <v>0</v>
      </c>
    </row>
    <row r="132" spans="1:5" ht="41.25">
      <c r="A132" s="223" t="s">
        <v>246</v>
      </c>
      <c r="B132" s="210">
        <f>Лист2!B84+Лист5!B78+Лист6!B81+Лист8!B79+Лист1!B108+Лист9!B86+Лист3!B78+Лист4!B73+Лист10!B74</f>
        <v>839058.23</v>
      </c>
      <c r="C132" s="210">
        <f>Лист2!C84+Лист5!C78+Лист6!C81+Лист8!C79+Лист1!C108+Лист9!C86+Лист3!C78+Лист4!C73+Лист10!C74</f>
        <v>839058.23</v>
      </c>
      <c r="D132" s="207">
        <f t="shared" si="6"/>
        <v>100</v>
      </c>
      <c r="E132" s="208">
        <f t="shared" si="5"/>
        <v>0</v>
      </c>
    </row>
    <row r="133" spans="1:5" ht="41.25">
      <c r="A133" s="223" t="s">
        <v>247</v>
      </c>
      <c r="B133" s="210">
        <f>Лист2!B85+Лист5!B79+Лист6!B82+Лист8!B80+Лист1!B109+Лист9!B87+Лист3!B79+Лист4!B74+Лист10!B75</f>
        <v>523783.92999999993</v>
      </c>
      <c r="C133" s="210">
        <f>Лист2!C85+Лист5!C79+Лист6!C82+Лист8!C80+Лист1!C109+Лист9!C87+Лист3!C79+Лист4!C74+Лист10!C75</f>
        <v>523783.92999999993</v>
      </c>
      <c r="D133" s="207">
        <f t="shared" si="6"/>
        <v>100</v>
      </c>
      <c r="E133" s="208">
        <f t="shared" si="5"/>
        <v>0</v>
      </c>
    </row>
    <row r="134" spans="1:5" ht="30.75" customHeight="1">
      <c r="A134" s="209" t="s">
        <v>131</v>
      </c>
      <c r="B134" s="196">
        <f>Лист7!B110</f>
        <v>0</v>
      </c>
      <c r="C134" s="196">
        <f>Лист7!C110</f>
        <v>0</v>
      </c>
      <c r="D134" s="207" t="str">
        <f t="shared" si="6"/>
        <v>   </v>
      </c>
      <c r="E134" s="208">
        <f t="shared" si="5"/>
        <v>0</v>
      </c>
    </row>
    <row r="135" spans="1:5" ht="33.75" customHeight="1">
      <c r="A135" s="223" t="s">
        <v>200</v>
      </c>
      <c r="B135" s="199">
        <f>B136+B138+B137</f>
        <v>6805686.46</v>
      </c>
      <c r="C135" s="199">
        <f>C136+C138+C137</f>
        <v>6053911.100000001</v>
      </c>
      <c r="D135" s="197">
        <f>IF(B135=0,"   ",C135/B135)</f>
        <v>0.8895371738885545</v>
      </c>
      <c r="E135" s="198">
        <f t="shared" si="5"/>
        <v>-751775.3599999994</v>
      </c>
    </row>
    <row r="136" spans="1:5" ht="13.5">
      <c r="A136" s="223" t="s">
        <v>198</v>
      </c>
      <c r="B136" s="199">
        <f>Лист7!B112</f>
        <v>6749002.7</v>
      </c>
      <c r="C136" s="199">
        <f>Лист7!C112</f>
        <v>6003488.79</v>
      </c>
      <c r="D136" s="197">
        <f>IF(B136=0,"   ",C136/B136)</f>
        <v>0.8895371741368543</v>
      </c>
      <c r="E136" s="198">
        <f t="shared" si="5"/>
        <v>-745513.9100000001</v>
      </c>
    </row>
    <row r="137" spans="1:5" ht="13.5">
      <c r="A137" s="223" t="s">
        <v>199</v>
      </c>
      <c r="B137" s="199">
        <f>Лист7!B113</f>
        <v>47836.37</v>
      </c>
      <c r="C137" s="199">
        <f>Лист7!C113</f>
        <v>42552.23</v>
      </c>
      <c r="D137" s="197">
        <f>IF(B137=0,"   ",C137/B137)</f>
        <v>0.8895371868726661</v>
      </c>
      <c r="E137" s="198">
        <f t="shared" si="5"/>
        <v>-5284.139999999999</v>
      </c>
    </row>
    <row r="138" spans="1:5" ht="13.5">
      <c r="A138" s="223" t="s">
        <v>216</v>
      </c>
      <c r="B138" s="199">
        <f>Лист7!B114</f>
        <v>8847.39</v>
      </c>
      <c r="C138" s="199">
        <f>Лист7!C114</f>
        <v>7870.08</v>
      </c>
      <c r="D138" s="197">
        <f>IF(B138=0,"   ",C138/B138)</f>
        <v>0.8895369142764138</v>
      </c>
      <c r="E138" s="198">
        <f t="shared" si="5"/>
        <v>-977.3099999999995</v>
      </c>
    </row>
    <row r="139" spans="1:5" ht="26.25">
      <c r="A139" s="112" t="s">
        <v>320</v>
      </c>
      <c r="B139" s="199">
        <f>Лист7!B115</f>
        <v>68908.18</v>
      </c>
      <c r="C139" s="199">
        <f>Лист7!C115</f>
        <v>0</v>
      </c>
      <c r="D139" s="197">
        <f>IF(B139=0,"   ",C139/B139)</f>
        <v>0</v>
      </c>
      <c r="E139" s="198">
        <f t="shared" si="5"/>
        <v>-68908.18</v>
      </c>
    </row>
    <row r="140" spans="1:5" ht="13.5">
      <c r="A140" s="209" t="s">
        <v>17</v>
      </c>
      <c r="B140" s="210">
        <f>Лист1!B110+Лист2!B88+Лист3!B81+Лист4!B76+Лист5!B81+Лист6!B84+Лист7!B116+Лист8!B82+Лист9!B89+Лист10!B76</f>
        <v>85000</v>
      </c>
      <c r="C140" s="210">
        <f>Лист1!C110+Лист2!C88+Лист3!C81+Лист4!C76+Лист5!C81+Лист6!C84+Лист7!C116+Лист8!C82+Лист9!C89+Лист10!C76</f>
        <v>80000</v>
      </c>
      <c r="D140" s="207">
        <f t="shared" si="6"/>
        <v>94.11764705882352</v>
      </c>
      <c r="E140" s="208">
        <f t="shared" si="5"/>
        <v>-5000</v>
      </c>
    </row>
    <row r="141" spans="1:5" ht="27">
      <c r="A141" s="209" t="s">
        <v>41</v>
      </c>
      <c r="B141" s="199">
        <f>SUM(B142,)</f>
        <v>32101275.52</v>
      </c>
      <c r="C141" s="199">
        <f>C142</f>
        <v>22599092.22</v>
      </c>
      <c r="D141" s="207">
        <f t="shared" si="6"/>
        <v>70.39935907194756</v>
      </c>
      <c r="E141" s="208">
        <f t="shared" si="5"/>
        <v>-9502183.3</v>
      </c>
    </row>
    <row r="142" spans="1:5" ht="13.5">
      <c r="A142" s="209" t="s">
        <v>42</v>
      </c>
      <c r="B142" s="210">
        <f>Лист1!B112+Лист2!B90+Лист3!B83+Лист4!B78+Лист5!B83+Лист6!B86+Лист7!B118+Лист8!B84+Лист9!B91+Лист10!B78</f>
        <v>32101275.52</v>
      </c>
      <c r="C142" s="210">
        <f>Лист1!C112+Лист2!C90+Лист3!C83+Лист4!C78+Лист5!C83+Лист6!C86+Лист7!C118+Лист8!C84+Лист9!C91+Лист10!C78</f>
        <v>22599092.22</v>
      </c>
      <c r="D142" s="207">
        <f t="shared" si="6"/>
        <v>70.39935907194756</v>
      </c>
      <c r="E142" s="208">
        <f t="shared" si="5"/>
        <v>-9502183.3</v>
      </c>
    </row>
    <row r="143" spans="1:5" ht="32.25" customHeight="1">
      <c r="A143" s="209" t="s">
        <v>149</v>
      </c>
      <c r="B143" s="210">
        <f>Лист1!B112+Лист2!B91+Лист3!B84+Лист4!B78+Лист5!B83+Лист6!B87+Лист7!B119+Лист8!B84+Лист9!B91+Лист10!B78</f>
        <v>10625000</v>
      </c>
      <c r="C143" s="210">
        <f>Лист1!C112+Лист2!C91+Лист3!C84+Лист4!C78+Лист5!C83+Лист6!C86+Лист7!C119+Лист8!C84+Лист9!C91+Лист10!C78</f>
        <v>10533889.6</v>
      </c>
      <c r="D143" s="207">
        <f t="shared" si="6"/>
        <v>99.14249035294117</v>
      </c>
      <c r="E143" s="208">
        <f t="shared" si="5"/>
        <v>-91110.40000000037</v>
      </c>
    </row>
    <row r="144" spans="1:5" ht="16.5" customHeight="1">
      <c r="A144" s="209" t="s">
        <v>257</v>
      </c>
      <c r="B144" s="210">
        <f>Лист3!B85</f>
        <v>0</v>
      </c>
      <c r="C144" s="210">
        <f>Лист3!C85</f>
        <v>0</v>
      </c>
      <c r="D144" s="207" t="str">
        <f>IF(B144=0,"   ",C144/B144*100)</f>
        <v>   </v>
      </c>
      <c r="E144" s="208">
        <f>C144-B144</f>
        <v>0</v>
      </c>
    </row>
    <row r="145" spans="1:5" ht="25.5" customHeight="1">
      <c r="A145" s="209" t="s">
        <v>228</v>
      </c>
      <c r="B145" s="210">
        <f>Лист3!B86+Лист6!B88</f>
        <v>776620.2</v>
      </c>
      <c r="C145" s="210">
        <f>Лист3!C86</f>
        <v>297000</v>
      </c>
      <c r="D145" s="207">
        <f t="shared" si="6"/>
        <v>38.242631340261305</v>
      </c>
      <c r="E145" s="208">
        <f t="shared" si="5"/>
        <v>-479620.19999999995</v>
      </c>
    </row>
    <row r="146" spans="1:5" ht="21.75" customHeight="1">
      <c r="A146" s="209" t="s">
        <v>215</v>
      </c>
      <c r="B146" s="210">
        <f>Лист7!B120</f>
        <v>1238800</v>
      </c>
      <c r="C146" s="210">
        <f>Лист7!C120</f>
        <v>165483</v>
      </c>
      <c r="D146" s="207">
        <f t="shared" si="6"/>
        <v>13.358330642557315</v>
      </c>
      <c r="E146" s="208">
        <f t="shared" si="5"/>
        <v>-1073317</v>
      </c>
    </row>
    <row r="147" spans="1:5" ht="25.5" customHeight="1">
      <c r="A147" s="209" t="s">
        <v>150</v>
      </c>
      <c r="B147" s="210">
        <f>Лист7!B121</f>
        <v>1234000</v>
      </c>
      <c r="C147" s="210">
        <f>Лист7!C121</f>
        <v>1226768.5</v>
      </c>
      <c r="D147" s="207">
        <f t="shared" si="6"/>
        <v>99.41397893030795</v>
      </c>
      <c r="E147" s="208">
        <f t="shared" si="5"/>
        <v>-7231.5</v>
      </c>
    </row>
    <row r="148" spans="1:5" ht="25.5" customHeight="1">
      <c r="A148" s="209" t="s">
        <v>285</v>
      </c>
      <c r="B148" s="210">
        <f>Лист7!B122</f>
        <v>939000</v>
      </c>
      <c r="C148" s="210">
        <f>Лист7!C122</f>
        <v>0</v>
      </c>
      <c r="D148" s="207">
        <f>IF(B148=0,"   ",C148/B148*100)</f>
        <v>0</v>
      </c>
      <c r="E148" s="208">
        <f>C148-B148</f>
        <v>-939000</v>
      </c>
    </row>
    <row r="149" spans="1:5" ht="33.75" customHeight="1">
      <c r="A149" s="16" t="s">
        <v>279</v>
      </c>
      <c r="B149" s="210">
        <f>Лист2!B92</f>
        <v>14299855.32</v>
      </c>
      <c r="C149" s="210">
        <f>Лист2!C92</f>
        <v>9701033.16</v>
      </c>
      <c r="D149" s="207">
        <f t="shared" si="6"/>
        <v>67.84007909808699</v>
      </c>
      <c r="E149" s="208">
        <f t="shared" si="5"/>
        <v>-4598822.16</v>
      </c>
    </row>
    <row r="150" spans="1:5" ht="20.25" customHeight="1">
      <c r="A150" s="16" t="s">
        <v>277</v>
      </c>
      <c r="B150" s="210">
        <f>Лист2!B93</f>
        <v>735500</v>
      </c>
      <c r="C150" s="210">
        <f>Лист2!C93</f>
        <v>674917.96</v>
      </c>
      <c r="D150" s="207">
        <f>IF(B150=0,"   ",C150/B150*100)</f>
        <v>91.76314887831407</v>
      </c>
      <c r="E150" s="208">
        <f>C150-B150</f>
        <v>-60582.04000000004</v>
      </c>
    </row>
    <row r="151" spans="1:5" ht="30.75" customHeight="1">
      <c r="A151" s="16" t="s">
        <v>278</v>
      </c>
      <c r="B151" s="210">
        <f>Лист2!B94</f>
        <v>2252500</v>
      </c>
      <c r="C151" s="210">
        <f>Лист2!C94</f>
        <v>0</v>
      </c>
      <c r="D151" s="207">
        <f>IF(B151=0,"   ",C151/B151*100)</f>
        <v>0</v>
      </c>
      <c r="E151" s="208">
        <f aca="true" t="shared" si="7" ref="E151:E156">C151-B151</f>
        <v>-2252500</v>
      </c>
    </row>
    <row r="152" spans="1:5" ht="21.75" customHeight="1">
      <c r="A152" s="209" t="s">
        <v>267</v>
      </c>
      <c r="B152" s="210">
        <f>SUM(B153,)</f>
        <v>0</v>
      </c>
      <c r="C152" s="210">
        <f>SUM(C153,)</f>
        <v>0</v>
      </c>
      <c r="D152" s="207" t="str">
        <f>IF(B152=0,"   ",C152/B152*100)</f>
        <v>   </v>
      </c>
      <c r="E152" s="208">
        <f>C152-B152</f>
        <v>0</v>
      </c>
    </row>
    <row r="153" spans="1:5" ht="30.75" customHeight="1">
      <c r="A153" s="209" t="s">
        <v>268</v>
      </c>
      <c r="B153" s="210">
        <f>Лист10!B80</f>
        <v>0</v>
      </c>
      <c r="C153" s="210">
        <f>Лист10!C80</f>
        <v>0</v>
      </c>
      <c r="D153" s="207" t="str">
        <f>IF(B153=0,"   ",C153/B153*100)</f>
        <v>   </v>
      </c>
      <c r="E153" s="208">
        <f>C153-B153</f>
        <v>0</v>
      </c>
    </row>
    <row r="154" spans="1:5" ht="20.25" customHeight="1">
      <c r="A154" s="209" t="s">
        <v>125</v>
      </c>
      <c r="B154" s="210">
        <f>SUM(B155,)</f>
        <v>115000</v>
      </c>
      <c r="C154" s="210">
        <f>SUM(C155,)</f>
        <v>72936</v>
      </c>
      <c r="D154" s="207">
        <f t="shared" si="6"/>
        <v>63.42260869565217</v>
      </c>
      <c r="E154" s="208">
        <f t="shared" si="7"/>
        <v>-42064</v>
      </c>
    </row>
    <row r="155" spans="1:5" ht="21.75" customHeight="1">
      <c r="A155" s="209" t="s">
        <v>126</v>
      </c>
      <c r="B155" s="210">
        <f>Лист1!B114+Лист2!B96+Лист3!B88+Лист4!B80+Лист5!B85+Лист6!B90+Лист7!B125+Лист8!B86+Лист9!B93+Лист10!B82</f>
        <v>115000</v>
      </c>
      <c r="C155" s="210">
        <f>Лист1!C114+Лист2!C96+Лист3!C88+Лист4!C80+Лист5!C85+Лист6!C90+Лист7!C125+Лист8!C86+Лист9!C93+Лист10!C82</f>
        <v>72936</v>
      </c>
      <c r="D155" s="207">
        <f t="shared" si="6"/>
        <v>63.42260869565217</v>
      </c>
      <c r="E155" s="208">
        <f t="shared" si="7"/>
        <v>-42064</v>
      </c>
    </row>
    <row r="156" spans="1:6" ht="25.5" customHeight="1">
      <c r="A156" s="211" t="s">
        <v>15</v>
      </c>
      <c r="B156" s="212">
        <f>B66+B76+B78+B83+B109+B140+B141+B152+B154</f>
        <v>110680754.17999999</v>
      </c>
      <c r="C156" s="212">
        <f>C66+C76+C78+C83+C109+C140+C141+C152+C154</f>
        <v>80577782.78</v>
      </c>
      <c r="D156" s="213">
        <f t="shared" si="6"/>
        <v>72.80198204012636</v>
      </c>
      <c r="E156" s="214">
        <f t="shared" si="7"/>
        <v>-30102971.39999999</v>
      </c>
      <c r="F156" s="203"/>
    </row>
    <row r="157" spans="1:5" s="66" customFormat="1" ht="23.25" customHeight="1">
      <c r="A157" s="205"/>
      <c r="B157" s="205"/>
      <c r="C157" s="296"/>
      <c r="D157" s="296"/>
      <c r="E157" s="296"/>
    </row>
    <row r="158" spans="1:5" s="66" customFormat="1" ht="12" customHeight="1">
      <c r="A158" s="87"/>
      <c r="B158" s="87"/>
      <c r="C158" s="295"/>
      <c r="D158" s="295"/>
      <c r="E158" s="295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  <row r="161" spans="1:5" ht="12.75">
      <c r="A161" s="7"/>
      <c r="B161" s="7"/>
      <c r="C161" s="51"/>
      <c r="D161" s="7"/>
      <c r="E161" s="52"/>
    </row>
    <row r="162" spans="1:5" ht="12.75">
      <c r="A162" s="7"/>
      <c r="B162" s="7"/>
      <c r="C162" s="51"/>
      <c r="D162" s="7"/>
      <c r="E162" s="52"/>
    </row>
  </sheetData>
  <sheetProtection/>
  <mergeCells count="3">
    <mergeCell ref="A1:E1"/>
    <mergeCell ref="C157:E157"/>
    <mergeCell ref="C158:E158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78">
      <selection activeCell="B32" sqref="B32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294" t="s">
        <v>305</v>
      </c>
      <c r="B1" s="294"/>
      <c r="C1" s="294"/>
      <c r="D1" s="294"/>
      <c r="E1" s="294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270</v>
      </c>
      <c r="C3" s="32" t="s">
        <v>304</v>
      </c>
      <c r="D3" s="19" t="s">
        <v>274</v>
      </c>
      <c r="E3" s="36" t="s">
        <v>272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0">
        <f>SUM(B7)</f>
        <v>21900</v>
      </c>
      <c r="C6" s="251">
        <f>SUM(C7)</f>
        <v>65429.68</v>
      </c>
      <c r="D6" s="26">
        <f aca="true" t="shared" si="0" ref="D6:D96">IF(B6=0,"   ",C6/B6*100)</f>
        <v>298.7656621004566</v>
      </c>
      <c r="E6" s="42">
        <f aca="true" t="shared" si="1" ref="E6:E96">C6-B6</f>
        <v>43529.68</v>
      </c>
    </row>
    <row r="7" spans="1:5" ht="16.5" customHeight="1">
      <c r="A7" s="16" t="s">
        <v>44</v>
      </c>
      <c r="B7" s="252">
        <v>21900</v>
      </c>
      <c r="C7" s="272">
        <v>65429.68</v>
      </c>
      <c r="D7" s="26">
        <f t="shared" si="0"/>
        <v>298.7656621004566</v>
      </c>
      <c r="E7" s="42">
        <f t="shared" si="1"/>
        <v>43529.68</v>
      </c>
    </row>
    <row r="8" spans="1:5" ht="12.75" customHeight="1">
      <c r="A8" s="71" t="s">
        <v>142</v>
      </c>
      <c r="B8" s="250">
        <f>SUM(B9)</f>
        <v>620800</v>
      </c>
      <c r="C8" s="253">
        <f>SUM(C9)</f>
        <v>670803.08</v>
      </c>
      <c r="D8" s="26">
        <f t="shared" si="0"/>
        <v>108.05461984536082</v>
      </c>
      <c r="E8" s="42">
        <f t="shared" si="1"/>
        <v>50003.07999999996</v>
      </c>
    </row>
    <row r="9" spans="1:5" ht="18.75" customHeight="1">
      <c r="A9" s="41" t="s">
        <v>143</v>
      </c>
      <c r="B9" s="252">
        <v>620800</v>
      </c>
      <c r="C9" s="272">
        <v>670803.08</v>
      </c>
      <c r="D9" s="26">
        <f t="shared" si="0"/>
        <v>108.05461984536082</v>
      </c>
      <c r="E9" s="42">
        <f t="shared" si="1"/>
        <v>50003.07999999996</v>
      </c>
    </row>
    <row r="10" spans="1:5" ht="16.5" customHeight="1">
      <c r="A10" s="16" t="s">
        <v>7</v>
      </c>
      <c r="B10" s="252">
        <f>SUM(B11:B11)</f>
        <v>21800</v>
      </c>
      <c r="C10" s="254">
        <f>SUM(C11:C11)</f>
        <v>23621.4</v>
      </c>
      <c r="D10" s="26">
        <f t="shared" si="0"/>
        <v>108.35504587155964</v>
      </c>
      <c r="E10" s="42">
        <f t="shared" si="1"/>
        <v>1821.4000000000015</v>
      </c>
    </row>
    <row r="11" spans="1:5" ht="14.25" customHeight="1">
      <c r="A11" s="16" t="s">
        <v>26</v>
      </c>
      <c r="B11" s="252">
        <v>21800</v>
      </c>
      <c r="C11" s="272">
        <v>23621.4</v>
      </c>
      <c r="D11" s="26">
        <f t="shared" si="0"/>
        <v>108.35504587155964</v>
      </c>
      <c r="E11" s="42">
        <f t="shared" si="1"/>
        <v>1821.4000000000015</v>
      </c>
    </row>
    <row r="12" spans="1:5" ht="14.25" customHeight="1">
      <c r="A12" s="16" t="s">
        <v>9</v>
      </c>
      <c r="B12" s="252">
        <f>SUM(B13:B14)</f>
        <v>191000</v>
      </c>
      <c r="C12" s="254">
        <f>SUM(C13:C14)</f>
        <v>152998.58000000002</v>
      </c>
      <c r="D12" s="26">
        <f t="shared" si="0"/>
        <v>80.10396858638744</v>
      </c>
      <c r="E12" s="42">
        <f t="shared" si="1"/>
        <v>-38001.419999999984</v>
      </c>
    </row>
    <row r="13" spans="1:5" ht="12.75" customHeight="1">
      <c r="A13" s="16" t="s">
        <v>27</v>
      </c>
      <c r="B13" s="252">
        <v>49000</v>
      </c>
      <c r="C13" s="272">
        <v>34338.08</v>
      </c>
      <c r="D13" s="26">
        <f t="shared" si="0"/>
        <v>70.0777142857143</v>
      </c>
      <c r="E13" s="42">
        <f t="shared" si="1"/>
        <v>-14661.919999999998</v>
      </c>
    </row>
    <row r="14" spans="1:5" ht="12.75">
      <c r="A14" s="41" t="s">
        <v>171</v>
      </c>
      <c r="B14" s="237">
        <f>SUM(B15:B16)</f>
        <v>142000</v>
      </c>
      <c r="C14" s="254">
        <f>SUM(C15:C16)</f>
        <v>118660.5</v>
      </c>
      <c r="D14" s="26">
        <f t="shared" si="0"/>
        <v>83.5637323943662</v>
      </c>
      <c r="E14" s="42">
        <f t="shared" si="1"/>
        <v>-23339.5</v>
      </c>
    </row>
    <row r="15" spans="1:5" ht="12.75">
      <c r="A15" s="41" t="s">
        <v>172</v>
      </c>
      <c r="B15" s="237">
        <v>5000</v>
      </c>
      <c r="C15" s="272">
        <v>6272.69</v>
      </c>
      <c r="D15" s="26">
        <f t="shared" si="0"/>
        <v>125.45379999999999</v>
      </c>
      <c r="E15" s="42">
        <f t="shared" si="1"/>
        <v>1272.6899999999996</v>
      </c>
    </row>
    <row r="16" spans="1:5" ht="12.75">
      <c r="A16" s="41" t="s">
        <v>173</v>
      </c>
      <c r="B16" s="237">
        <v>137000</v>
      </c>
      <c r="C16" s="272">
        <v>112387.81</v>
      </c>
      <c r="D16" s="26">
        <f t="shared" si="0"/>
        <v>82.03489781021898</v>
      </c>
      <c r="E16" s="42">
        <f t="shared" si="1"/>
        <v>-24612.190000000002</v>
      </c>
    </row>
    <row r="17" spans="1:5" ht="12.75">
      <c r="A17" s="41" t="s">
        <v>219</v>
      </c>
      <c r="B17" s="237">
        <v>0</v>
      </c>
      <c r="C17" s="255">
        <v>2300</v>
      </c>
      <c r="D17" s="26" t="str">
        <f t="shared" si="0"/>
        <v>   </v>
      </c>
      <c r="E17" s="42">
        <f t="shared" si="1"/>
        <v>2300</v>
      </c>
    </row>
    <row r="18" spans="1:5" ht="18" customHeight="1">
      <c r="A18" s="16" t="s">
        <v>88</v>
      </c>
      <c r="B18" s="252">
        <v>0</v>
      </c>
      <c r="C18" s="255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0">
        <f>B21+B20</f>
        <v>0</v>
      </c>
      <c r="C19" s="253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4" t="s">
        <v>202</v>
      </c>
      <c r="B20" s="250">
        <v>0</v>
      </c>
      <c r="C20" s="253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2">
        <v>0</v>
      </c>
      <c r="C21" s="255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2">
        <f>SUM(B23:B24)</f>
        <v>96000</v>
      </c>
      <c r="C22" s="253">
        <f>SUM(C23:C24)</f>
        <v>25581</v>
      </c>
      <c r="D22" s="26">
        <f t="shared" si="0"/>
        <v>26.646874999999998</v>
      </c>
      <c r="E22" s="42">
        <f t="shared" si="1"/>
        <v>-70419</v>
      </c>
    </row>
    <row r="23" spans="1:5" ht="15.75" customHeight="1">
      <c r="A23" s="41" t="s">
        <v>161</v>
      </c>
      <c r="B23" s="252">
        <v>96000</v>
      </c>
      <c r="C23" s="272">
        <v>25581</v>
      </c>
      <c r="D23" s="26">
        <f t="shared" si="0"/>
        <v>26.646874999999998</v>
      </c>
      <c r="E23" s="42">
        <f t="shared" si="1"/>
        <v>-70419</v>
      </c>
    </row>
    <row r="24" spans="1:5" ht="15.75" customHeight="1">
      <c r="A24" s="16" t="s">
        <v>30</v>
      </c>
      <c r="B24" s="252">
        <v>0</v>
      </c>
      <c r="C24" s="255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191</v>
      </c>
      <c r="B25" s="250">
        <f>SUM(B26)</f>
        <v>0</v>
      </c>
      <c r="C25" s="253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192</v>
      </c>
      <c r="B26" s="252">
        <v>0</v>
      </c>
      <c r="C26" s="255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2">
        <f>SUM(B29:B30)</f>
        <v>0</v>
      </c>
      <c r="C28" s="254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6">
        <v>0</v>
      </c>
      <c r="C30" s="253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2" t="s">
        <v>10</v>
      </c>
      <c r="B31" s="242">
        <f>SUM(B6,B8,B10,B12,B17,B18,B19,B22,B27,B28,B25)</f>
        <v>951500</v>
      </c>
      <c r="C31" s="246">
        <f>SUM(C6,C8,C10,C12,C17,C18,C19,C22,C27,C28,C25)</f>
        <v>940733.74</v>
      </c>
      <c r="D31" s="148">
        <f t="shared" si="0"/>
        <v>98.86849605885443</v>
      </c>
      <c r="E31" s="149">
        <f t="shared" si="1"/>
        <v>-10766.26000000001</v>
      </c>
    </row>
    <row r="32" spans="1:5" ht="19.5" customHeight="1">
      <c r="A32" s="190" t="s">
        <v>145</v>
      </c>
      <c r="B32" s="257">
        <f>SUM(B33:B37,B40:B44,B47)</f>
        <v>22502345.92</v>
      </c>
      <c r="C32" s="257">
        <f>SUM(C33:C37,C40:C44,C47)</f>
        <v>15433779.76</v>
      </c>
      <c r="D32" s="148">
        <f t="shared" si="0"/>
        <v>68.58742557273779</v>
      </c>
      <c r="E32" s="149">
        <f t="shared" si="1"/>
        <v>-7068566.160000002</v>
      </c>
    </row>
    <row r="33" spans="1:5" ht="18.75" customHeight="1">
      <c r="A33" s="17" t="s">
        <v>34</v>
      </c>
      <c r="B33" s="250">
        <v>1219400</v>
      </c>
      <c r="C33" s="272">
        <v>1151200</v>
      </c>
      <c r="D33" s="26">
        <f t="shared" si="0"/>
        <v>94.40708545186158</v>
      </c>
      <c r="E33" s="42">
        <f t="shared" si="1"/>
        <v>-68200</v>
      </c>
    </row>
    <row r="34" spans="1:5" ht="18.75" customHeight="1">
      <c r="A34" s="17" t="s">
        <v>263</v>
      </c>
      <c r="B34" s="250">
        <v>3373300</v>
      </c>
      <c r="C34" s="272">
        <v>1109700</v>
      </c>
      <c r="D34" s="26">
        <f>IF(B34=0,"   ",C34/B34*100)</f>
        <v>32.89657012421071</v>
      </c>
      <c r="E34" s="42">
        <f>C34-B34</f>
        <v>-2263600</v>
      </c>
    </row>
    <row r="35" spans="1:5" ht="15.75" customHeight="1">
      <c r="A35" s="41" t="s">
        <v>153</v>
      </c>
      <c r="B35" s="252">
        <v>0</v>
      </c>
      <c r="C35" s="255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1" t="s">
        <v>51</v>
      </c>
      <c r="B36" s="142">
        <v>89900</v>
      </c>
      <c r="C36" s="276">
        <v>84194</v>
      </c>
      <c r="D36" s="143">
        <f t="shared" si="0"/>
        <v>93.65294771968854</v>
      </c>
      <c r="E36" s="144">
        <f t="shared" si="1"/>
        <v>-5706</v>
      </c>
    </row>
    <row r="37" spans="1:5" ht="32.25" customHeight="1">
      <c r="A37" s="116" t="s">
        <v>155</v>
      </c>
      <c r="B37" s="142">
        <f>SUM(B38:B39)</f>
        <v>100</v>
      </c>
      <c r="C37" s="142">
        <f>SUM(C38:C39)</f>
        <v>100</v>
      </c>
      <c r="D37" s="143">
        <f t="shared" si="0"/>
        <v>100</v>
      </c>
      <c r="E37" s="144">
        <f t="shared" si="1"/>
        <v>0</v>
      </c>
    </row>
    <row r="38" spans="1:5" ht="15.75" customHeight="1">
      <c r="A38" s="116" t="s">
        <v>174</v>
      </c>
      <c r="B38" s="142">
        <v>100</v>
      </c>
      <c r="C38" s="142">
        <v>100</v>
      </c>
      <c r="D38" s="143">
        <f>IF(B38=0,"   ",C38/B38*100)</f>
        <v>100</v>
      </c>
      <c r="E38" s="144">
        <f>C38-B38</f>
        <v>0</v>
      </c>
    </row>
    <row r="39" spans="1:5" ht="24.75" customHeight="1">
      <c r="A39" s="116" t="s">
        <v>175</v>
      </c>
      <c r="B39" s="142">
        <v>0</v>
      </c>
      <c r="C39" s="142">
        <v>0</v>
      </c>
      <c r="D39" s="143" t="str">
        <f>IF(B39=0,"   ",C39/B39*100)</f>
        <v>   </v>
      </c>
      <c r="E39" s="144">
        <f>C39-B39</f>
        <v>0</v>
      </c>
    </row>
    <row r="40" spans="1:5" ht="26.25" customHeight="1">
      <c r="A40" s="16" t="s">
        <v>104</v>
      </c>
      <c r="B40" s="142">
        <v>0</v>
      </c>
      <c r="C40" s="142">
        <v>0</v>
      </c>
      <c r="D40" s="143" t="str">
        <f t="shared" si="0"/>
        <v>   </v>
      </c>
      <c r="E40" s="144">
        <f t="shared" si="1"/>
        <v>0</v>
      </c>
    </row>
    <row r="41" spans="1:5" ht="18" customHeight="1">
      <c r="A41" s="16" t="s">
        <v>181</v>
      </c>
      <c r="B41" s="258">
        <v>50000</v>
      </c>
      <c r="C41" s="258">
        <v>0</v>
      </c>
      <c r="D41" s="143">
        <f t="shared" si="0"/>
        <v>0</v>
      </c>
      <c r="E41" s="144">
        <f t="shared" si="1"/>
        <v>-50000</v>
      </c>
    </row>
    <row r="42" spans="1:5" ht="54.75" customHeight="1">
      <c r="A42" s="16" t="s">
        <v>282</v>
      </c>
      <c r="B42" s="142">
        <v>1610000</v>
      </c>
      <c r="C42" s="142">
        <v>1527762</v>
      </c>
      <c r="D42" s="143">
        <f t="shared" si="0"/>
        <v>94.892049689441</v>
      </c>
      <c r="E42" s="144">
        <f t="shared" si="1"/>
        <v>-82238</v>
      </c>
    </row>
    <row r="43" spans="1:5" ht="26.25" customHeight="1">
      <c r="A43" s="16" t="s">
        <v>283</v>
      </c>
      <c r="B43" s="142">
        <v>14299855.32</v>
      </c>
      <c r="C43" s="142">
        <v>9701033.16</v>
      </c>
      <c r="D43" s="143">
        <f t="shared" si="0"/>
        <v>67.84007909808699</v>
      </c>
      <c r="E43" s="144">
        <f t="shared" si="1"/>
        <v>-4598822.16</v>
      </c>
    </row>
    <row r="44" spans="1:5" ht="16.5" customHeight="1">
      <c r="A44" s="16" t="s">
        <v>80</v>
      </c>
      <c r="B44" s="252">
        <f>B46+B45</f>
        <v>1394820.5</v>
      </c>
      <c r="C44" s="259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207</v>
      </c>
      <c r="B45" s="252">
        <v>1394820.5</v>
      </c>
      <c r="C45" s="259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0">
        <v>0</v>
      </c>
      <c r="C46" s="259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222</v>
      </c>
      <c r="B47" s="281">
        <v>464970.1</v>
      </c>
      <c r="C47" s="259">
        <v>464970.1</v>
      </c>
      <c r="D47" s="54">
        <f>IF(B47=0,"   ",C47/B47*100)</f>
        <v>100</v>
      </c>
      <c r="E47" s="40">
        <f>C47-B47</f>
        <v>0</v>
      </c>
    </row>
    <row r="48" spans="1:5" ht="21.75" customHeight="1">
      <c r="A48" s="182" t="s">
        <v>11</v>
      </c>
      <c r="B48" s="246">
        <f>B31+B32</f>
        <v>23453845.92</v>
      </c>
      <c r="C48" s="246">
        <f>C31+C32</f>
        <v>16374513.5</v>
      </c>
      <c r="D48" s="148">
        <f t="shared" si="0"/>
        <v>69.81589951538318</v>
      </c>
      <c r="E48" s="149">
        <f t="shared" si="1"/>
        <v>-7079332.420000002</v>
      </c>
    </row>
    <row r="49" spans="1:5" ht="12.75">
      <c r="A49" s="30"/>
      <c r="B49" s="250"/>
      <c r="C49" s="261"/>
      <c r="D49" s="26" t="str">
        <f t="shared" si="0"/>
        <v>   </v>
      </c>
      <c r="E49" s="42"/>
    </row>
    <row r="50" spans="1:5" ht="13.5" thickBot="1">
      <c r="A50" s="113" t="s">
        <v>12</v>
      </c>
      <c r="B50" s="262"/>
      <c r="C50" s="263"/>
      <c r="D50" s="119" t="str">
        <f t="shared" si="0"/>
        <v>   </v>
      </c>
      <c r="E50" s="120"/>
    </row>
    <row r="51" spans="1:5" ht="13.5" thickBot="1">
      <c r="A51" s="136" t="s">
        <v>35</v>
      </c>
      <c r="B51" s="137">
        <f>SUM(B52,B54+B55)</f>
        <v>1173938.77</v>
      </c>
      <c r="C51" s="137">
        <f>SUM(C52,C54+C55)</f>
        <v>954089.5800000001</v>
      </c>
      <c r="D51" s="138">
        <f t="shared" si="0"/>
        <v>81.27251645330702</v>
      </c>
      <c r="E51" s="139">
        <f t="shared" si="1"/>
        <v>-219849.18999999994</v>
      </c>
    </row>
    <row r="52" spans="1:5" ht="13.5" thickBot="1">
      <c r="A52" s="124" t="s">
        <v>36</v>
      </c>
      <c r="B52" s="125">
        <v>1123710</v>
      </c>
      <c r="C52" s="137">
        <v>903860.81</v>
      </c>
      <c r="D52" s="126">
        <f t="shared" si="0"/>
        <v>80.43541572113803</v>
      </c>
      <c r="E52" s="127">
        <f t="shared" si="1"/>
        <v>-219849.18999999994</v>
      </c>
    </row>
    <row r="53" spans="1:5" ht="12.75">
      <c r="A53" s="92" t="s">
        <v>121</v>
      </c>
      <c r="B53" s="25">
        <v>715100</v>
      </c>
      <c r="C53" s="28">
        <v>597059.9</v>
      </c>
      <c r="D53" s="26">
        <f t="shared" si="0"/>
        <v>83.49320374772759</v>
      </c>
      <c r="E53" s="42">
        <f t="shared" si="1"/>
        <v>-118040.09999999998</v>
      </c>
    </row>
    <row r="54" spans="1:5" ht="12.75">
      <c r="A54" s="16" t="s">
        <v>96</v>
      </c>
      <c r="B54" s="25">
        <v>0</v>
      </c>
      <c r="C54" s="28">
        <v>0</v>
      </c>
      <c r="D54" s="26" t="str">
        <f t="shared" si="0"/>
        <v>   </v>
      </c>
      <c r="E54" s="42">
        <f t="shared" si="1"/>
        <v>0</v>
      </c>
    </row>
    <row r="55" spans="1:5" ht="12.75">
      <c r="A55" s="112" t="s">
        <v>53</v>
      </c>
      <c r="B55" s="31">
        <f>SUM(B56)</f>
        <v>50228.77</v>
      </c>
      <c r="C55" s="31">
        <f>SUM(C56)</f>
        <v>50228.77</v>
      </c>
      <c r="D55" s="119">
        <f t="shared" si="0"/>
        <v>100</v>
      </c>
      <c r="E55" s="120">
        <f t="shared" si="1"/>
        <v>0</v>
      </c>
    </row>
    <row r="56" spans="1:5" ht="29.25" customHeight="1" thickBot="1">
      <c r="A56" s="112" t="s">
        <v>217</v>
      </c>
      <c r="B56" s="129">
        <v>50228.77</v>
      </c>
      <c r="C56" s="130">
        <v>50228.77</v>
      </c>
      <c r="D56" s="119">
        <f t="shared" si="0"/>
        <v>100</v>
      </c>
      <c r="E56" s="120">
        <f t="shared" si="1"/>
        <v>0</v>
      </c>
    </row>
    <row r="57" spans="1:5" ht="13.5" thickBot="1">
      <c r="A57" s="136" t="s">
        <v>49</v>
      </c>
      <c r="B57" s="192">
        <f>SUM(B58)</f>
        <v>89900</v>
      </c>
      <c r="C57" s="192">
        <f>SUM(C58)</f>
        <v>75073.41</v>
      </c>
      <c r="D57" s="138">
        <f t="shared" si="0"/>
        <v>83.50768631813126</v>
      </c>
      <c r="E57" s="139">
        <f t="shared" si="1"/>
        <v>-14826.589999999997</v>
      </c>
    </row>
    <row r="58" spans="1:5" ht="16.5" customHeight="1" thickBot="1">
      <c r="A58" s="128" t="s">
        <v>108</v>
      </c>
      <c r="B58" s="129">
        <v>89900</v>
      </c>
      <c r="C58" s="130">
        <v>75073.41</v>
      </c>
      <c r="D58" s="131">
        <f t="shared" si="0"/>
        <v>83.50768631813126</v>
      </c>
      <c r="E58" s="132">
        <f t="shared" si="1"/>
        <v>-14826.589999999997</v>
      </c>
    </row>
    <row r="59" spans="1:5" ht="13.5" thickBot="1">
      <c r="A59" s="136" t="s">
        <v>37</v>
      </c>
      <c r="B59" s="137">
        <f>SUM(B60)</f>
        <v>1000</v>
      </c>
      <c r="C59" s="192">
        <f>SUM(C60)</f>
        <v>1000</v>
      </c>
      <c r="D59" s="138">
        <f t="shared" si="0"/>
        <v>100</v>
      </c>
      <c r="E59" s="139">
        <f t="shared" si="1"/>
        <v>0</v>
      </c>
    </row>
    <row r="60" spans="1:5" ht="13.5" thickBot="1">
      <c r="A60" s="82" t="s">
        <v>130</v>
      </c>
      <c r="B60" s="129">
        <v>1000</v>
      </c>
      <c r="C60" s="130"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136" t="s">
        <v>38</v>
      </c>
      <c r="B61" s="106">
        <f>B62+B65+B69</f>
        <v>2264571.23</v>
      </c>
      <c r="C61" s="106">
        <f>C62+C65+C69</f>
        <v>2133962</v>
      </c>
      <c r="D61" s="138">
        <f t="shared" si="0"/>
        <v>94.23249627701045</v>
      </c>
      <c r="E61" s="139">
        <f t="shared" si="1"/>
        <v>-130609.22999999998</v>
      </c>
    </row>
    <row r="62" spans="1:5" ht="15.75" customHeight="1" thickBot="1">
      <c r="A62" s="82" t="s">
        <v>194</v>
      </c>
      <c r="B62" s="106">
        <f>SUM(B63+B64)</f>
        <v>0</v>
      </c>
      <c r="C62" s="106">
        <f>SUM(C63+C64)</f>
        <v>0</v>
      </c>
      <c r="D62" s="138" t="str">
        <f>IF(B62=0,"   ",C62/B62*100)</f>
        <v>   </v>
      </c>
      <c r="E62" s="139">
        <f>C62-B62</f>
        <v>0</v>
      </c>
    </row>
    <row r="63" spans="1:5" ht="18" customHeight="1" thickBot="1">
      <c r="A63" s="82" t="s">
        <v>177</v>
      </c>
      <c r="B63" s="291">
        <v>0</v>
      </c>
      <c r="C63" s="137">
        <v>0</v>
      </c>
      <c r="D63" s="138" t="str">
        <f>IF(B63=0,"   ",C63/B63*100)</f>
        <v>   </v>
      </c>
      <c r="E63" s="139">
        <f>C63-B63</f>
        <v>0</v>
      </c>
    </row>
    <row r="64" spans="1:5" ht="18" customHeight="1">
      <c r="A64" s="82" t="s">
        <v>208</v>
      </c>
      <c r="B64" s="125">
        <v>0</v>
      </c>
      <c r="C64" s="125">
        <v>0</v>
      </c>
      <c r="D64" s="289"/>
      <c r="E64" s="290"/>
    </row>
    <row r="65" spans="1:5" ht="12.75">
      <c r="A65" s="103" t="s">
        <v>134</v>
      </c>
      <c r="B65" s="125">
        <f>B67+B68+B66</f>
        <v>2230800</v>
      </c>
      <c r="C65" s="125">
        <f>C67+C68+C66</f>
        <v>2133962</v>
      </c>
      <c r="D65" s="126">
        <f t="shared" si="0"/>
        <v>95.659046082123</v>
      </c>
      <c r="E65" s="127">
        <f t="shared" si="1"/>
        <v>-96838</v>
      </c>
    </row>
    <row r="66" spans="1:5" ht="19.5" customHeight="1">
      <c r="A66" s="82" t="s">
        <v>182</v>
      </c>
      <c r="B66" s="25">
        <v>0</v>
      </c>
      <c r="C66" s="25">
        <v>0</v>
      </c>
      <c r="D66" s="126" t="str">
        <f t="shared" si="0"/>
        <v>   </v>
      </c>
      <c r="E66" s="127">
        <f t="shared" si="1"/>
        <v>0</v>
      </c>
    </row>
    <row r="67" spans="1:5" ht="26.25">
      <c r="A67" s="78" t="s">
        <v>135</v>
      </c>
      <c r="B67" s="129">
        <v>1610000</v>
      </c>
      <c r="C67" s="129">
        <v>1527762</v>
      </c>
      <c r="D67" s="126">
        <f t="shared" si="0"/>
        <v>94.892049689441</v>
      </c>
      <c r="E67" s="127">
        <f t="shared" si="1"/>
        <v>-82238</v>
      </c>
    </row>
    <row r="68" spans="1:5" ht="27" thickBot="1">
      <c r="A68" s="78" t="s">
        <v>136</v>
      </c>
      <c r="B68" s="121">
        <v>620800</v>
      </c>
      <c r="C68" s="121">
        <v>606200</v>
      </c>
      <c r="D68" s="119">
        <f t="shared" si="0"/>
        <v>97.64819587628865</v>
      </c>
      <c r="E68" s="120">
        <f t="shared" si="1"/>
        <v>-14600</v>
      </c>
    </row>
    <row r="69" spans="1:5" ht="13.5" thickBot="1">
      <c r="A69" s="103" t="s">
        <v>195</v>
      </c>
      <c r="B69" s="106">
        <f>SUM(B70)</f>
        <v>33771.23</v>
      </c>
      <c r="C69" s="106">
        <f>SUM(C70)</f>
        <v>0</v>
      </c>
      <c r="D69" s="119">
        <f>IF(B69=0,"   ",C69/B69*100)</f>
        <v>0</v>
      </c>
      <c r="E69" s="120">
        <f>C69-B69</f>
        <v>-33771.23</v>
      </c>
    </row>
    <row r="70" spans="1:5" ht="27" thickBot="1">
      <c r="A70" s="82" t="s">
        <v>196</v>
      </c>
      <c r="B70" s="129">
        <v>33771.23</v>
      </c>
      <c r="C70" s="129">
        <v>0</v>
      </c>
      <c r="D70" s="119">
        <f>IF(B70=0,"   ",C70/B70*100)</f>
        <v>0</v>
      </c>
      <c r="E70" s="120">
        <f>C70-B70</f>
        <v>-33771.23</v>
      </c>
    </row>
    <row r="71" spans="1:5" ht="13.5" customHeight="1" thickBot="1">
      <c r="A71" s="136" t="s">
        <v>13</v>
      </c>
      <c r="B71" s="137">
        <f>SUM(B79,B78,B72)</f>
        <v>2423880.6</v>
      </c>
      <c r="C71" s="137">
        <f>SUM(C79,C78,C72)</f>
        <v>2377325.21</v>
      </c>
      <c r="D71" s="138">
        <f t="shared" si="0"/>
        <v>98.0793034937447</v>
      </c>
      <c r="E71" s="139">
        <f t="shared" si="1"/>
        <v>-46555.39000000013</v>
      </c>
    </row>
    <row r="72" spans="1:5" ht="13.5" customHeight="1" thickBot="1">
      <c r="A72" s="41" t="s">
        <v>157</v>
      </c>
      <c r="B72" s="125">
        <f>SUM(B73+B74)</f>
        <v>1950060.7000000002</v>
      </c>
      <c r="C72" s="125">
        <f>SUM(C73+C74)</f>
        <v>1950060.7000000002</v>
      </c>
      <c r="D72" s="138">
        <f t="shared" si="0"/>
        <v>100</v>
      </c>
      <c r="E72" s="139">
        <f t="shared" si="1"/>
        <v>0</v>
      </c>
    </row>
    <row r="73" spans="1:5" ht="30.75" customHeight="1" thickBot="1">
      <c r="A73" s="16" t="s">
        <v>218</v>
      </c>
      <c r="B73" s="125">
        <v>0</v>
      </c>
      <c r="C73" s="125">
        <v>0</v>
      </c>
      <c r="D73" s="138" t="str">
        <f t="shared" si="0"/>
        <v>   </v>
      </c>
      <c r="E73" s="132">
        <f t="shared" si="1"/>
        <v>0</v>
      </c>
    </row>
    <row r="74" spans="1:5" ht="19.5" customHeight="1" thickBot="1">
      <c r="A74" s="112" t="s">
        <v>231</v>
      </c>
      <c r="B74" s="125">
        <f>SUM(B75+B76+B77)</f>
        <v>1950060.7000000002</v>
      </c>
      <c r="C74" s="125">
        <f>SUM(C75+C76+C77)</f>
        <v>1950060.7000000002</v>
      </c>
      <c r="D74" s="138">
        <f>IF(B74=0,"   ",C74/B74*100)</f>
        <v>100</v>
      </c>
      <c r="E74" s="132">
        <f>C74-B74</f>
        <v>0</v>
      </c>
    </row>
    <row r="75" spans="1:5" ht="30.75" customHeight="1" thickBot="1">
      <c r="A75" s="112" t="s">
        <v>244</v>
      </c>
      <c r="B75" s="125">
        <v>1170020.5</v>
      </c>
      <c r="C75" s="125">
        <v>1170020.5</v>
      </c>
      <c r="D75" s="138">
        <f>IF(B75=0,"   ",C75/B75*100)</f>
        <v>100</v>
      </c>
      <c r="E75" s="132">
        <f>C75-B75</f>
        <v>0</v>
      </c>
    </row>
    <row r="76" spans="1:5" ht="30.75" customHeight="1" thickBot="1">
      <c r="A76" s="112" t="s">
        <v>232</v>
      </c>
      <c r="B76" s="125">
        <v>390020.1</v>
      </c>
      <c r="C76" s="125">
        <v>390020.1</v>
      </c>
      <c r="D76" s="138">
        <f>IF(B76=0,"   ",C76/B76*100)</f>
        <v>100</v>
      </c>
      <c r="E76" s="132">
        <f>C76-B76</f>
        <v>0</v>
      </c>
    </row>
    <row r="77" spans="1:5" ht="30.75" customHeight="1" thickBot="1">
      <c r="A77" s="112" t="s">
        <v>245</v>
      </c>
      <c r="B77" s="125">
        <v>390020.1</v>
      </c>
      <c r="C77" s="125">
        <v>390020.1</v>
      </c>
      <c r="D77" s="138">
        <f>IF(B77=0,"   ",C77/B77*100)</f>
        <v>100</v>
      </c>
      <c r="E77" s="132">
        <f>C77-B77</f>
        <v>0</v>
      </c>
    </row>
    <row r="78" spans="1:5" ht="13.5" customHeight="1" thickBot="1">
      <c r="A78" s="124" t="s">
        <v>85</v>
      </c>
      <c r="B78" s="125">
        <v>0</v>
      </c>
      <c r="C78" s="125">
        <v>0</v>
      </c>
      <c r="D78" s="138" t="str">
        <f t="shared" si="0"/>
        <v>   </v>
      </c>
      <c r="E78" s="127">
        <f t="shared" si="1"/>
        <v>0</v>
      </c>
    </row>
    <row r="79" spans="1:5" ht="12.75">
      <c r="A79" s="16" t="s">
        <v>58</v>
      </c>
      <c r="B79" s="25">
        <f>B80+B86+B81+B82</f>
        <v>473819.9</v>
      </c>
      <c r="C79" s="25">
        <f>C80+C86+C81+C82</f>
        <v>427264.51</v>
      </c>
      <c r="D79" s="26">
        <f t="shared" si="0"/>
        <v>90.17445447099203</v>
      </c>
      <c r="E79" s="42">
        <f t="shared" si="1"/>
        <v>-46555.390000000014</v>
      </c>
    </row>
    <row r="80" spans="1:5" ht="12.75">
      <c r="A80" s="16" t="s">
        <v>56</v>
      </c>
      <c r="B80" s="25">
        <v>99049.9</v>
      </c>
      <c r="C80" s="27">
        <v>52494.51</v>
      </c>
      <c r="D80" s="26">
        <f t="shared" si="0"/>
        <v>52.99804442003475</v>
      </c>
      <c r="E80" s="42">
        <f t="shared" si="1"/>
        <v>-46555.38999999999</v>
      </c>
    </row>
    <row r="81" spans="1:5" ht="26.25">
      <c r="A81" s="112" t="s">
        <v>178</v>
      </c>
      <c r="B81" s="25">
        <v>0</v>
      </c>
      <c r="C81" s="27">
        <v>0</v>
      </c>
      <c r="D81" s="119" t="str">
        <f t="shared" si="0"/>
        <v>   </v>
      </c>
      <c r="E81" s="120">
        <f t="shared" si="1"/>
        <v>0</v>
      </c>
    </row>
    <row r="82" spans="1:5" ht="12.75">
      <c r="A82" s="112" t="s">
        <v>231</v>
      </c>
      <c r="B82" s="25">
        <f>SUM(B83+B84+B85)</f>
        <v>374770</v>
      </c>
      <c r="C82" s="25">
        <f>SUM(C83+C84+C85)</f>
        <v>374770</v>
      </c>
      <c r="D82" s="119">
        <f>IF(B82=0,"   ",C82/B82*100)</f>
        <v>100</v>
      </c>
      <c r="E82" s="120">
        <f>C82-B82</f>
        <v>0</v>
      </c>
    </row>
    <row r="83" spans="1:5" ht="26.25">
      <c r="A83" s="112" t="s">
        <v>206</v>
      </c>
      <c r="B83" s="121">
        <v>224800</v>
      </c>
      <c r="C83" s="122">
        <v>224800</v>
      </c>
      <c r="D83" s="119">
        <f t="shared" si="0"/>
        <v>100</v>
      </c>
      <c r="E83" s="120">
        <f t="shared" si="1"/>
        <v>0</v>
      </c>
    </row>
    <row r="84" spans="1:5" ht="15" customHeight="1">
      <c r="A84" s="112" t="s">
        <v>209</v>
      </c>
      <c r="B84" s="121">
        <v>75020</v>
      </c>
      <c r="C84" s="122">
        <v>75020</v>
      </c>
      <c r="D84" s="119">
        <f t="shared" si="0"/>
        <v>100</v>
      </c>
      <c r="E84" s="120">
        <f t="shared" si="1"/>
        <v>0</v>
      </c>
    </row>
    <row r="85" spans="1:5" ht="16.5" customHeight="1">
      <c r="A85" s="112" t="s">
        <v>210</v>
      </c>
      <c r="B85" s="121">
        <v>74950</v>
      </c>
      <c r="C85" s="122">
        <v>74950</v>
      </c>
      <c r="D85" s="119">
        <f t="shared" si="0"/>
        <v>100</v>
      </c>
      <c r="E85" s="120">
        <f t="shared" si="1"/>
        <v>0</v>
      </c>
    </row>
    <row r="86" spans="1:5" ht="12.75">
      <c r="A86" s="112" t="s">
        <v>59</v>
      </c>
      <c r="B86" s="25">
        <v>0</v>
      </c>
      <c r="C86" s="27">
        <v>0</v>
      </c>
      <c r="D86" s="26" t="str">
        <f t="shared" si="0"/>
        <v>   </v>
      </c>
      <c r="E86" s="27">
        <f t="shared" si="1"/>
        <v>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" thickBot="1">
      <c r="A88" s="140" t="s">
        <v>17</v>
      </c>
      <c r="B88" s="229">
        <v>8000</v>
      </c>
      <c r="C88" s="229">
        <v>8000</v>
      </c>
      <c r="D88" s="152">
        <f t="shared" si="0"/>
        <v>100</v>
      </c>
      <c r="E88" s="153">
        <f t="shared" si="1"/>
        <v>0</v>
      </c>
    </row>
    <row r="89" spans="1:5" ht="13.5" thickBot="1">
      <c r="A89" s="136" t="s">
        <v>41</v>
      </c>
      <c r="B89" s="193">
        <f>B90</f>
        <v>17566255.32</v>
      </c>
      <c r="C89" s="193">
        <f>C90</f>
        <v>10654351.120000001</v>
      </c>
      <c r="D89" s="138">
        <f t="shared" si="0"/>
        <v>60.65237539767241</v>
      </c>
      <c r="E89" s="139">
        <f t="shared" si="1"/>
        <v>-6911904.199999999</v>
      </c>
    </row>
    <row r="90" spans="1:5" ht="12.75">
      <c r="A90" s="124" t="s">
        <v>42</v>
      </c>
      <c r="B90" s="125">
        <f>SUM(B91+B92+B93+B94)</f>
        <v>17566255.32</v>
      </c>
      <c r="C90" s="125">
        <f>SUM(C91+C92+C93+C94)</f>
        <v>10654351.120000001</v>
      </c>
      <c r="D90" s="126">
        <f t="shared" si="0"/>
        <v>60.65237539767241</v>
      </c>
      <c r="E90" s="127">
        <f t="shared" si="1"/>
        <v>-6911904.199999999</v>
      </c>
    </row>
    <row r="91" spans="1:5" ht="12.75">
      <c r="A91" s="178" t="s">
        <v>149</v>
      </c>
      <c r="B91" s="129">
        <v>278400</v>
      </c>
      <c r="C91" s="130">
        <v>278400</v>
      </c>
      <c r="D91" s="131">
        <f t="shared" si="0"/>
        <v>100</v>
      </c>
      <c r="E91" s="132">
        <f t="shared" si="1"/>
        <v>0</v>
      </c>
    </row>
    <row r="92" spans="1:5" ht="16.5" customHeight="1">
      <c r="A92" s="16" t="s">
        <v>279</v>
      </c>
      <c r="B92" s="25">
        <v>14299855.32</v>
      </c>
      <c r="C92" s="27">
        <v>9701033.16</v>
      </c>
      <c r="D92" s="26">
        <f t="shared" si="0"/>
        <v>67.84007909808699</v>
      </c>
      <c r="E92" s="27">
        <f t="shared" si="1"/>
        <v>-4598822.16</v>
      </c>
    </row>
    <row r="93" spans="1:5" ht="18" customHeight="1">
      <c r="A93" s="16" t="s">
        <v>277</v>
      </c>
      <c r="B93" s="25">
        <v>735500</v>
      </c>
      <c r="C93" s="27">
        <v>674917.96</v>
      </c>
      <c r="D93" s="26">
        <f>IF(B93=0,"   ",C93/B93*100)</f>
        <v>91.76314887831407</v>
      </c>
      <c r="E93" s="27">
        <f>C93-B93</f>
        <v>-60582.04000000004</v>
      </c>
    </row>
    <row r="94" spans="1:5" ht="21.75" customHeight="1" thickBot="1">
      <c r="A94" s="16" t="s">
        <v>278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6" t="s">
        <v>125</v>
      </c>
      <c r="B95" s="194">
        <f>SUM(B96,)</f>
        <v>8000</v>
      </c>
      <c r="C95" s="194">
        <f>SUM(C96,)</f>
        <v>8000</v>
      </c>
      <c r="D95" s="152">
        <f t="shared" si="0"/>
        <v>100</v>
      </c>
      <c r="E95" s="153">
        <f t="shared" si="1"/>
        <v>0</v>
      </c>
    </row>
    <row r="96" spans="1:5" ht="12.75">
      <c r="A96" s="134" t="s">
        <v>43</v>
      </c>
      <c r="B96" s="129">
        <v>8000</v>
      </c>
      <c r="C96" s="135">
        <v>8000</v>
      </c>
      <c r="D96" s="131">
        <f t="shared" si="0"/>
        <v>100</v>
      </c>
      <c r="E96" s="132">
        <f t="shared" si="1"/>
        <v>0</v>
      </c>
    </row>
    <row r="97" spans="1:5" ht="27" customHeight="1">
      <c r="A97" s="182" t="s">
        <v>15</v>
      </c>
      <c r="B97" s="158">
        <f>SUM(B51,B57,B59,B61,B71,B88,B89,B95,)</f>
        <v>23535545.92</v>
      </c>
      <c r="C97" s="158">
        <f>SUM(C51,C57,C59,C61,C71,C88,C89,C95,)</f>
        <v>16211801.32</v>
      </c>
      <c r="D97" s="148">
        <f>IF(B97=0,"   ",C97/B97*100)</f>
        <v>68.88219791079312</v>
      </c>
      <c r="E97" s="149">
        <f>C97-B97</f>
        <v>-7323744.6000000015</v>
      </c>
    </row>
    <row r="98" spans="1:5" s="66" customFormat="1" ht="23.25" customHeight="1">
      <c r="A98" s="87" t="s">
        <v>256</v>
      </c>
      <c r="B98" s="87"/>
      <c r="C98" s="292"/>
      <c r="D98" s="292"/>
      <c r="E98" s="292"/>
    </row>
    <row r="99" spans="1:5" s="66" customFormat="1" ht="12" customHeight="1">
      <c r="A99" s="87" t="s">
        <v>163</v>
      </c>
      <c r="B99" s="87"/>
      <c r="C99" s="88" t="s">
        <v>302</v>
      </c>
      <c r="D99" s="89"/>
      <c r="E99" s="90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73">
      <selection activeCell="B31" sqref="B31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294" t="s">
        <v>306</v>
      </c>
      <c r="B1" s="294"/>
      <c r="C1" s="294"/>
      <c r="D1" s="294"/>
      <c r="E1" s="294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270</v>
      </c>
      <c r="C3" s="32" t="s">
        <v>304</v>
      </c>
      <c r="D3" s="19" t="s">
        <v>271</v>
      </c>
      <c r="E3" s="36" t="s">
        <v>275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6">
        <f>SUM(C7)</f>
        <v>57236.92</v>
      </c>
      <c r="D6" s="26">
        <f aca="true" t="shared" si="0" ref="D6:D88">IF(B6=0,"   ",C6/B6*100)</f>
        <v>180.5581072555205</v>
      </c>
      <c r="E6" s="42">
        <f aca="true" t="shared" si="1" ref="E6:E89">C6-B6</f>
        <v>25536.92</v>
      </c>
    </row>
    <row r="7" spans="1:5" ht="15" customHeight="1">
      <c r="A7" s="16" t="s">
        <v>44</v>
      </c>
      <c r="B7" s="25">
        <v>31700</v>
      </c>
      <c r="C7" s="273">
        <v>57236.92</v>
      </c>
      <c r="D7" s="26">
        <f t="shared" si="0"/>
        <v>180.5581072555205</v>
      </c>
      <c r="E7" s="42">
        <f t="shared" si="1"/>
        <v>25536.92</v>
      </c>
    </row>
    <row r="8" spans="1:5" ht="15.75" customHeight="1">
      <c r="A8" s="71" t="s">
        <v>142</v>
      </c>
      <c r="B8" s="24">
        <f>SUM(B9)</f>
        <v>302600</v>
      </c>
      <c r="C8" s="233">
        <f>SUM(C9)</f>
        <v>326986.42</v>
      </c>
      <c r="D8" s="26">
        <f t="shared" si="0"/>
        <v>108.05896232650363</v>
      </c>
      <c r="E8" s="42">
        <f t="shared" si="1"/>
        <v>24386.419999999984</v>
      </c>
    </row>
    <row r="9" spans="1:5" ht="15" customHeight="1">
      <c r="A9" s="41" t="s">
        <v>143</v>
      </c>
      <c r="B9" s="25">
        <v>302600</v>
      </c>
      <c r="C9" s="273">
        <v>326986.42</v>
      </c>
      <c r="D9" s="26">
        <f t="shared" si="0"/>
        <v>108.05896232650363</v>
      </c>
      <c r="E9" s="42">
        <f t="shared" si="1"/>
        <v>24386.419999999984</v>
      </c>
    </row>
    <row r="10" spans="1:5" ht="16.5" customHeight="1">
      <c r="A10" s="16" t="s">
        <v>7</v>
      </c>
      <c r="B10" s="25">
        <f>B11</f>
        <v>23900</v>
      </c>
      <c r="C10" s="234">
        <f>C11</f>
        <v>34794.55</v>
      </c>
      <c r="D10" s="26">
        <f t="shared" si="0"/>
        <v>145.58389121338914</v>
      </c>
      <c r="E10" s="42">
        <f t="shared" si="1"/>
        <v>10894.550000000003</v>
      </c>
    </row>
    <row r="11" spans="1:5" ht="15" customHeight="1">
      <c r="A11" s="16" t="s">
        <v>26</v>
      </c>
      <c r="B11" s="25">
        <v>23900</v>
      </c>
      <c r="C11" s="273">
        <v>34794.55</v>
      </c>
      <c r="D11" s="26">
        <f t="shared" si="0"/>
        <v>145.58389121338914</v>
      </c>
      <c r="E11" s="42">
        <f t="shared" si="1"/>
        <v>10894.550000000003</v>
      </c>
    </row>
    <row r="12" spans="1:5" ht="15" customHeight="1">
      <c r="A12" s="16" t="s">
        <v>9</v>
      </c>
      <c r="B12" s="25">
        <f>SUM(B13:B14)</f>
        <v>230000</v>
      </c>
      <c r="C12" s="234">
        <f>SUM(C13:C14)</f>
        <v>207750.51</v>
      </c>
      <c r="D12" s="26">
        <f t="shared" si="0"/>
        <v>90.32630869565217</v>
      </c>
      <c r="E12" s="42">
        <f t="shared" si="1"/>
        <v>-22249.48999999999</v>
      </c>
    </row>
    <row r="13" spans="1:5" ht="12.75" customHeight="1">
      <c r="A13" s="16" t="s">
        <v>27</v>
      </c>
      <c r="B13" s="25">
        <v>67000</v>
      </c>
      <c r="C13" s="273">
        <v>75012.54</v>
      </c>
      <c r="D13" s="26">
        <f t="shared" si="0"/>
        <v>111.95901492537313</v>
      </c>
      <c r="E13" s="42">
        <f t="shared" si="1"/>
        <v>8012.539999999994</v>
      </c>
    </row>
    <row r="14" spans="1:5" ht="15" customHeight="1">
      <c r="A14" s="41" t="s">
        <v>171</v>
      </c>
      <c r="B14" s="31">
        <f>SUM(B15:B16)</f>
        <v>163000</v>
      </c>
      <c r="C14" s="234">
        <f>SUM(C15:C16)</f>
        <v>132737.97</v>
      </c>
      <c r="D14" s="26">
        <f t="shared" si="0"/>
        <v>81.43433742331288</v>
      </c>
      <c r="E14" s="42">
        <f t="shared" si="1"/>
        <v>-30262.03</v>
      </c>
    </row>
    <row r="15" spans="1:5" ht="15" customHeight="1">
      <c r="A15" s="41" t="s">
        <v>172</v>
      </c>
      <c r="B15" s="31">
        <v>5000</v>
      </c>
      <c r="C15" s="273">
        <v>4428</v>
      </c>
      <c r="D15" s="26">
        <f t="shared" si="0"/>
        <v>88.56</v>
      </c>
      <c r="E15" s="42">
        <f t="shared" si="1"/>
        <v>-572</v>
      </c>
    </row>
    <row r="16" spans="1:5" ht="15" customHeight="1">
      <c r="A16" s="41" t="s">
        <v>173</v>
      </c>
      <c r="B16" s="31">
        <v>158000</v>
      </c>
      <c r="C16" s="273">
        <v>128309.97</v>
      </c>
      <c r="D16" s="26">
        <f t="shared" si="0"/>
        <v>81.2088417721519</v>
      </c>
      <c r="E16" s="42">
        <f t="shared" si="1"/>
        <v>-29690.03</v>
      </c>
    </row>
    <row r="17" spans="1:5" ht="15" customHeight="1">
      <c r="A17" s="41" t="s">
        <v>219</v>
      </c>
      <c r="B17" s="31">
        <v>2000</v>
      </c>
      <c r="C17" s="235">
        <v>1900</v>
      </c>
      <c r="D17" s="26">
        <f t="shared" si="0"/>
        <v>95</v>
      </c>
      <c r="E17" s="42">
        <f t="shared" si="1"/>
        <v>-100</v>
      </c>
    </row>
    <row r="18" spans="1:5" ht="27.75" customHeight="1">
      <c r="A18" s="16" t="s">
        <v>88</v>
      </c>
      <c r="B18" s="25">
        <v>0</v>
      </c>
      <c r="C18" s="23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4">
        <f>SUM(C20:C21)</f>
        <v>46386.619999999995</v>
      </c>
      <c r="D19" s="26">
        <f t="shared" si="0"/>
        <v>94.66657142857142</v>
      </c>
      <c r="E19" s="42">
        <f t="shared" si="1"/>
        <v>-2613.3800000000047</v>
      </c>
    </row>
    <row r="20" spans="1:5" ht="12.75" customHeight="1">
      <c r="A20" s="41" t="s">
        <v>161</v>
      </c>
      <c r="B20" s="25">
        <v>15000</v>
      </c>
      <c r="C20" s="273">
        <v>15355.73</v>
      </c>
      <c r="D20" s="26">
        <f t="shared" si="0"/>
        <v>102.37153333333333</v>
      </c>
      <c r="E20" s="42">
        <f t="shared" si="1"/>
        <v>355.72999999999956</v>
      </c>
    </row>
    <row r="21" spans="1:5" ht="15.75" customHeight="1">
      <c r="A21" s="16" t="s">
        <v>30</v>
      </c>
      <c r="B21" s="25">
        <v>34000</v>
      </c>
      <c r="C21" s="273">
        <v>31030.89</v>
      </c>
      <c r="D21" s="26">
        <f t="shared" si="0"/>
        <v>91.26732352941175</v>
      </c>
      <c r="E21" s="42">
        <f t="shared" si="1"/>
        <v>-2969.1100000000006</v>
      </c>
    </row>
    <row r="22" spans="1:5" ht="15.75" customHeight="1">
      <c r="A22" s="39" t="s">
        <v>92</v>
      </c>
      <c r="B22" s="25">
        <v>0</v>
      </c>
      <c r="C22" s="23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3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262</v>
      </c>
      <c r="B24" s="25">
        <v>0</v>
      </c>
      <c r="C24" s="276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3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4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2" t="s">
        <v>10</v>
      </c>
      <c r="B30" s="43">
        <f>SUM(B6,B8,B10,B12,B18,B19,B22,B23,B29,B26,B17)</f>
        <v>984200</v>
      </c>
      <c r="C30" s="158">
        <f>SUM(C6,C8,C10,C12,C18,C19,C22,C23,C29,C26,C17)</f>
        <v>1200696.0799999998</v>
      </c>
      <c r="D30" s="148">
        <f t="shared" si="0"/>
        <v>121.99716317821579</v>
      </c>
      <c r="E30" s="149">
        <f t="shared" si="1"/>
        <v>216496.07999999984</v>
      </c>
    </row>
    <row r="31" spans="1:5" ht="16.5" customHeight="1">
      <c r="A31" s="190" t="s">
        <v>145</v>
      </c>
      <c r="B31" s="200">
        <f>SUM(B32:B35,B38:B41,B43)</f>
        <v>2504869.0999999996</v>
      </c>
      <c r="C31" s="200">
        <f>SUM(C32:C35,C38:C41,C43)</f>
        <v>2266693.0999999996</v>
      </c>
      <c r="D31" s="148">
        <f t="shared" si="0"/>
        <v>90.49147917549864</v>
      </c>
      <c r="E31" s="149">
        <f t="shared" si="1"/>
        <v>-238176</v>
      </c>
    </row>
    <row r="32" spans="1:5" ht="20.25" customHeight="1">
      <c r="A32" s="17" t="s">
        <v>34</v>
      </c>
      <c r="B32" s="24">
        <v>1257000</v>
      </c>
      <c r="C32" s="277">
        <v>1186800</v>
      </c>
      <c r="D32" s="26">
        <f t="shared" si="0"/>
        <v>94.41527446300717</v>
      </c>
      <c r="E32" s="42">
        <f t="shared" si="1"/>
        <v>-70200</v>
      </c>
    </row>
    <row r="33" spans="1:5" ht="20.25" customHeight="1">
      <c r="A33" s="17" t="s">
        <v>263</v>
      </c>
      <c r="B33" s="24">
        <v>0</v>
      </c>
      <c r="C33" s="277">
        <v>0</v>
      </c>
      <c r="D33" s="26"/>
      <c r="E33" s="42"/>
    </row>
    <row r="34" spans="1:5" ht="26.25" customHeight="1">
      <c r="A34" s="141" t="s">
        <v>51</v>
      </c>
      <c r="B34" s="142">
        <v>89900</v>
      </c>
      <c r="C34" s="277">
        <v>89900</v>
      </c>
      <c r="D34" s="143">
        <f t="shared" si="0"/>
        <v>100</v>
      </c>
      <c r="E34" s="144">
        <f t="shared" si="1"/>
        <v>0</v>
      </c>
    </row>
    <row r="35" spans="1:5" ht="26.25" customHeight="1">
      <c r="A35" s="116" t="s">
        <v>155</v>
      </c>
      <c r="B35" s="142">
        <f>SUM(B36:B37)</f>
        <v>100</v>
      </c>
      <c r="C35" s="142">
        <f>SUM(C36:C37)</f>
        <v>100</v>
      </c>
      <c r="D35" s="143">
        <f t="shared" si="0"/>
        <v>100</v>
      </c>
      <c r="E35" s="144">
        <f t="shared" si="1"/>
        <v>0</v>
      </c>
    </row>
    <row r="36" spans="1:5" ht="17.25" customHeight="1">
      <c r="A36" s="116" t="s">
        <v>174</v>
      </c>
      <c r="B36" s="142">
        <v>100</v>
      </c>
      <c r="C36" s="142">
        <v>100</v>
      </c>
      <c r="D36" s="143">
        <f>IF(B36=0,"   ",C36/B36*100)</f>
        <v>100</v>
      </c>
      <c r="E36" s="144">
        <f>C36-B36</f>
        <v>0</v>
      </c>
    </row>
    <row r="37" spans="1:5" ht="26.25" customHeight="1">
      <c r="A37" s="116" t="s">
        <v>175</v>
      </c>
      <c r="B37" s="142">
        <v>0</v>
      </c>
      <c r="C37" s="142">
        <v>0</v>
      </c>
      <c r="D37" s="143" t="str">
        <f>IF(B37=0,"   ",C37/B37*100)</f>
        <v>   </v>
      </c>
      <c r="E37" s="144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181</v>
      </c>
      <c r="B39" s="25">
        <v>50000</v>
      </c>
      <c r="C39" s="25">
        <v>0</v>
      </c>
      <c r="D39" s="26">
        <f t="shared" si="0"/>
        <v>0</v>
      </c>
      <c r="E39" s="42">
        <f t="shared" si="1"/>
        <v>-50000</v>
      </c>
    </row>
    <row r="40" spans="1:5" ht="57" customHeight="1">
      <c r="A40" s="16" t="s">
        <v>282</v>
      </c>
      <c r="B40" s="25">
        <v>731500</v>
      </c>
      <c r="C40" s="25">
        <v>613524</v>
      </c>
      <c r="D40" s="26">
        <f t="shared" si="0"/>
        <v>83.87204374572795</v>
      </c>
      <c r="E40" s="42">
        <f t="shared" si="1"/>
        <v>-117976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207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222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2" t="s">
        <v>11</v>
      </c>
      <c r="B44" s="158">
        <f>SUM(B30:B31,)</f>
        <v>3489069.0999999996</v>
      </c>
      <c r="C44" s="158">
        <f>SUM(C30:C31,)</f>
        <v>3467389.1799999997</v>
      </c>
      <c r="D44" s="148">
        <f t="shared" si="0"/>
        <v>99.3786331144889</v>
      </c>
      <c r="E44" s="149">
        <f t="shared" si="1"/>
        <v>-21679.919999999925</v>
      </c>
    </row>
    <row r="45" spans="1:5" ht="15" customHeight="1" thickBot="1">
      <c r="A45" s="113" t="s">
        <v>12</v>
      </c>
      <c r="B45" s="114"/>
      <c r="C45" s="115"/>
      <c r="D45" s="119" t="str">
        <f t="shared" si="0"/>
        <v>   </v>
      </c>
      <c r="E45" s="120">
        <f t="shared" si="1"/>
        <v>0</v>
      </c>
    </row>
    <row r="46" spans="1:5" ht="27.75" customHeight="1" thickBot="1">
      <c r="A46" s="136" t="s">
        <v>35</v>
      </c>
      <c r="B46" s="137">
        <f>SUM(B47,B49:B50)</f>
        <v>1259985.55</v>
      </c>
      <c r="C46" s="137">
        <f>SUM(C47,C49:C50)</f>
        <v>1133581.23</v>
      </c>
      <c r="D46" s="138">
        <f t="shared" si="0"/>
        <v>89.96779605924846</v>
      </c>
      <c r="E46" s="139">
        <f t="shared" si="1"/>
        <v>-126404.32000000007</v>
      </c>
    </row>
    <row r="47" spans="1:5" ht="15.75" customHeight="1">
      <c r="A47" s="124" t="s">
        <v>36</v>
      </c>
      <c r="B47" s="125">
        <v>1149985.55</v>
      </c>
      <c r="C47" s="125">
        <v>1024081.23</v>
      </c>
      <c r="D47" s="126">
        <f t="shared" si="0"/>
        <v>89.05166069260609</v>
      </c>
      <c r="E47" s="127">
        <f t="shared" si="1"/>
        <v>-125904.32000000007</v>
      </c>
    </row>
    <row r="48" spans="1:5" ht="14.25" customHeight="1">
      <c r="A48" s="92" t="s">
        <v>121</v>
      </c>
      <c r="B48" s="25">
        <v>767753.55</v>
      </c>
      <c r="C48" s="28">
        <v>722276.12</v>
      </c>
      <c r="D48" s="26">
        <f t="shared" si="0"/>
        <v>94.07655881239494</v>
      </c>
      <c r="E48" s="42">
        <f t="shared" si="1"/>
        <v>-45477.43000000005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109500</v>
      </c>
      <c r="C50" s="25">
        <f>C51+C53+C52</f>
        <v>109500</v>
      </c>
      <c r="D50" s="26">
        <f t="shared" si="0"/>
        <v>100</v>
      </c>
      <c r="E50" s="42">
        <f t="shared" si="1"/>
        <v>0</v>
      </c>
    </row>
    <row r="51" spans="1:5" ht="24" customHeight="1">
      <c r="A51" s="112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2" t="s">
        <v>289</v>
      </c>
      <c r="B52" s="25">
        <v>9500</v>
      </c>
      <c r="C52" s="27">
        <v>9500</v>
      </c>
      <c r="D52" s="26">
        <f t="shared" si="0"/>
        <v>100</v>
      </c>
      <c r="E52" s="42">
        <f t="shared" si="1"/>
        <v>0</v>
      </c>
    </row>
    <row r="53" spans="1:5" ht="24" customHeight="1" thickBot="1">
      <c r="A53" s="112" t="s">
        <v>281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6" t="s">
        <v>49</v>
      </c>
      <c r="B54" s="284">
        <f>SUM(B55)</f>
        <v>89900</v>
      </c>
      <c r="C54" s="284">
        <f>SUM(C55)</f>
        <v>74303.46</v>
      </c>
      <c r="D54" s="138">
        <f t="shared" si="0"/>
        <v>82.65123470522803</v>
      </c>
      <c r="E54" s="139">
        <f t="shared" si="1"/>
        <v>-15596.539999999994</v>
      </c>
    </row>
    <row r="55" spans="1:5" ht="22.5" customHeight="1" thickBot="1">
      <c r="A55" s="128" t="s">
        <v>108</v>
      </c>
      <c r="B55" s="129">
        <v>89900</v>
      </c>
      <c r="C55" s="130">
        <v>74303.46</v>
      </c>
      <c r="D55" s="138">
        <f t="shared" si="0"/>
        <v>82.65123470522803</v>
      </c>
      <c r="E55" s="132">
        <f t="shared" si="1"/>
        <v>-15596.539999999994</v>
      </c>
    </row>
    <row r="56" spans="1:5" ht="17.25" customHeight="1" thickBot="1">
      <c r="A56" s="136" t="s">
        <v>37</v>
      </c>
      <c r="B56" s="137">
        <f>SUM(B57)</f>
        <v>400</v>
      </c>
      <c r="C56" s="137">
        <f>SUM(C57)</f>
        <v>400</v>
      </c>
      <c r="D56" s="138">
        <f t="shared" si="0"/>
        <v>100</v>
      </c>
      <c r="E56" s="139">
        <f t="shared" si="1"/>
        <v>0</v>
      </c>
    </row>
    <row r="57" spans="1:5" ht="15.75" customHeight="1">
      <c r="A57" s="82" t="s">
        <v>130</v>
      </c>
      <c r="B57" s="125">
        <v>400</v>
      </c>
      <c r="C57" s="133">
        <v>400</v>
      </c>
      <c r="D57" s="126">
        <f t="shared" si="0"/>
        <v>100</v>
      </c>
      <c r="E57" s="127">
        <f t="shared" si="1"/>
        <v>0</v>
      </c>
    </row>
    <row r="58" spans="1:5" ht="18.75" customHeight="1" thickBot="1">
      <c r="A58" s="154" t="s">
        <v>38</v>
      </c>
      <c r="B58" s="121">
        <f>B62+B59+B68</f>
        <v>1034100</v>
      </c>
      <c r="C58" s="121">
        <f>C62+C59+C68</f>
        <v>871000</v>
      </c>
      <c r="D58" s="119">
        <f t="shared" si="0"/>
        <v>84.2278309641234</v>
      </c>
      <c r="E58" s="120">
        <f t="shared" si="1"/>
        <v>-163100</v>
      </c>
    </row>
    <row r="59" spans="1:5" ht="18.75" customHeight="1" thickBot="1">
      <c r="A59" s="82" t="s">
        <v>176</v>
      </c>
      <c r="B59" s="106">
        <f>SUM(B60+B61)</f>
        <v>0</v>
      </c>
      <c r="C59" s="106">
        <f>SUM(C60+C61)</f>
        <v>0</v>
      </c>
      <c r="D59" s="119" t="str">
        <f>IF(B59=0,"   ",C59/B59*100)</f>
        <v>   </v>
      </c>
      <c r="E59" s="120">
        <f>C59-B59</f>
        <v>0</v>
      </c>
    </row>
    <row r="60" spans="1:5" ht="18.75" customHeight="1">
      <c r="A60" s="82" t="s">
        <v>177</v>
      </c>
      <c r="B60" s="129">
        <v>0</v>
      </c>
      <c r="C60" s="121">
        <v>0</v>
      </c>
      <c r="D60" s="119" t="str">
        <f>IF(B60=0,"   ",C60/B60*100)</f>
        <v>   </v>
      </c>
      <c r="E60" s="120">
        <f>C60-B60</f>
        <v>0</v>
      </c>
    </row>
    <row r="61" spans="1:5" ht="18.75" customHeight="1">
      <c r="A61" s="82" t="s">
        <v>208</v>
      </c>
      <c r="B61" s="129">
        <v>0</v>
      </c>
      <c r="C61" s="121">
        <v>0</v>
      </c>
      <c r="D61" s="119" t="str">
        <f>IF(B61=0,"   ",C61/B61*100)</f>
        <v>   </v>
      </c>
      <c r="E61" s="120">
        <f>C61-B61</f>
        <v>0</v>
      </c>
    </row>
    <row r="62" spans="1:5" ht="15" customHeight="1">
      <c r="A62" s="155" t="s">
        <v>134</v>
      </c>
      <c r="B62" s="25">
        <f>B63+B65+B67+B64+B66</f>
        <v>1034100</v>
      </c>
      <c r="C62" s="25">
        <f>C63+C65+C67+C64+C66</f>
        <v>871000</v>
      </c>
      <c r="D62" s="119">
        <f t="shared" si="0"/>
        <v>84.2278309641234</v>
      </c>
      <c r="E62" s="120">
        <f t="shared" si="1"/>
        <v>-163100</v>
      </c>
    </row>
    <row r="63" spans="1:5" ht="18.75" customHeight="1">
      <c r="A63" s="82" t="s">
        <v>146</v>
      </c>
      <c r="B63" s="25">
        <v>0</v>
      </c>
      <c r="C63" s="25">
        <v>0</v>
      </c>
      <c r="D63" s="119" t="str">
        <f t="shared" si="0"/>
        <v>   </v>
      </c>
      <c r="E63" s="120">
        <f t="shared" si="1"/>
        <v>0</v>
      </c>
    </row>
    <row r="64" spans="1:5" ht="18.75" customHeight="1">
      <c r="A64" s="82" t="s">
        <v>156</v>
      </c>
      <c r="B64" s="25">
        <v>0</v>
      </c>
      <c r="C64" s="25">
        <v>0</v>
      </c>
      <c r="D64" s="119" t="str">
        <f>IF(B64=0,"   ",C64/B64*100)</f>
        <v>   </v>
      </c>
      <c r="E64" s="120">
        <f>C64-B64</f>
        <v>0</v>
      </c>
    </row>
    <row r="65" spans="1:5" ht="30" customHeight="1">
      <c r="A65" s="155" t="s">
        <v>135</v>
      </c>
      <c r="B65" s="25">
        <v>731500</v>
      </c>
      <c r="C65" s="25">
        <v>613524</v>
      </c>
      <c r="D65" s="119">
        <f t="shared" si="0"/>
        <v>83.87204374572795</v>
      </c>
      <c r="E65" s="120">
        <f t="shared" si="1"/>
        <v>-117976</v>
      </c>
    </row>
    <row r="66" spans="1:5" ht="30" customHeight="1">
      <c r="A66" s="155" t="s">
        <v>186</v>
      </c>
      <c r="B66" s="25">
        <v>0</v>
      </c>
      <c r="C66" s="25">
        <v>0</v>
      </c>
      <c r="D66" s="119" t="str">
        <f t="shared" si="0"/>
        <v>   </v>
      </c>
      <c r="E66" s="120">
        <f t="shared" si="1"/>
        <v>0</v>
      </c>
    </row>
    <row r="67" spans="1:5" ht="31.5" customHeight="1" thickBot="1">
      <c r="A67" s="155" t="s">
        <v>185</v>
      </c>
      <c r="B67" s="25">
        <v>302600</v>
      </c>
      <c r="C67" s="25">
        <v>257476</v>
      </c>
      <c r="D67" s="119">
        <f t="shared" si="0"/>
        <v>85.0879048248513</v>
      </c>
      <c r="E67" s="120">
        <f t="shared" si="1"/>
        <v>-45124</v>
      </c>
    </row>
    <row r="68" spans="1:5" ht="18" customHeight="1" thickBot="1">
      <c r="A68" s="103" t="s">
        <v>195</v>
      </c>
      <c r="B68" s="106">
        <f>SUM(B69)</f>
        <v>0</v>
      </c>
      <c r="C68" s="106">
        <f>SUM(C69)</f>
        <v>0</v>
      </c>
      <c r="D68" s="119" t="str">
        <f>IF(B68=0,"   ",C68/B68*100)</f>
        <v>   </v>
      </c>
      <c r="E68" s="120">
        <f>C68-B68</f>
        <v>0</v>
      </c>
    </row>
    <row r="69" spans="1:5" ht="31.5" customHeight="1">
      <c r="A69" s="82" t="s">
        <v>196</v>
      </c>
      <c r="B69" s="129">
        <v>0</v>
      </c>
      <c r="C69" s="129"/>
      <c r="D69" s="119" t="str">
        <f>IF(B69=0,"   ",C69/B69*100)</f>
        <v>   </v>
      </c>
      <c r="E69" s="120">
        <f>C69-B69</f>
        <v>0</v>
      </c>
    </row>
    <row r="70" spans="1:5" ht="20.25" customHeight="1" thickBot="1">
      <c r="A70" s="151" t="s">
        <v>13</v>
      </c>
      <c r="B70" s="194">
        <f>SUM(B72,B71)</f>
        <v>905659.1000000001</v>
      </c>
      <c r="C70" s="194">
        <f>SUM(C72,C71)</f>
        <v>860155.6000000001</v>
      </c>
      <c r="D70" s="152">
        <f t="shared" si="0"/>
        <v>94.97564812190372</v>
      </c>
      <c r="E70" s="153">
        <f t="shared" si="1"/>
        <v>-45503.5</v>
      </c>
    </row>
    <row r="71" spans="1:5" ht="15" customHeight="1">
      <c r="A71" s="41" t="s">
        <v>157</v>
      </c>
      <c r="B71" s="25">
        <v>0</v>
      </c>
      <c r="C71" s="25">
        <v>0</v>
      </c>
      <c r="D71" s="131"/>
      <c r="E71" s="132"/>
    </row>
    <row r="72" spans="1:5" ht="15" customHeight="1">
      <c r="A72" s="16" t="s">
        <v>58</v>
      </c>
      <c r="B72" s="25">
        <f>B73+B74+B75+B76</f>
        <v>905659.1000000001</v>
      </c>
      <c r="C72" s="25">
        <f>C73+C74+C75+C76</f>
        <v>860155.6000000001</v>
      </c>
      <c r="D72" s="26">
        <f t="shared" si="0"/>
        <v>94.97564812190372</v>
      </c>
      <c r="E72" s="42">
        <f t="shared" si="1"/>
        <v>-45503.5</v>
      </c>
    </row>
    <row r="73" spans="1:5" ht="15" customHeight="1">
      <c r="A73" s="16" t="s">
        <v>60</v>
      </c>
      <c r="B73" s="25">
        <v>179000</v>
      </c>
      <c r="C73" s="27">
        <v>134324.28</v>
      </c>
      <c r="D73" s="26">
        <f t="shared" si="0"/>
        <v>75.04149720670391</v>
      </c>
      <c r="E73" s="42">
        <f t="shared" si="1"/>
        <v>-44675.72</v>
      </c>
    </row>
    <row r="74" spans="1:5" ht="15" customHeight="1">
      <c r="A74" s="112" t="s">
        <v>59</v>
      </c>
      <c r="B74" s="121">
        <v>102828.9</v>
      </c>
      <c r="C74" s="122">
        <v>102805.4</v>
      </c>
      <c r="D74" s="119">
        <f t="shared" si="0"/>
        <v>99.97714650258828</v>
      </c>
      <c r="E74" s="120">
        <f t="shared" si="1"/>
        <v>-23.5</v>
      </c>
    </row>
    <row r="75" spans="1:5" ht="29.25" customHeight="1">
      <c r="A75" s="112" t="s">
        <v>178</v>
      </c>
      <c r="B75" s="25">
        <v>110000</v>
      </c>
      <c r="C75" s="27">
        <v>109195.72</v>
      </c>
      <c r="D75" s="26">
        <f t="shared" si="0"/>
        <v>99.26883636363637</v>
      </c>
      <c r="E75" s="27">
        <f t="shared" si="1"/>
        <v>-804.2799999999988</v>
      </c>
    </row>
    <row r="76" spans="1:5" ht="21.75" customHeight="1">
      <c r="A76" s="112" t="s">
        <v>231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2" t="s">
        <v>206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2" t="s">
        <v>209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2" t="s">
        <v>210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0" t="s">
        <v>17</v>
      </c>
      <c r="B81" s="229">
        <v>8000</v>
      </c>
      <c r="C81" s="229">
        <v>8000</v>
      </c>
      <c r="D81" s="152">
        <f t="shared" si="0"/>
        <v>100</v>
      </c>
      <c r="E81" s="153">
        <f t="shared" si="1"/>
        <v>0</v>
      </c>
    </row>
    <row r="82" spans="1:5" ht="19.5" customHeight="1" thickBot="1">
      <c r="A82" s="136" t="s">
        <v>41</v>
      </c>
      <c r="B82" s="193">
        <f>B83</f>
        <v>983914.45</v>
      </c>
      <c r="C82" s="193">
        <f>C83</f>
        <v>602500</v>
      </c>
      <c r="D82" s="138">
        <f t="shared" si="0"/>
        <v>61.234998632248974</v>
      </c>
      <c r="E82" s="139">
        <f t="shared" si="1"/>
        <v>-381414.44999999995</v>
      </c>
    </row>
    <row r="83" spans="1:5" ht="12.75">
      <c r="A83" s="124" t="s">
        <v>42</v>
      </c>
      <c r="B83" s="125">
        <f>SUM(B84:B86)</f>
        <v>983914.45</v>
      </c>
      <c r="C83" s="125">
        <f>SUM(C84:C86)</f>
        <v>602500</v>
      </c>
      <c r="D83" s="126">
        <f t="shared" si="0"/>
        <v>61.234998632248974</v>
      </c>
      <c r="E83" s="127">
        <f t="shared" si="1"/>
        <v>-381414.44999999995</v>
      </c>
    </row>
    <row r="84" spans="1:5" ht="12.75">
      <c r="A84" s="178" t="s">
        <v>149</v>
      </c>
      <c r="B84" s="125">
        <v>305500</v>
      </c>
      <c r="C84" s="133">
        <v>305500</v>
      </c>
      <c r="D84" s="126">
        <f t="shared" si="0"/>
        <v>100</v>
      </c>
      <c r="E84" s="127">
        <f t="shared" si="1"/>
        <v>0</v>
      </c>
    </row>
    <row r="85" spans="1:5" ht="12.75">
      <c r="A85" s="16" t="s">
        <v>257</v>
      </c>
      <c r="B85" s="125">
        <v>0</v>
      </c>
      <c r="C85" s="133">
        <v>0</v>
      </c>
      <c r="D85" s="126" t="str">
        <f t="shared" si="0"/>
        <v>   </v>
      </c>
      <c r="E85" s="127">
        <f t="shared" si="1"/>
        <v>0</v>
      </c>
    </row>
    <row r="86" spans="1:5" ht="12.75">
      <c r="A86" s="124" t="s">
        <v>229</v>
      </c>
      <c r="B86" s="125">
        <v>678414.45</v>
      </c>
      <c r="C86" s="133">
        <v>297000</v>
      </c>
      <c r="D86" s="126">
        <f t="shared" si="0"/>
        <v>43.778548643826795</v>
      </c>
      <c r="E86" s="127">
        <f t="shared" si="1"/>
        <v>-381414.44999999995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0</v>
      </c>
      <c r="D87" s="26">
        <f t="shared" si="0"/>
        <v>0</v>
      </c>
      <c r="E87" s="42">
        <f t="shared" si="1"/>
        <v>-10000</v>
      </c>
    </row>
    <row r="88" spans="1:5" ht="14.25" customHeight="1">
      <c r="A88" s="112" t="s">
        <v>43</v>
      </c>
      <c r="B88" s="121">
        <v>10000</v>
      </c>
      <c r="C88" s="123">
        <v>0</v>
      </c>
      <c r="D88" s="119">
        <f t="shared" si="0"/>
        <v>0</v>
      </c>
      <c r="E88" s="120">
        <f t="shared" si="1"/>
        <v>-10000</v>
      </c>
    </row>
    <row r="89" spans="1:5" ht="22.5" customHeight="1">
      <c r="A89" s="182" t="s">
        <v>15</v>
      </c>
      <c r="B89" s="158">
        <f>SUM(B46,B54,B56,B58,B70,B81,B82,B87,)</f>
        <v>4291959.1</v>
      </c>
      <c r="C89" s="158">
        <f>SUM(C46,C54,C56,C58,C70,C81,C82,C87,)</f>
        <v>3549940.29</v>
      </c>
      <c r="D89" s="148">
        <f>IF(B89=0,"   ",C89/B89*100)</f>
        <v>82.7114193609161</v>
      </c>
      <c r="E89" s="149">
        <f t="shared" si="1"/>
        <v>-742018.8099999996</v>
      </c>
    </row>
    <row r="90" spans="1:5" ht="18.75" customHeight="1">
      <c r="A90" s="87" t="s">
        <v>256</v>
      </c>
      <c r="B90" s="87"/>
      <c r="C90" s="292"/>
      <c r="D90" s="292"/>
      <c r="E90" s="292"/>
    </row>
    <row r="91" spans="1:5" ht="18" customHeight="1">
      <c r="A91" s="87" t="s">
        <v>163</v>
      </c>
      <c r="B91" s="87"/>
      <c r="C91" s="88" t="s">
        <v>302</v>
      </c>
      <c r="D91" s="89"/>
      <c r="E91" s="90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2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58">
      <selection activeCell="B31" sqref="B31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294" t="s">
        <v>307</v>
      </c>
      <c r="B1" s="294"/>
      <c r="C1" s="294"/>
      <c r="D1" s="294"/>
      <c r="E1" s="294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270</v>
      </c>
      <c r="C4" s="32" t="s">
        <v>308</v>
      </c>
      <c r="D4" s="19" t="s">
        <v>271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0">
        <f>SUM(B8)</f>
        <v>49700</v>
      </c>
      <c r="C7" s="251">
        <f>SUM(C8)</f>
        <v>40112.62</v>
      </c>
      <c r="D7" s="26">
        <f aca="true" t="shared" si="0" ref="D7:D80">IF(B7=0,"   ",C7/B7*100)</f>
        <v>80.70949698189135</v>
      </c>
      <c r="E7" s="42">
        <f aca="true" t="shared" si="1" ref="E7:E81">C7-B7</f>
        <v>-9587.379999999997</v>
      </c>
    </row>
    <row r="8" spans="1:5" ht="12.75" customHeight="1">
      <c r="A8" s="16" t="s">
        <v>44</v>
      </c>
      <c r="B8" s="252">
        <v>49700</v>
      </c>
      <c r="C8" s="272">
        <v>40112.62</v>
      </c>
      <c r="D8" s="26">
        <f t="shared" si="0"/>
        <v>80.70949698189135</v>
      </c>
      <c r="E8" s="42">
        <f t="shared" si="1"/>
        <v>-9587.379999999997</v>
      </c>
    </row>
    <row r="9" spans="1:5" ht="12.75" customHeight="1">
      <c r="A9" s="71" t="s">
        <v>142</v>
      </c>
      <c r="B9" s="250">
        <f>SUM(B10)</f>
        <v>647500</v>
      </c>
      <c r="C9" s="253">
        <f>SUM(C10)</f>
        <v>699654.94</v>
      </c>
      <c r="D9" s="26">
        <f t="shared" si="0"/>
        <v>108.05481698841699</v>
      </c>
      <c r="E9" s="42">
        <f t="shared" si="1"/>
        <v>52154.939999999944</v>
      </c>
    </row>
    <row r="10" spans="1:5" ht="12.75" customHeight="1">
      <c r="A10" s="41" t="s">
        <v>143</v>
      </c>
      <c r="B10" s="252">
        <v>647500</v>
      </c>
      <c r="C10" s="272">
        <v>699654.94</v>
      </c>
      <c r="D10" s="26">
        <f t="shared" si="0"/>
        <v>108.05481698841699</v>
      </c>
      <c r="E10" s="42">
        <f t="shared" si="1"/>
        <v>52154.939999999944</v>
      </c>
    </row>
    <row r="11" spans="1:5" ht="16.5" customHeight="1">
      <c r="A11" s="16" t="s">
        <v>7</v>
      </c>
      <c r="B11" s="252">
        <f>SUM(B12:B12)</f>
        <v>9800</v>
      </c>
      <c r="C11" s="254">
        <f>SUM(C12:C12)</f>
        <v>15142.43</v>
      </c>
      <c r="D11" s="26">
        <f t="shared" si="0"/>
        <v>154.5145918367347</v>
      </c>
      <c r="E11" s="42">
        <f t="shared" si="1"/>
        <v>5342.43</v>
      </c>
    </row>
    <row r="12" spans="1:5" ht="16.5" customHeight="1">
      <c r="A12" s="16" t="s">
        <v>26</v>
      </c>
      <c r="B12" s="252">
        <v>9800</v>
      </c>
      <c r="C12" s="272">
        <v>15142.43</v>
      </c>
      <c r="D12" s="26">
        <f t="shared" si="0"/>
        <v>154.5145918367347</v>
      </c>
      <c r="E12" s="42">
        <f t="shared" si="1"/>
        <v>5342.43</v>
      </c>
    </row>
    <row r="13" spans="1:5" ht="15.75" customHeight="1">
      <c r="A13" s="16" t="s">
        <v>9</v>
      </c>
      <c r="B13" s="252">
        <f>SUM(B14:B15)</f>
        <v>506000</v>
      </c>
      <c r="C13" s="254">
        <f>SUM(C14:C15)</f>
        <v>480806.48</v>
      </c>
      <c r="D13" s="26">
        <f t="shared" si="0"/>
        <v>95.02104347826086</v>
      </c>
      <c r="E13" s="42">
        <f t="shared" si="1"/>
        <v>-25193.52000000002</v>
      </c>
    </row>
    <row r="14" spans="1:5" ht="15.75" customHeight="1">
      <c r="A14" s="16" t="s">
        <v>27</v>
      </c>
      <c r="B14" s="252">
        <v>196000</v>
      </c>
      <c r="C14" s="272">
        <v>222610.63</v>
      </c>
      <c r="D14" s="26">
        <f t="shared" si="0"/>
        <v>113.57685204081633</v>
      </c>
      <c r="E14" s="42">
        <f t="shared" si="1"/>
        <v>26610.630000000005</v>
      </c>
    </row>
    <row r="15" spans="1:5" ht="14.25" customHeight="1">
      <c r="A15" s="41" t="s">
        <v>171</v>
      </c>
      <c r="B15" s="237">
        <f>SUM(B16:B17)</f>
        <v>310000</v>
      </c>
      <c r="C15" s="254">
        <f>SUM(C16:C17)</f>
        <v>258195.85</v>
      </c>
      <c r="D15" s="26">
        <f t="shared" si="0"/>
        <v>83.28898387096774</v>
      </c>
      <c r="E15" s="42">
        <f t="shared" si="1"/>
        <v>-51804.149999999994</v>
      </c>
    </row>
    <row r="16" spans="1:5" ht="14.25" customHeight="1">
      <c r="A16" s="41" t="s">
        <v>172</v>
      </c>
      <c r="B16" s="237">
        <v>58000</v>
      </c>
      <c r="C16" s="272">
        <v>46112.57</v>
      </c>
      <c r="D16" s="26">
        <f t="shared" si="0"/>
        <v>79.50443103448276</v>
      </c>
      <c r="E16" s="42">
        <f t="shared" si="1"/>
        <v>-11887.43</v>
      </c>
    </row>
    <row r="17" spans="1:5" ht="14.25" customHeight="1">
      <c r="A17" s="41" t="s">
        <v>173</v>
      </c>
      <c r="B17" s="237">
        <v>252000</v>
      </c>
      <c r="C17" s="272">
        <v>212083.28</v>
      </c>
      <c r="D17" s="26">
        <f t="shared" si="0"/>
        <v>84.16003174603175</v>
      </c>
      <c r="E17" s="42">
        <f t="shared" si="1"/>
        <v>-39916.72</v>
      </c>
    </row>
    <row r="18" spans="1:5" ht="14.25" customHeight="1">
      <c r="A18" s="41" t="s">
        <v>219</v>
      </c>
      <c r="B18" s="237">
        <v>0</v>
      </c>
      <c r="C18" s="272">
        <v>3960</v>
      </c>
      <c r="D18" s="26" t="str">
        <f t="shared" si="0"/>
        <v>   </v>
      </c>
      <c r="E18" s="42">
        <f t="shared" si="1"/>
        <v>3960</v>
      </c>
    </row>
    <row r="19" spans="1:5" ht="15" customHeight="1">
      <c r="A19" s="16" t="s">
        <v>88</v>
      </c>
      <c r="B19" s="252">
        <v>0</v>
      </c>
      <c r="C19" s="254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2">
        <f>SUM(B21:B22)</f>
        <v>175900</v>
      </c>
      <c r="C20" s="254">
        <f>SUM(C21:C22)</f>
        <v>91322.33</v>
      </c>
      <c r="D20" s="26">
        <f t="shared" si="0"/>
        <v>51.91718590108017</v>
      </c>
      <c r="E20" s="42">
        <f t="shared" si="1"/>
        <v>-84577.67</v>
      </c>
    </row>
    <row r="21" spans="1:5" ht="13.5" customHeight="1">
      <c r="A21" s="41" t="s">
        <v>161</v>
      </c>
      <c r="B21" s="252">
        <v>55900</v>
      </c>
      <c r="C21" s="272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2">
        <v>120000</v>
      </c>
      <c r="C22" s="272">
        <v>91322.33</v>
      </c>
      <c r="D22" s="26">
        <f t="shared" si="0"/>
        <v>76.10194166666668</v>
      </c>
      <c r="E22" s="42">
        <f t="shared" si="1"/>
        <v>-28677.67</v>
      </c>
    </row>
    <row r="23" spans="1:5" ht="17.25" customHeight="1">
      <c r="A23" s="39" t="s">
        <v>92</v>
      </c>
      <c r="B23" s="252">
        <v>0</v>
      </c>
      <c r="C23" s="272">
        <v>17717.7</v>
      </c>
      <c r="D23" s="26" t="str">
        <f t="shared" si="0"/>
        <v>   </v>
      </c>
      <c r="E23" s="42">
        <f t="shared" si="1"/>
        <v>17717.7</v>
      </c>
    </row>
    <row r="24" spans="1:5" ht="18.75" customHeight="1">
      <c r="A24" s="16" t="s">
        <v>78</v>
      </c>
      <c r="B24" s="252">
        <f>SUM(B25)</f>
        <v>0</v>
      </c>
      <c r="C24" s="254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221</v>
      </c>
      <c r="B25" s="252">
        <v>0</v>
      </c>
      <c r="C25" s="274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2">
        <f>B27+B28</f>
        <v>0</v>
      </c>
      <c r="C26" s="254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2">
        <v>0</v>
      </c>
      <c r="C28" s="255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2" t="s">
        <v>10</v>
      </c>
      <c r="B30" s="246">
        <f>SUM(B7,B9,B11,B13,B20,B23,B24,B26,B29,B18)</f>
        <v>1388900</v>
      </c>
      <c r="C30" s="246">
        <f>SUM(C7,C9,C11,C13,C20,C23,C24,C26,C29,C18)</f>
        <v>1348716.5</v>
      </c>
      <c r="D30" s="148">
        <f t="shared" si="0"/>
        <v>97.10681114551085</v>
      </c>
      <c r="E30" s="149">
        <f t="shared" si="1"/>
        <v>-40183.5</v>
      </c>
    </row>
    <row r="31" spans="1:5" ht="21" customHeight="1">
      <c r="A31" s="201" t="s">
        <v>145</v>
      </c>
      <c r="B31" s="257">
        <f>SUM(B32:B35,B38:B41,B44)</f>
        <v>3046095.12</v>
      </c>
      <c r="C31" s="257">
        <f>SUM(C32:C35,C38:C41,C44)</f>
        <v>2711685.15</v>
      </c>
      <c r="D31" s="148">
        <f t="shared" si="0"/>
        <v>89.02168327560302</v>
      </c>
      <c r="E31" s="149">
        <f t="shared" si="1"/>
        <v>-334409.9700000002</v>
      </c>
    </row>
    <row r="32" spans="1:5" ht="18" customHeight="1">
      <c r="A32" s="17" t="s">
        <v>34</v>
      </c>
      <c r="B32" s="250">
        <v>977800</v>
      </c>
      <c r="C32" s="275">
        <v>923000</v>
      </c>
      <c r="D32" s="26">
        <f t="shared" si="0"/>
        <v>94.39558191859277</v>
      </c>
      <c r="E32" s="42">
        <f t="shared" si="1"/>
        <v>-54800</v>
      </c>
    </row>
    <row r="33" spans="1:5" ht="18" customHeight="1">
      <c r="A33" s="17" t="s">
        <v>263</v>
      </c>
      <c r="B33" s="250">
        <v>0</v>
      </c>
      <c r="C33" s="275">
        <v>0</v>
      </c>
      <c r="D33" s="143" t="str">
        <f>IF(B33=0,"   ",C33/B33*100)</f>
        <v>   </v>
      </c>
      <c r="E33" s="144">
        <f>C33-B33</f>
        <v>0</v>
      </c>
    </row>
    <row r="34" spans="1:5" ht="28.5" customHeight="1">
      <c r="A34" s="141" t="s">
        <v>51</v>
      </c>
      <c r="B34" s="142">
        <v>90000</v>
      </c>
      <c r="C34" s="277">
        <v>87644</v>
      </c>
      <c r="D34" s="143">
        <f t="shared" si="0"/>
        <v>97.38222222222223</v>
      </c>
      <c r="E34" s="144">
        <f t="shared" si="1"/>
        <v>-2356</v>
      </c>
    </row>
    <row r="35" spans="1:5" ht="30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258">
        <v>200</v>
      </c>
      <c r="C36" s="264">
        <v>200</v>
      </c>
      <c r="D36" s="143">
        <f>IF(B36=0,"   ",C36/B36*100)</f>
        <v>100</v>
      </c>
      <c r="E36" s="144">
        <f>C36-B36</f>
        <v>0</v>
      </c>
    </row>
    <row r="37" spans="1:5" ht="30.75" customHeight="1">
      <c r="A37" s="116" t="s">
        <v>175</v>
      </c>
      <c r="B37" s="142">
        <v>0</v>
      </c>
      <c r="C37" s="145">
        <v>0</v>
      </c>
      <c r="D37" s="143" t="str">
        <f>IF(B37=0,"   ",C37/B37*100)</f>
        <v>   </v>
      </c>
      <c r="E37" s="144">
        <f>C37-B37</f>
        <v>0</v>
      </c>
    </row>
    <row r="38" spans="1:5" ht="25.5" customHeight="1">
      <c r="A38" s="16" t="s">
        <v>104</v>
      </c>
      <c r="B38" s="258">
        <v>0</v>
      </c>
      <c r="C38" s="258">
        <v>0</v>
      </c>
      <c r="D38" s="143" t="str">
        <f>IF(B38=0,"   ",C38/B38*100)</f>
        <v>   </v>
      </c>
      <c r="E38" s="144">
        <f>C38-B38</f>
        <v>0</v>
      </c>
    </row>
    <row r="39" spans="1:5" ht="25.5" customHeight="1">
      <c r="A39" s="16" t="s">
        <v>181</v>
      </c>
      <c r="B39" s="258">
        <v>50000</v>
      </c>
      <c r="C39" s="258">
        <v>0</v>
      </c>
      <c r="D39" s="143">
        <f>IF(B39=0,"   ",C39/B39*100)</f>
        <v>0</v>
      </c>
      <c r="E39" s="144">
        <f>C39-B39</f>
        <v>-50000</v>
      </c>
    </row>
    <row r="40" spans="1:5" ht="51" customHeight="1">
      <c r="A40" s="16" t="s">
        <v>282</v>
      </c>
      <c r="B40" s="142">
        <v>1705500</v>
      </c>
      <c r="C40" s="142">
        <v>1478246</v>
      </c>
      <c r="D40" s="143">
        <f>IF(B40=0,"   ",C40/B40*100)</f>
        <v>86.67522720609792</v>
      </c>
      <c r="E40" s="144">
        <f>C40-B40</f>
        <v>-227254</v>
      </c>
    </row>
    <row r="41" spans="1:5" ht="15" customHeight="1">
      <c r="A41" s="16" t="s">
        <v>81</v>
      </c>
      <c r="B41" s="252">
        <f>B43+B42</f>
        <v>190794.5</v>
      </c>
      <c r="C41" s="252">
        <f>C43+C42</f>
        <v>190794.5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252">
        <v>190794.5</v>
      </c>
      <c r="C42" s="252">
        <v>190794.5</v>
      </c>
      <c r="D42" s="26">
        <f t="shared" si="0"/>
        <v>100</v>
      </c>
      <c r="E42" s="42">
        <f t="shared" si="1"/>
        <v>0</v>
      </c>
    </row>
    <row r="43" spans="1:5" s="7" customFormat="1" ht="15" customHeight="1">
      <c r="A43" s="53" t="s">
        <v>110</v>
      </c>
      <c r="B43" s="260">
        <v>0</v>
      </c>
      <c r="C43" s="260">
        <v>0</v>
      </c>
      <c r="D43" s="143" t="str">
        <f>IF(B43=0,"   ",C43/B43*100)</f>
        <v>   </v>
      </c>
      <c r="E43" s="144">
        <f>C43-B43</f>
        <v>0</v>
      </c>
    </row>
    <row r="44" spans="1:5" s="7" customFormat="1" ht="15" customHeight="1">
      <c r="A44" s="16" t="s">
        <v>222</v>
      </c>
      <c r="B44" s="260">
        <v>31800.62</v>
      </c>
      <c r="C44" s="260">
        <v>31800.65</v>
      </c>
      <c r="D44" s="54">
        <f t="shared" si="0"/>
        <v>100.00009433778337</v>
      </c>
      <c r="E44" s="40">
        <f t="shared" si="1"/>
        <v>0.030000000002473826</v>
      </c>
    </row>
    <row r="45" spans="1:5" ht="21" customHeight="1">
      <c r="A45" s="182" t="s">
        <v>11</v>
      </c>
      <c r="B45" s="246">
        <f>SUM(B30:B31,)</f>
        <v>4434995.12</v>
      </c>
      <c r="C45" s="246">
        <f>SUM(C30:C31,)</f>
        <v>4060401.65</v>
      </c>
      <c r="D45" s="26">
        <f t="shared" si="0"/>
        <v>91.55368924058703</v>
      </c>
      <c r="E45" s="42">
        <f t="shared" si="1"/>
        <v>-374593.4700000002</v>
      </c>
    </row>
    <row r="46" spans="1:5" ht="12.7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1275300</v>
      </c>
      <c r="C47" s="25">
        <f>SUM(C48,C50,C51)</f>
        <v>958363.07</v>
      </c>
      <c r="D47" s="26">
        <f t="shared" si="0"/>
        <v>75.14804908648945</v>
      </c>
      <c r="E47" s="42">
        <f t="shared" si="1"/>
        <v>-316936.93000000005</v>
      </c>
    </row>
    <row r="48" spans="1:5" ht="15" customHeight="1">
      <c r="A48" s="16" t="s">
        <v>36</v>
      </c>
      <c r="B48" s="25">
        <v>1168250.87</v>
      </c>
      <c r="C48" s="25">
        <v>851313.94</v>
      </c>
      <c r="D48" s="26">
        <f t="shared" si="0"/>
        <v>72.87081583769759</v>
      </c>
      <c r="E48" s="42">
        <f t="shared" si="1"/>
        <v>-316936.93000000017</v>
      </c>
    </row>
    <row r="49" spans="1:5" ht="15" customHeight="1">
      <c r="A49" s="92" t="s">
        <v>122</v>
      </c>
      <c r="B49" s="25">
        <v>766041</v>
      </c>
      <c r="C49" s="28">
        <v>573946</v>
      </c>
      <c r="D49" s="26">
        <f t="shared" si="0"/>
        <v>74.92366596565981</v>
      </c>
      <c r="E49" s="42">
        <f t="shared" si="1"/>
        <v>-192095</v>
      </c>
    </row>
    <row r="50" spans="1:5" ht="12.75" customHeight="1">
      <c r="A50" s="16" t="s">
        <v>96</v>
      </c>
      <c r="B50" s="25">
        <v>0</v>
      </c>
      <c r="C50" s="27">
        <v>0</v>
      </c>
      <c r="D50" s="26" t="str">
        <f t="shared" si="0"/>
        <v>   </v>
      </c>
      <c r="E50" s="42">
        <f t="shared" si="1"/>
        <v>0</v>
      </c>
    </row>
    <row r="51" spans="1:5" ht="12.75" customHeight="1">
      <c r="A51" s="41" t="s">
        <v>52</v>
      </c>
      <c r="B51" s="27">
        <f>SUM(B53+B52)</f>
        <v>107049.13</v>
      </c>
      <c r="C51" s="27">
        <f>SUM(C53+C52)</f>
        <v>107049.13</v>
      </c>
      <c r="D51" s="26">
        <f t="shared" si="0"/>
        <v>100</v>
      </c>
      <c r="E51" s="42">
        <f t="shared" si="1"/>
        <v>0</v>
      </c>
    </row>
    <row r="52" spans="1:5" ht="18.75" customHeight="1">
      <c r="A52" s="112" t="s">
        <v>280</v>
      </c>
      <c r="B52" s="27">
        <v>17300</v>
      </c>
      <c r="C52" s="27">
        <v>17300</v>
      </c>
      <c r="D52" s="26">
        <f>IF(B52=0,"   ",C52/B52*100)</f>
        <v>100</v>
      </c>
      <c r="E52" s="42">
        <f>C52-B52</f>
        <v>0</v>
      </c>
    </row>
    <row r="53" spans="1:5" ht="23.25" customHeight="1">
      <c r="A53" s="112" t="s">
        <v>164</v>
      </c>
      <c r="B53" s="25">
        <v>89749.13</v>
      </c>
      <c r="C53" s="27">
        <v>89749.13</v>
      </c>
      <c r="D53" s="26">
        <f t="shared" si="0"/>
        <v>100</v>
      </c>
      <c r="E53" s="42">
        <f t="shared" si="1"/>
        <v>0</v>
      </c>
    </row>
    <row r="54" spans="1:5" ht="21.75" customHeight="1">
      <c r="A54" s="16" t="s">
        <v>49</v>
      </c>
      <c r="B54" s="27">
        <f>SUM(B55)</f>
        <v>90000</v>
      </c>
      <c r="C54" s="27">
        <f>SUM(C55)</f>
        <v>83468.82</v>
      </c>
      <c r="D54" s="26">
        <f t="shared" si="0"/>
        <v>92.74313333333333</v>
      </c>
      <c r="E54" s="42">
        <f t="shared" si="1"/>
        <v>-6531.179999999993</v>
      </c>
    </row>
    <row r="55" spans="1:5" ht="13.5" customHeight="1">
      <c r="A55" s="39" t="s">
        <v>108</v>
      </c>
      <c r="B55" s="25">
        <v>90000</v>
      </c>
      <c r="C55" s="27">
        <v>83468.82</v>
      </c>
      <c r="D55" s="26">
        <f t="shared" si="0"/>
        <v>92.74313333333333</v>
      </c>
      <c r="E55" s="42">
        <f t="shared" si="1"/>
        <v>-6531.179999999993</v>
      </c>
    </row>
    <row r="56" spans="1:5" ht="16.5" customHeight="1">
      <c r="A56" s="16" t="s">
        <v>37</v>
      </c>
      <c r="B56" s="25">
        <f>SUM(B57)</f>
        <v>400</v>
      </c>
      <c r="C56" s="27">
        <f>SUM(C57)</f>
        <v>400</v>
      </c>
      <c r="D56" s="26">
        <f t="shared" si="0"/>
        <v>100</v>
      </c>
      <c r="E56" s="42">
        <f t="shared" si="1"/>
        <v>0</v>
      </c>
    </row>
    <row r="57" spans="1:5" ht="15" customHeight="1">
      <c r="A57" s="82" t="s">
        <v>130</v>
      </c>
      <c r="B57" s="25">
        <v>400</v>
      </c>
      <c r="C57" s="27">
        <v>400</v>
      </c>
      <c r="D57" s="26">
        <f t="shared" si="0"/>
        <v>100</v>
      </c>
      <c r="E57" s="42">
        <f t="shared" si="1"/>
        <v>0</v>
      </c>
    </row>
    <row r="58" spans="1:5" ht="18.75" customHeight="1">
      <c r="A58" s="16" t="s">
        <v>38</v>
      </c>
      <c r="B58" s="25">
        <f>SUM(B62,B59)</f>
        <v>2353000</v>
      </c>
      <c r="C58" s="25">
        <f>SUM(C62,)</f>
        <v>2110546</v>
      </c>
      <c r="D58" s="26">
        <f t="shared" si="0"/>
        <v>89.69596260093498</v>
      </c>
      <c r="E58" s="42">
        <f t="shared" si="1"/>
        <v>-242454</v>
      </c>
    </row>
    <row r="59" spans="1:5" ht="18.75" customHeight="1">
      <c r="A59" s="82" t="s">
        <v>176</v>
      </c>
      <c r="B59" s="25">
        <f>SUM(B60+B61)</f>
        <v>0</v>
      </c>
      <c r="C59" s="25">
        <f>SUM(C60+C61)</f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5" customHeight="1">
      <c r="A61" s="82" t="s">
        <v>208</v>
      </c>
      <c r="B61" s="25">
        <v>0</v>
      </c>
      <c r="C61" s="25">
        <v>0</v>
      </c>
      <c r="D61" s="26" t="str">
        <f>IF(B61=0,"   ",C61/B61*100)</f>
        <v>   </v>
      </c>
      <c r="E61" s="42">
        <f>C61-B61</f>
        <v>0</v>
      </c>
    </row>
    <row r="62" spans="1:5" ht="13.5" customHeight="1">
      <c r="A62" s="16" t="s">
        <v>39</v>
      </c>
      <c r="B62" s="25">
        <f>B63+B64+B65</f>
        <v>2353000</v>
      </c>
      <c r="C62" s="25">
        <f>C63+C64+C65</f>
        <v>2110546</v>
      </c>
      <c r="D62" s="26">
        <f t="shared" si="0"/>
        <v>89.69596260093498</v>
      </c>
      <c r="E62" s="42">
        <f t="shared" si="1"/>
        <v>-242454</v>
      </c>
    </row>
    <row r="63" spans="1:5" ht="17.25" customHeight="1">
      <c r="A63" s="82" t="s">
        <v>156</v>
      </c>
      <c r="B63" s="25">
        <v>0</v>
      </c>
      <c r="C63" s="25">
        <v>0</v>
      </c>
      <c r="D63" s="26" t="str">
        <f t="shared" si="0"/>
        <v>   </v>
      </c>
      <c r="E63" s="42">
        <f t="shared" si="1"/>
        <v>0</v>
      </c>
    </row>
    <row r="64" spans="1:5" ht="24" customHeight="1">
      <c r="A64" s="78" t="s">
        <v>135</v>
      </c>
      <c r="B64" s="25">
        <v>1705500</v>
      </c>
      <c r="C64" s="25">
        <v>1478246</v>
      </c>
      <c r="D64" s="26">
        <f t="shared" si="0"/>
        <v>86.67522720609792</v>
      </c>
      <c r="E64" s="42">
        <f t="shared" si="1"/>
        <v>-227254</v>
      </c>
    </row>
    <row r="65" spans="1:5" ht="26.25" customHeight="1">
      <c r="A65" s="78" t="s">
        <v>136</v>
      </c>
      <c r="B65" s="25">
        <v>647500</v>
      </c>
      <c r="C65" s="25">
        <v>632300</v>
      </c>
      <c r="D65" s="26">
        <f t="shared" si="0"/>
        <v>97.65250965250965</v>
      </c>
      <c r="E65" s="42">
        <f t="shared" si="1"/>
        <v>-15200</v>
      </c>
    </row>
    <row r="66" spans="1:5" ht="20.25" customHeight="1">
      <c r="A66" s="16" t="s">
        <v>13</v>
      </c>
      <c r="B66" s="25">
        <f>B68+B67</f>
        <v>466449.82</v>
      </c>
      <c r="C66" s="25">
        <f>C68+C67</f>
        <v>407749.12</v>
      </c>
      <c r="D66" s="26">
        <f t="shared" si="0"/>
        <v>87.41543088171842</v>
      </c>
      <c r="E66" s="42">
        <f t="shared" si="1"/>
        <v>-58700.70000000001</v>
      </c>
    </row>
    <row r="67" spans="1:5" ht="20.25" customHeight="1">
      <c r="A67" s="41" t="s">
        <v>157</v>
      </c>
      <c r="B67" s="25">
        <v>0</v>
      </c>
      <c r="C67" s="25">
        <v>0</v>
      </c>
      <c r="D67" s="26" t="str">
        <f t="shared" si="0"/>
        <v>   </v>
      </c>
      <c r="E67" s="42">
        <f t="shared" si="1"/>
        <v>0</v>
      </c>
    </row>
    <row r="68" spans="1:5" ht="12.75" customHeight="1">
      <c r="A68" s="16" t="s">
        <v>100</v>
      </c>
      <c r="B68" s="25">
        <f>B69+B70+B75+B71</f>
        <v>466449.82</v>
      </c>
      <c r="C68" s="25">
        <f>C69+C70+C75+C71</f>
        <v>407749.12</v>
      </c>
      <c r="D68" s="26">
        <f t="shared" si="0"/>
        <v>87.41543088171842</v>
      </c>
      <c r="E68" s="42">
        <f t="shared" si="1"/>
        <v>-58700.70000000001</v>
      </c>
    </row>
    <row r="69" spans="1:5" ht="12.75" customHeight="1">
      <c r="A69" s="16" t="s">
        <v>101</v>
      </c>
      <c r="B69" s="25">
        <v>148452.82</v>
      </c>
      <c r="C69" s="25">
        <v>89752.12</v>
      </c>
      <c r="D69" s="26">
        <f t="shared" si="0"/>
        <v>60.45834629480261</v>
      </c>
      <c r="E69" s="42">
        <f t="shared" si="1"/>
        <v>-58700.70000000001</v>
      </c>
    </row>
    <row r="70" spans="1:5" ht="12.75" customHeight="1">
      <c r="A70" s="16" t="s">
        <v>61</v>
      </c>
      <c r="B70" s="25">
        <v>0</v>
      </c>
      <c r="C70" s="27">
        <v>0</v>
      </c>
      <c r="D70" s="26">
        <v>0</v>
      </c>
      <c r="E70" s="42">
        <f t="shared" si="1"/>
        <v>0</v>
      </c>
    </row>
    <row r="71" spans="1:5" ht="12.75" customHeight="1">
      <c r="A71" s="112" t="s">
        <v>233</v>
      </c>
      <c r="B71" s="25">
        <f>SUM(B72:B74)</f>
        <v>317997</v>
      </c>
      <c r="C71" s="25">
        <f>SUM(C72:C74)</f>
        <v>317997</v>
      </c>
      <c r="D71" s="26">
        <v>0</v>
      </c>
      <c r="E71" s="42">
        <f>C71-B71</f>
        <v>0</v>
      </c>
    </row>
    <row r="72" spans="1:5" ht="29.25" customHeight="1">
      <c r="A72" s="112" t="s">
        <v>234</v>
      </c>
      <c r="B72" s="25">
        <v>190794.5</v>
      </c>
      <c r="C72" s="27">
        <v>190794.5</v>
      </c>
      <c r="D72" s="26">
        <f t="shared" si="0"/>
        <v>100</v>
      </c>
      <c r="E72" s="27">
        <f t="shared" si="1"/>
        <v>0</v>
      </c>
    </row>
    <row r="73" spans="1:5" ht="25.5" customHeight="1">
      <c r="A73" s="112" t="s">
        <v>235</v>
      </c>
      <c r="B73" s="25">
        <v>95401.88</v>
      </c>
      <c r="C73" s="27">
        <v>95401.88</v>
      </c>
      <c r="D73" s="26">
        <f t="shared" si="0"/>
        <v>100</v>
      </c>
      <c r="E73" s="27">
        <f t="shared" si="1"/>
        <v>0</v>
      </c>
    </row>
    <row r="74" spans="1:5" ht="23.25" customHeight="1">
      <c r="A74" s="112" t="s">
        <v>236</v>
      </c>
      <c r="B74" s="25">
        <v>31800.62</v>
      </c>
      <c r="C74" s="27">
        <v>31800.62</v>
      </c>
      <c r="D74" s="26">
        <f t="shared" si="0"/>
        <v>100</v>
      </c>
      <c r="E74" s="27">
        <f t="shared" si="1"/>
        <v>0</v>
      </c>
    </row>
    <row r="75" spans="1:5" ht="29.25" customHeight="1">
      <c r="A75" s="112" t="s">
        <v>178</v>
      </c>
      <c r="B75" s="129">
        <v>0</v>
      </c>
      <c r="C75" s="130">
        <v>0</v>
      </c>
      <c r="D75" s="26" t="str">
        <f t="shared" si="0"/>
        <v>   </v>
      </c>
      <c r="E75" s="132">
        <f t="shared" si="1"/>
        <v>0</v>
      </c>
    </row>
    <row r="76" spans="1:5" ht="20.25" customHeight="1">
      <c r="A76" s="35" t="s">
        <v>17</v>
      </c>
      <c r="B76" s="31">
        <v>8000</v>
      </c>
      <c r="C76" s="31">
        <v>8000</v>
      </c>
      <c r="D76" s="26">
        <f t="shared" si="0"/>
        <v>100</v>
      </c>
      <c r="E76" s="42">
        <f t="shared" si="1"/>
        <v>0</v>
      </c>
    </row>
    <row r="77" spans="1:5" ht="18" customHeight="1">
      <c r="A77" s="16" t="s">
        <v>41</v>
      </c>
      <c r="B77" s="24">
        <f>B78</f>
        <v>478000</v>
      </c>
      <c r="C77" s="24">
        <f>C78</f>
        <v>478000</v>
      </c>
      <c r="D77" s="26">
        <f t="shared" si="0"/>
        <v>100</v>
      </c>
      <c r="E77" s="42">
        <f t="shared" si="1"/>
        <v>0</v>
      </c>
    </row>
    <row r="78" spans="1:5" ht="12.75" customHeight="1">
      <c r="A78" s="16" t="s">
        <v>42</v>
      </c>
      <c r="B78" s="25">
        <v>478000</v>
      </c>
      <c r="C78" s="27">
        <v>478000</v>
      </c>
      <c r="D78" s="26">
        <f t="shared" si="0"/>
        <v>100</v>
      </c>
      <c r="E78" s="42">
        <f t="shared" si="1"/>
        <v>0</v>
      </c>
    </row>
    <row r="79" spans="1:5" ht="16.5" customHeight="1">
      <c r="A79" s="16" t="s">
        <v>125</v>
      </c>
      <c r="B79" s="25">
        <f>SUM(B80,)</f>
        <v>12000</v>
      </c>
      <c r="C79" s="25">
        <f>SUM(C80,)</f>
        <v>0</v>
      </c>
      <c r="D79" s="26">
        <f t="shared" si="0"/>
        <v>0</v>
      </c>
      <c r="E79" s="42">
        <f t="shared" si="1"/>
        <v>-12000</v>
      </c>
    </row>
    <row r="80" spans="1:5" ht="13.5" customHeight="1">
      <c r="A80" s="16" t="s">
        <v>43</v>
      </c>
      <c r="B80" s="25">
        <v>12000</v>
      </c>
      <c r="C80" s="28">
        <v>0</v>
      </c>
      <c r="D80" s="26">
        <f t="shared" si="0"/>
        <v>0</v>
      </c>
      <c r="E80" s="42">
        <f t="shared" si="1"/>
        <v>-12000</v>
      </c>
    </row>
    <row r="81" spans="1:5" ht="22.5" customHeight="1">
      <c r="A81" s="182" t="s">
        <v>15</v>
      </c>
      <c r="B81" s="158">
        <f>SUM(B47,B54,B56,B58,B66,B76,B77,B79,)</f>
        <v>4683149.82</v>
      </c>
      <c r="C81" s="158">
        <f>SUM(C47,C54,C56,C58,C66,C76,C77,C79,)</f>
        <v>4046527.01</v>
      </c>
      <c r="D81" s="148">
        <f>IF(B81=0,"   ",C81/B81*100)</f>
        <v>86.40609772334807</v>
      </c>
      <c r="E81" s="149">
        <f t="shared" si="1"/>
        <v>-636622.8100000005</v>
      </c>
    </row>
    <row r="82" spans="1:5" s="66" customFormat="1" ht="23.25" customHeight="1">
      <c r="A82" s="87" t="s">
        <v>256</v>
      </c>
      <c r="B82" s="87"/>
      <c r="C82" s="292"/>
      <c r="D82" s="292"/>
      <c r="E82" s="292"/>
    </row>
    <row r="83" spans="1:5" s="66" customFormat="1" ht="18" customHeight="1">
      <c r="A83" s="87" t="s">
        <v>163</v>
      </c>
      <c r="B83" s="87"/>
      <c r="C83" s="295" t="s">
        <v>302</v>
      </c>
      <c r="D83" s="295"/>
      <c r="E83" s="90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</sheetData>
  <sheetProtection/>
  <mergeCells count="3">
    <mergeCell ref="A1:E1"/>
    <mergeCell ref="C82:E82"/>
    <mergeCell ref="C83:D83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70">
      <selection activeCell="C30" sqref="C30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294" t="s">
        <v>309</v>
      </c>
      <c r="B1" s="294"/>
      <c r="C1" s="294"/>
      <c r="D1" s="294"/>
      <c r="E1" s="294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270</v>
      </c>
      <c r="C4" s="32" t="s">
        <v>310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9" t="s">
        <v>45</v>
      </c>
      <c r="B7" s="156">
        <f>SUM(B8)</f>
        <v>47000</v>
      </c>
      <c r="C7" s="156">
        <f>SUM(C8)</f>
        <v>47193.38</v>
      </c>
      <c r="D7" s="146">
        <f aca="true" t="shared" si="0" ref="D7:D85">IF(B7=0,"   ",C7/B7*100)</f>
        <v>100.41144680851065</v>
      </c>
      <c r="E7" s="147">
        <f aca="true" t="shared" si="1" ref="E7:E86">C7-B7</f>
        <v>193.37999999999738</v>
      </c>
    </row>
    <row r="8" spans="1:5" ht="12" customHeight="1">
      <c r="A8" s="92" t="s">
        <v>44</v>
      </c>
      <c r="B8" s="91">
        <v>47000</v>
      </c>
      <c r="C8" s="276">
        <v>47193.38</v>
      </c>
      <c r="D8" s="146">
        <f t="shared" si="0"/>
        <v>100.41144680851065</v>
      </c>
      <c r="E8" s="147">
        <f t="shared" si="1"/>
        <v>193.37999999999738</v>
      </c>
    </row>
    <row r="9" spans="1:5" ht="16.5" customHeight="1">
      <c r="A9" s="159" t="s">
        <v>142</v>
      </c>
      <c r="B9" s="233">
        <f>SUM(B10)</f>
        <v>714300</v>
      </c>
      <c r="C9" s="233">
        <f>SUM(C10)</f>
        <v>771784.24</v>
      </c>
      <c r="D9" s="146">
        <f t="shared" si="0"/>
        <v>108.04763264734704</v>
      </c>
      <c r="E9" s="147">
        <f t="shared" si="1"/>
        <v>57484.23999999999</v>
      </c>
    </row>
    <row r="10" spans="1:5" ht="11.25" customHeight="1">
      <c r="A10" s="92" t="s">
        <v>143</v>
      </c>
      <c r="B10" s="234">
        <v>714300</v>
      </c>
      <c r="C10" s="276">
        <v>771784.24</v>
      </c>
      <c r="D10" s="146">
        <f t="shared" si="0"/>
        <v>108.04763264734704</v>
      </c>
      <c r="E10" s="147">
        <f t="shared" si="1"/>
        <v>57484.23999999999</v>
      </c>
    </row>
    <row r="11" spans="1:5" ht="12.75">
      <c r="A11" s="92" t="s">
        <v>7</v>
      </c>
      <c r="B11" s="234">
        <f>SUM(B12:B12)</f>
        <v>76800</v>
      </c>
      <c r="C11" s="234">
        <f>SUM(C12:C12)</f>
        <v>57514.26</v>
      </c>
      <c r="D11" s="146">
        <f t="shared" si="0"/>
        <v>74.88835937500001</v>
      </c>
      <c r="E11" s="147">
        <f t="shared" si="1"/>
        <v>-19285.739999999998</v>
      </c>
    </row>
    <row r="12" spans="1:5" ht="16.5" customHeight="1">
      <c r="A12" s="92" t="s">
        <v>26</v>
      </c>
      <c r="B12" s="234">
        <v>76800</v>
      </c>
      <c r="C12" s="276">
        <v>57514.26</v>
      </c>
      <c r="D12" s="146">
        <f t="shared" si="0"/>
        <v>74.88835937500001</v>
      </c>
      <c r="E12" s="147">
        <f t="shared" si="1"/>
        <v>-19285.739999999998</v>
      </c>
    </row>
    <row r="13" spans="1:5" ht="16.5" customHeight="1">
      <c r="A13" s="92" t="s">
        <v>9</v>
      </c>
      <c r="B13" s="234">
        <f>SUM(B14:B15)</f>
        <v>531000</v>
      </c>
      <c r="C13" s="234">
        <f>SUM(C14:C15)</f>
        <v>267120.32</v>
      </c>
      <c r="D13" s="146">
        <f t="shared" si="0"/>
        <v>50.305145009416194</v>
      </c>
      <c r="E13" s="147">
        <f t="shared" si="1"/>
        <v>-263879.68</v>
      </c>
    </row>
    <row r="14" spans="1:5" ht="15" customHeight="1">
      <c r="A14" s="92" t="s">
        <v>27</v>
      </c>
      <c r="B14" s="234">
        <v>307000</v>
      </c>
      <c r="C14" s="276">
        <v>65840.46</v>
      </c>
      <c r="D14" s="146">
        <f t="shared" si="0"/>
        <v>21.44640390879479</v>
      </c>
      <c r="E14" s="147">
        <f t="shared" si="1"/>
        <v>-241159.53999999998</v>
      </c>
    </row>
    <row r="15" spans="1:5" ht="15.75" customHeight="1">
      <c r="A15" s="41" t="s">
        <v>171</v>
      </c>
      <c r="B15" s="234">
        <f>SUM(B16:B17)</f>
        <v>224000</v>
      </c>
      <c r="C15" s="234">
        <f>SUM(C16:C17)</f>
        <v>201279.86000000002</v>
      </c>
      <c r="D15" s="146">
        <f t="shared" si="0"/>
        <v>89.85708035714286</v>
      </c>
      <c r="E15" s="147">
        <f t="shared" si="1"/>
        <v>-22720.139999999985</v>
      </c>
    </row>
    <row r="16" spans="1:5" ht="14.25" customHeight="1">
      <c r="A16" s="41" t="s">
        <v>172</v>
      </c>
      <c r="B16" s="234">
        <v>18000</v>
      </c>
      <c r="C16" s="276">
        <v>28280.73</v>
      </c>
      <c r="D16" s="146">
        <f t="shared" si="0"/>
        <v>157.11516666666668</v>
      </c>
      <c r="E16" s="147">
        <f t="shared" si="1"/>
        <v>10280.73</v>
      </c>
    </row>
    <row r="17" spans="1:5" ht="12.75" customHeight="1">
      <c r="A17" s="41" t="s">
        <v>173</v>
      </c>
      <c r="B17" s="234">
        <v>206000</v>
      </c>
      <c r="C17" s="276">
        <v>172999.13</v>
      </c>
      <c r="D17" s="146">
        <f t="shared" si="0"/>
        <v>83.98016019417476</v>
      </c>
      <c r="E17" s="147">
        <f t="shared" si="1"/>
        <v>-33000.869999999995</v>
      </c>
    </row>
    <row r="18" spans="1:5" ht="12.75" customHeight="1">
      <c r="A18" s="41" t="s">
        <v>219</v>
      </c>
      <c r="B18" s="234">
        <v>0</v>
      </c>
      <c r="C18" s="276">
        <v>660</v>
      </c>
      <c r="D18" s="146" t="str">
        <f t="shared" si="0"/>
        <v>   </v>
      </c>
      <c r="E18" s="147">
        <f t="shared" si="1"/>
        <v>660</v>
      </c>
    </row>
    <row r="19" spans="1:5" ht="13.5" customHeight="1">
      <c r="A19" s="92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4.75" customHeight="1">
      <c r="A20" s="92" t="s">
        <v>28</v>
      </c>
      <c r="B20" s="234">
        <f>B21+B22</f>
        <v>31600</v>
      </c>
      <c r="C20" s="234">
        <f>SUM(C21:C22)</f>
        <v>17747.98</v>
      </c>
      <c r="D20" s="146">
        <f t="shared" si="0"/>
        <v>56.164493670886074</v>
      </c>
      <c r="E20" s="147">
        <f t="shared" si="1"/>
        <v>-13852.02</v>
      </c>
    </row>
    <row r="21" spans="1:5" ht="14.25" customHeight="1">
      <c r="A21" s="41" t="s">
        <v>161</v>
      </c>
      <c r="B21" s="234">
        <v>31600</v>
      </c>
      <c r="C21" s="234">
        <v>17747.98</v>
      </c>
      <c r="D21" s="146">
        <f t="shared" si="0"/>
        <v>56.164493670886074</v>
      </c>
      <c r="E21" s="147">
        <f t="shared" si="1"/>
        <v>-13852.02</v>
      </c>
    </row>
    <row r="22" spans="1:5" ht="12" customHeight="1">
      <c r="A22" s="92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2.75" customHeight="1">
      <c r="A23" s="92" t="s">
        <v>83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3.5" customHeight="1">
      <c r="A24" s="92" t="s">
        <v>78</v>
      </c>
      <c r="B24" s="234">
        <f>SUM(B25:B25)</f>
        <v>0</v>
      </c>
      <c r="C24" s="234">
        <f>SUM(C25:C25)</f>
        <v>0</v>
      </c>
      <c r="D24" s="146" t="str">
        <f t="shared" si="0"/>
        <v>   </v>
      </c>
      <c r="E24" s="147">
        <f t="shared" si="1"/>
        <v>0</v>
      </c>
    </row>
    <row r="25" spans="1:5" ht="13.5" customHeight="1">
      <c r="A25" s="92" t="s">
        <v>127</v>
      </c>
      <c r="B25" s="234">
        <v>0</v>
      </c>
      <c r="C25" s="234"/>
      <c r="D25" s="146" t="str">
        <f t="shared" si="0"/>
        <v>   </v>
      </c>
      <c r="E25" s="147"/>
    </row>
    <row r="26" spans="1:5" ht="12.75">
      <c r="A26" s="92" t="s">
        <v>32</v>
      </c>
      <c r="B26" s="234">
        <f>B27</f>
        <v>0</v>
      </c>
      <c r="C26" s="234">
        <f>C27</f>
        <v>0</v>
      </c>
      <c r="D26" s="146" t="str">
        <f t="shared" si="0"/>
        <v>   </v>
      </c>
      <c r="E26" s="147">
        <f t="shared" si="1"/>
        <v>0</v>
      </c>
    </row>
    <row r="27" spans="1:5" ht="12.75">
      <c r="A27" s="16" t="s">
        <v>46</v>
      </c>
      <c r="B27" s="234">
        <v>0</v>
      </c>
      <c r="C27" s="234">
        <v>0</v>
      </c>
      <c r="D27" s="146" t="str">
        <f t="shared" si="0"/>
        <v>   </v>
      </c>
      <c r="E27" s="147">
        <f t="shared" si="1"/>
        <v>0</v>
      </c>
    </row>
    <row r="28" spans="1:5" ht="12.75">
      <c r="A28" s="92" t="s">
        <v>31</v>
      </c>
      <c r="B28" s="234">
        <v>0</v>
      </c>
      <c r="C28" s="234">
        <v>47586</v>
      </c>
      <c r="D28" s="146" t="str">
        <f t="shared" si="0"/>
        <v>   </v>
      </c>
      <c r="E28" s="147">
        <f t="shared" si="1"/>
        <v>47586</v>
      </c>
    </row>
    <row r="29" spans="1:5" ht="18" customHeight="1">
      <c r="A29" s="165" t="s">
        <v>10</v>
      </c>
      <c r="B29" s="184">
        <f>B7+B9+B11+B13+B19+B20+B24+B26+B28+B18</f>
        <v>1400700</v>
      </c>
      <c r="C29" s="184">
        <f>C7+C9+C11+C13+C19+C20+C24+C26+C28+C18</f>
        <v>1209606.18</v>
      </c>
      <c r="D29" s="148">
        <f t="shared" si="0"/>
        <v>86.35726279717284</v>
      </c>
      <c r="E29" s="149">
        <f t="shared" si="1"/>
        <v>-191093.82000000007</v>
      </c>
    </row>
    <row r="30" spans="1:5" ht="18" customHeight="1">
      <c r="A30" s="166" t="s">
        <v>145</v>
      </c>
      <c r="B30" s="200">
        <f>SUM(B31:B34,B37,B38,B41,B42,B43)</f>
        <v>5396030.6</v>
      </c>
      <c r="C30" s="200">
        <f>SUM(C31:C34,C37,C38,C41,C42,C43)</f>
        <v>5072524.699999999</v>
      </c>
      <c r="D30" s="148">
        <f t="shared" si="0"/>
        <v>94.00474304204278</v>
      </c>
      <c r="E30" s="149">
        <f t="shared" si="1"/>
        <v>-323505.9000000004</v>
      </c>
    </row>
    <row r="31" spans="1:5" ht="16.5" customHeight="1">
      <c r="A31" s="167" t="s">
        <v>34</v>
      </c>
      <c r="B31" s="168">
        <v>2709400</v>
      </c>
      <c r="C31" s="276">
        <v>2557800</v>
      </c>
      <c r="D31" s="162">
        <f t="shared" si="0"/>
        <v>94.40466523953643</v>
      </c>
      <c r="E31" s="163">
        <f t="shared" si="1"/>
        <v>-151600</v>
      </c>
    </row>
    <row r="32" spans="1:5" ht="16.5" customHeight="1">
      <c r="A32" s="17" t="s">
        <v>263</v>
      </c>
      <c r="B32" s="168">
        <v>194700</v>
      </c>
      <c r="C32" s="276">
        <v>194700</v>
      </c>
      <c r="D32" s="162">
        <f>IF(B32=0,"   ",C32/B32*100)</f>
        <v>100</v>
      </c>
      <c r="E32" s="163">
        <f>C32-B32</f>
        <v>0</v>
      </c>
    </row>
    <row r="33" spans="1:5" ht="27" customHeight="1">
      <c r="A33" s="164" t="s">
        <v>51</v>
      </c>
      <c r="B33" s="234">
        <v>90000</v>
      </c>
      <c r="C33" s="276">
        <v>79794</v>
      </c>
      <c r="D33" s="162">
        <f t="shared" si="0"/>
        <v>88.66000000000001</v>
      </c>
      <c r="E33" s="163">
        <f t="shared" si="1"/>
        <v>-10206</v>
      </c>
    </row>
    <row r="34" spans="1:5" ht="27" customHeight="1">
      <c r="A34" s="164" t="s">
        <v>155</v>
      </c>
      <c r="B34" s="234">
        <f>SUM(B35:B36)</f>
        <v>300</v>
      </c>
      <c r="C34" s="234">
        <f>SUM(C35:C36)</f>
        <v>300</v>
      </c>
      <c r="D34" s="162">
        <f t="shared" si="0"/>
        <v>100</v>
      </c>
      <c r="E34" s="163">
        <f t="shared" si="1"/>
        <v>0</v>
      </c>
    </row>
    <row r="35" spans="1:5" ht="17.25" customHeight="1">
      <c r="A35" s="116" t="s">
        <v>174</v>
      </c>
      <c r="B35" s="234">
        <v>300</v>
      </c>
      <c r="C35" s="234">
        <v>300</v>
      </c>
      <c r="D35" s="162">
        <f t="shared" si="0"/>
        <v>100</v>
      </c>
      <c r="E35" s="163">
        <f t="shared" si="1"/>
        <v>0</v>
      </c>
    </row>
    <row r="36" spans="1:5" ht="27" customHeight="1">
      <c r="A36" s="116" t="s">
        <v>175</v>
      </c>
      <c r="B36" s="234">
        <v>0</v>
      </c>
      <c r="C36" s="234">
        <v>0</v>
      </c>
      <c r="D36" s="162" t="str">
        <f>IF(B36=0,"   ",C36/B36*100)</f>
        <v>   </v>
      </c>
      <c r="E36" s="163">
        <f>C36-B36</f>
        <v>0</v>
      </c>
    </row>
    <row r="37" spans="1:5" ht="54.75" customHeight="1">
      <c r="A37" s="16" t="s">
        <v>282</v>
      </c>
      <c r="B37" s="234">
        <v>1766700</v>
      </c>
      <c r="C37" s="234">
        <v>1654993</v>
      </c>
      <c r="D37" s="162">
        <f>IF(B37=0,"   ",C37/B37*100)</f>
        <v>93.67708156449879</v>
      </c>
      <c r="E37" s="163">
        <f>C37-B37</f>
        <v>-111707</v>
      </c>
    </row>
    <row r="38" spans="1:5" ht="17.25" customHeight="1">
      <c r="A38" s="164" t="s">
        <v>55</v>
      </c>
      <c r="B38" s="234">
        <f>B39+B40</f>
        <v>501366.6</v>
      </c>
      <c r="C38" s="234">
        <f>C39+C40</f>
        <v>501366.6</v>
      </c>
      <c r="D38" s="162">
        <f t="shared" si="0"/>
        <v>100</v>
      </c>
      <c r="E38" s="163">
        <f t="shared" si="1"/>
        <v>0</v>
      </c>
    </row>
    <row r="39" spans="1:5" s="7" customFormat="1" ht="14.25" customHeight="1">
      <c r="A39" s="53" t="s">
        <v>110</v>
      </c>
      <c r="B39" s="234">
        <v>0</v>
      </c>
      <c r="C39" s="234">
        <v>0</v>
      </c>
      <c r="D39" s="54" t="str">
        <f t="shared" si="0"/>
        <v>   </v>
      </c>
      <c r="E39" s="185">
        <f t="shared" si="1"/>
        <v>0</v>
      </c>
    </row>
    <row r="40" spans="1:5" s="7" customFormat="1" ht="14.25" customHeight="1">
      <c r="A40" s="53" t="s">
        <v>207</v>
      </c>
      <c r="B40" s="234">
        <v>501366.6</v>
      </c>
      <c r="C40" s="234">
        <v>501366.6</v>
      </c>
      <c r="D40" s="54">
        <f t="shared" si="0"/>
        <v>100</v>
      </c>
      <c r="E40" s="185">
        <f t="shared" si="1"/>
        <v>0</v>
      </c>
    </row>
    <row r="41" spans="1:5" ht="39" customHeight="1">
      <c r="A41" s="164" t="s">
        <v>104</v>
      </c>
      <c r="B41" s="234">
        <v>0</v>
      </c>
      <c r="C41" s="276">
        <v>0</v>
      </c>
      <c r="D41" s="162" t="str">
        <f t="shared" si="0"/>
        <v>   </v>
      </c>
      <c r="E41" s="163">
        <f t="shared" si="1"/>
        <v>0</v>
      </c>
    </row>
    <row r="42" spans="1:5" ht="27" customHeight="1">
      <c r="A42" s="16" t="s">
        <v>181</v>
      </c>
      <c r="B42" s="234">
        <v>50000</v>
      </c>
      <c r="C42" s="276">
        <v>0</v>
      </c>
      <c r="D42" s="162">
        <f t="shared" si="0"/>
        <v>0</v>
      </c>
      <c r="E42" s="163">
        <f t="shared" si="1"/>
        <v>-50000</v>
      </c>
    </row>
    <row r="43" spans="1:5" ht="15.75" customHeight="1">
      <c r="A43" s="16" t="s">
        <v>222</v>
      </c>
      <c r="B43" s="234">
        <v>83564</v>
      </c>
      <c r="C43" s="234">
        <v>83571.1</v>
      </c>
      <c r="D43" s="162">
        <f t="shared" si="0"/>
        <v>100.00849648173855</v>
      </c>
      <c r="E43" s="163">
        <f t="shared" si="1"/>
        <v>7.100000000005821</v>
      </c>
    </row>
    <row r="44" spans="1:5" ht="16.5" customHeight="1">
      <c r="A44" s="165" t="s">
        <v>11</v>
      </c>
      <c r="B44" s="158">
        <f>SUM(B29,B30,)</f>
        <v>6796730.6</v>
      </c>
      <c r="C44" s="158">
        <f>SUM(C29,C30,)</f>
        <v>6282130.879999999</v>
      </c>
      <c r="D44" s="148">
        <f t="shared" si="0"/>
        <v>92.42871683041254</v>
      </c>
      <c r="E44" s="149">
        <f t="shared" si="1"/>
        <v>-514599.72000000067</v>
      </c>
    </row>
    <row r="45" spans="1:5" ht="20.25" customHeight="1">
      <c r="A45" s="30"/>
      <c r="B45" s="168"/>
      <c r="C45" s="160"/>
      <c r="D45" s="162" t="str">
        <f t="shared" si="0"/>
        <v>   </v>
      </c>
      <c r="E45" s="163">
        <f t="shared" si="1"/>
        <v>0</v>
      </c>
    </row>
    <row r="46" spans="1:5" ht="12.75">
      <c r="A46" s="169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9.5" customHeight="1">
      <c r="A47" s="164" t="s">
        <v>35</v>
      </c>
      <c r="B47" s="160">
        <f>SUM(B48,B50,B51)</f>
        <v>1402589.6</v>
      </c>
      <c r="C47" s="160">
        <f>SUM(C48,C50,C51)</f>
        <v>1004270.57</v>
      </c>
      <c r="D47" s="162">
        <f t="shared" si="0"/>
        <v>71.60117043502959</v>
      </c>
      <c r="E47" s="163">
        <f t="shared" si="1"/>
        <v>-398319.03000000014</v>
      </c>
    </row>
    <row r="48" spans="1:5" ht="13.5" customHeight="1">
      <c r="A48" s="164" t="s">
        <v>36</v>
      </c>
      <c r="B48" s="160">
        <v>1241000</v>
      </c>
      <c r="C48" s="160">
        <v>1004270.57</v>
      </c>
      <c r="D48" s="162">
        <f t="shared" si="0"/>
        <v>80.92430056406124</v>
      </c>
      <c r="E48" s="163">
        <f t="shared" si="1"/>
        <v>-236729.43000000005</v>
      </c>
    </row>
    <row r="49" spans="1:5" ht="12.75">
      <c r="A49" s="164" t="s">
        <v>122</v>
      </c>
      <c r="B49" s="160">
        <v>797372</v>
      </c>
      <c r="C49" s="170">
        <v>699871.81</v>
      </c>
      <c r="D49" s="162">
        <f t="shared" si="0"/>
        <v>87.7723082827087</v>
      </c>
      <c r="E49" s="163">
        <f t="shared" si="1"/>
        <v>-97500.18999999994</v>
      </c>
    </row>
    <row r="50" spans="1:5" ht="12.75">
      <c r="A50" s="164" t="s">
        <v>96</v>
      </c>
      <c r="B50" s="160">
        <v>0</v>
      </c>
      <c r="C50" s="161">
        <v>0</v>
      </c>
      <c r="D50" s="162" t="str">
        <f t="shared" si="0"/>
        <v>   </v>
      </c>
      <c r="E50" s="163">
        <f t="shared" si="1"/>
        <v>0</v>
      </c>
    </row>
    <row r="51" spans="1:5" ht="12.75">
      <c r="A51" s="41" t="s">
        <v>52</v>
      </c>
      <c r="B51" s="161">
        <f>SUM(B52+B53)</f>
        <v>161589.6</v>
      </c>
      <c r="C51" s="161">
        <f>SUM(C52+C53)</f>
        <v>0</v>
      </c>
      <c r="D51" s="162">
        <f>IF(B51=0,"   ",C51/B51*100)</f>
        <v>0</v>
      </c>
      <c r="E51" s="163">
        <f>C51-B51</f>
        <v>-161589.6</v>
      </c>
    </row>
    <row r="52" spans="1:5" ht="26.25">
      <c r="A52" s="112" t="s">
        <v>164</v>
      </c>
      <c r="B52" s="160">
        <v>0</v>
      </c>
      <c r="C52" s="161">
        <v>0</v>
      </c>
      <c r="D52" s="162" t="str">
        <f>IF(B52=0,"   ",C52/B52*100)</f>
        <v>   </v>
      </c>
      <c r="E52" s="163">
        <f>C52-B52</f>
        <v>0</v>
      </c>
    </row>
    <row r="53" spans="1:5" ht="12.75">
      <c r="A53" s="112" t="s">
        <v>249</v>
      </c>
      <c r="B53" s="160">
        <v>161589.6</v>
      </c>
      <c r="C53" s="161">
        <v>0</v>
      </c>
      <c r="D53" s="162">
        <f>IF(B53=0,"   ",C53/B53*100)</f>
        <v>0</v>
      </c>
      <c r="E53" s="163">
        <f>C53-B53</f>
        <v>-161589.6</v>
      </c>
    </row>
    <row r="54" spans="1:5" ht="18.75" customHeight="1">
      <c r="A54" s="164" t="s">
        <v>49</v>
      </c>
      <c r="B54" s="161">
        <f>SUM(B55)</f>
        <v>90000</v>
      </c>
      <c r="C54" s="161">
        <f>SUM(C55)</f>
        <v>79051.89</v>
      </c>
      <c r="D54" s="162">
        <f t="shared" si="0"/>
        <v>87.83543333333334</v>
      </c>
      <c r="E54" s="163">
        <f t="shared" si="1"/>
        <v>-10948.11</v>
      </c>
    </row>
    <row r="55" spans="1:5" ht="13.5" customHeight="1">
      <c r="A55" s="53" t="s">
        <v>108</v>
      </c>
      <c r="B55" s="160">
        <v>90000</v>
      </c>
      <c r="C55" s="161">
        <v>79051.89</v>
      </c>
      <c r="D55" s="162">
        <f t="shared" si="0"/>
        <v>87.83543333333334</v>
      </c>
      <c r="E55" s="163">
        <f t="shared" si="1"/>
        <v>-10948.11</v>
      </c>
    </row>
    <row r="56" spans="1:5" ht="17.25" customHeight="1">
      <c r="A56" s="164" t="s">
        <v>37</v>
      </c>
      <c r="B56" s="160">
        <f>SUM(B57)</f>
        <v>400</v>
      </c>
      <c r="C56" s="160">
        <f>SUM(C57)</f>
        <v>400</v>
      </c>
      <c r="D56" s="162">
        <f t="shared" si="0"/>
        <v>100</v>
      </c>
      <c r="E56" s="163">
        <f t="shared" si="1"/>
        <v>0</v>
      </c>
    </row>
    <row r="57" spans="1:5" ht="15" customHeight="1">
      <c r="A57" s="82" t="s">
        <v>130</v>
      </c>
      <c r="B57" s="160">
        <v>400</v>
      </c>
      <c r="C57" s="161">
        <v>400</v>
      </c>
      <c r="D57" s="162">
        <f t="shared" si="0"/>
        <v>100</v>
      </c>
      <c r="E57" s="163">
        <f t="shared" si="1"/>
        <v>0</v>
      </c>
    </row>
    <row r="58" spans="1:5" ht="15.75" customHeight="1">
      <c r="A58" s="164" t="s">
        <v>38</v>
      </c>
      <c r="B58" s="160">
        <f>B62+B59</f>
        <v>2481000</v>
      </c>
      <c r="C58" s="160">
        <f>C62+C59</f>
        <v>2329050</v>
      </c>
      <c r="D58" s="162">
        <f t="shared" si="0"/>
        <v>93.87545344619105</v>
      </c>
      <c r="E58" s="163">
        <f t="shared" si="1"/>
        <v>-151950</v>
      </c>
    </row>
    <row r="59" spans="1:5" ht="15.75" customHeight="1">
      <c r="A59" s="82" t="s">
        <v>176</v>
      </c>
      <c r="B59" s="25">
        <f>SUM(B60+B61)</f>
        <v>0</v>
      </c>
      <c r="C59" s="25">
        <f>SUM(C60+C61)</f>
        <v>0</v>
      </c>
      <c r="D59" s="162" t="str">
        <f>IF(B59=0,"   ",C59/B59*100)</f>
        <v>   </v>
      </c>
      <c r="E59" s="163">
        <f>C59-B59</f>
        <v>0</v>
      </c>
    </row>
    <row r="60" spans="1:5" ht="15.75" customHeight="1">
      <c r="A60" s="82" t="s">
        <v>177</v>
      </c>
      <c r="B60" s="25">
        <v>0</v>
      </c>
      <c r="C60" s="160">
        <v>0</v>
      </c>
      <c r="D60" s="162" t="str">
        <f>IF(B60=0,"   ",C60/B60*100)</f>
        <v>   </v>
      </c>
      <c r="E60" s="163">
        <f>C60-B60</f>
        <v>0</v>
      </c>
    </row>
    <row r="61" spans="1:5" ht="15.75" customHeight="1">
      <c r="A61" s="82" t="s">
        <v>208</v>
      </c>
      <c r="B61" s="25">
        <v>0</v>
      </c>
      <c r="C61" s="160">
        <v>0</v>
      </c>
      <c r="D61" s="162"/>
      <c r="E61" s="163"/>
    </row>
    <row r="62" spans="1:5" ht="12.75">
      <c r="A62" s="172" t="s">
        <v>134</v>
      </c>
      <c r="B62" s="160">
        <f>B64+B65+B63</f>
        <v>2481000</v>
      </c>
      <c r="C62" s="160">
        <f>C64+C65+C63</f>
        <v>2329050</v>
      </c>
      <c r="D62" s="162">
        <f t="shared" si="0"/>
        <v>93.87545344619105</v>
      </c>
      <c r="E62" s="163">
        <f t="shared" si="1"/>
        <v>-151950</v>
      </c>
    </row>
    <row r="63" spans="1:5" ht="21.75" customHeight="1">
      <c r="A63" s="173" t="s">
        <v>156</v>
      </c>
      <c r="B63" s="160">
        <v>0</v>
      </c>
      <c r="C63" s="160">
        <v>0</v>
      </c>
      <c r="D63" s="162" t="str">
        <f t="shared" si="0"/>
        <v>   </v>
      </c>
      <c r="E63" s="163">
        <f t="shared" si="1"/>
        <v>0</v>
      </c>
    </row>
    <row r="64" spans="1:5" ht="22.5" customHeight="1">
      <c r="A64" s="171" t="s">
        <v>135</v>
      </c>
      <c r="B64" s="160">
        <v>1766700</v>
      </c>
      <c r="C64" s="160">
        <v>1654993</v>
      </c>
      <c r="D64" s="162">
        <f t="shared" si="0"/>
        <v>93.67708156449879</v>
      </c>
      <c r="E64" s="163">
        <f t="shared" si="1"/>
        <v>-111707</v>
      </c>
    </row>
    <row r="65" spans="1:5" ht="23.25" customHeight="1">
      <c r="A65" s="171" t="s">
        <v>136</v>
      </c>
      <c r="B65" s="160">
        <v>714300</v>
      </c>
      <c r="C65" s="160">
        <v>674057</v>
      </c>
      <c r="D65" s="162">
        <f t="shared" si="0"/>
        <v>94.36609267814644</v>
      </c>
      <c r="E65" s="163">
        <f t="shared" si="1"/>
        <v>-40243</v>
      </c>
    </row>
    <row r="66" spans="1:5" ht="17.25" customHeight="1">
      <c r="A66" s="164" t="s">
        <v>13</v>
      </c>
      <c r="B66" s="160">
        <f>SUM(B72,B67)</f>
        <v>1073541</v>
      </c>
      <c r="C66" s="160">
        <f>C67+C72</f>
        <v>918844.87</v>
      </c>
      <c r="D66" s="162">
        <f t="shared" si="0"/>
        <v>85.59010508215336</v>
      </c>
      <c r="E66" s="163">
        <f t="shared" si="1"/>
        <v>-154696.13</v>
      </c>
    </row>
    <row r="67" spans="1:5" ht="15.75" customHeight="1">
      <c r="A67" s="164" t="s">
        <v>91</v>
      </c>
      <c r="B67" s="160">
        <f>B68</f>
        <v>541111</v>
      </c>
      <c r="C67" s="160">
        <f>C68</f>
        <v>541111</v>
      </c>
      <c r="D67" s="162">
        <f t="shared" si="0"/>
        <v>100</v>
      </c>
      <c r="E67" s="163">
        <f t="shared" si="1"/>
        <v>0</v>
      </c>
    </row>
    <row r="68" spans="1:5" ht="15.75" customHeight="1">
      <c r="A68" s="112" t="s">
        <v>231</v>
      </c>
      <c r="B68" s="160">
        <f>B70+B69+B71</f>
        <v>541111</v>
      </c>
      <c r="C68" s="160">
        <f>C70+C69+C71</f>
        <v>541111</v>
      </c>
      <c r="D68" s="162">
        <f>IF(B68=0,"   ",C68/B68*100)</f>
        <v>100</v>
      </c>
      <c r="E68" s="163">
        <f>C68-B68</f>
        <v>0</v>
      </c>
    </row>
    <row r="69" spans="1:5" ht="27.75" customHeight="1">
      <c r="A69" s="112" t="s">
        <v>206</v>
      </c>
      <c r="B69" s="160">
        <v>324666.6</v>
      </c>
      <c r="C69" s="160">
        <v>324666.6</v>
      </c>
      <c r="D69" s="162">
        <f t="shared" si="0"/>
        <v>100</v>
      </c>
      <c r="E69" s="163">
        <f t="shared" si="1"/>
        <v>0</v>
      </c>
    </row>
    <row r="70" spans="1:5" ht="27.75" customHeight="1">
      <c r="A70" s="112" t="s">
        <v>223</v>
      </c>
      <c r="B70" s="160">
        <v>162330.4</v>
      </c>
      <c r="C70" s="160">
        <v>162330.4</v>
      </c>
      <c r="D70" s="162">
        <f t="shared" si="0"/>
        <v>100</v>
      </c>
      <c r="E70" s="163">
        <f t="shared" si="1"/>
        <v>0</v>
      </c>
    </row>
    <row r="71" spans="1:5" ht="27.75" customHeight="1">
      <c r="A71" s="112" t="s">
        <v>237</v>
      </c>
      <c r="B71" s="160">
        <v>54114</v>
      </c>
      <c r="C71" s="160">
        <v>54114</v>
      </c>
      <c r="D71" s="162">
        <f t="shared" si="0"/>
        <v>100</v>
      </c>
      <c r="E71" s="163">
        <f t="shared" si="1"/>
        <v>0</v>
      </c>
    </row>
    <row r="72" spans="1:5" ht="12.75">
      <c r="A72" s="164" t="s">
        <v>58</v>
      </c>
      <c r="B72" s="160">
        <f>B73+B74+B75+B76</f>
        <v>532430</v>
      </c>
      <c r="C72" s="160">
        <f>C73+C74+C75+C76</f>
        <v>377733.87</v>
      </c>
      <c r="D72" s="162">
        <f t="shared" si="0"/>
        <v>70.94526416618146</v>
      </c>
      <c r="E72" s="163">
        <f t="shared" si="1"/>
        <v>-154696.13</v>
      </c>
    </row>
    <row r="73" spans="1:5" ht="12.75">
      <c r="A73" s="164" t="s">
        <v>56</v>
      </c>
      <c r="B73" s="160">
        <v>208000</v>
      </c>
      <c r="C73" s="160">
        <v>83203.87</v>
      </c>
      <c r="D73" s="162">
        <f t="shared" si="0"/>
        <v>40.00186057692308</v>
      </c>
      <c r="E73" s="163">
        <f t="shared" si="1"/>
        <v>-124796.13</v>
      </c>
    </row>
    <row r="74" spans="1:5" ht="12.75">
      <c r="A74" s="164" t="s">
        <v>59</v>
      </c>
      <c r="B74" s="160">
        <v>29900</v>
      </c>
      <c r="C74" s="161">
        <v>0</v>
      </c>
      <c r="D74" s="162">
        <f t="shared" si="0"/>
        <v>0</v>
      </c>
      <c r="E74" s="163">
        <f t="shared" si="1"/>
        <v>-29900</v>
      </c>
    </row>
    <row r="75" spans="1:5" ht="26.25">
      <c r="A75" s="112" t="s">
        <v>178</v>
      </c>
      <c r="B75" s="160">
        <v>0</v>
      </c>
      <c r="C75" s="161">
        <v>0</v>
      </c>
      <c r="D75" s="162" t="str">
        <f>IF(B75=0,"   ",C75/B75*100)</f>
        <v>   </v>
      </c>
      <c r="E75" s="163">
        <f>C75-B75</f>
        <v>0</v>
      </c>
    </row>
    <row r="76" spans="1:5" ht="12.75">
      <c r="A76" s="112" t="s">
        <v>231</v>
      </c>
      <c r="B76" s="160">
        <f>B78+B77+B79</f>
        <v>294530</v>
      </c>
      <c r="C76" s="160">
        <f>C78+C77+C79</f>
        <v>294530</v>
      </c>
      <c r="D76" s="162">
        <f>IF(B76=0,"   ",C76/B76*100)</f>
        <v>100</v>
      </c>
      <c r="E76" s="163">
        <f>C76-B76</f>
        <v>0</v>
      </c>
    </row>
    <row r="77" spans="1:5" ht="26.25">
      <c r="A77" s="112" t="s">
        <v>206</v>
      </c>
      <c r="B77" s="160">
        <v>176700</v>
      </c>
      <c r="C77" s="161">
        <v>176700</v>
      </c>
      <c r="D77" s="162">
        <f>IF(B77=0,"   ",C77/B77*100)</f>
        <v>100</v>
      </c>
      <c r="E77" s="163">
        <f>C77-B77</f>
        <v>0</v>
      </c>
    </row>
    <row r="78" spans="1:5" ht="26.25">
      <c r="A78" s="112" t="s">
        <v>223</v>
      </c>
      <c r="B78" s="160">
        <v>88380</v>
      </c>
      <c r="C78" s="161">
        <v>88380</v>
      </c>
      <c r="D78" s="162">
        <f>IF(B78=0,"   ",C78/B78*100)</f>
        <v>100</v>
      </c>
      <c r="E78" s="163">
        <f>C78-B78</f>
        <v>0</v>
      </c>
    </row>
    <row r="79" spans="1:5" ht="26.25">
      <c r="A79" s="112" t="s">
        <v>237</v>
      </c>
      <c r="B79" s="160">
        <v>29450</v>
      </c>
      <c r="C79" s="161">
        <v>29450</v>
      </c>
      <c r="D79" s="162">
        <f>IF(B79=0,"   ",C79/B79*100)</f>
        <v>100</v>
      </c>
      <c r="E79" s="163">
        <f>C79-B79</f>
        <v>0</v>
      </c>
    </row>
    <row r="80" spans="1:5" ht="12.75" customHeight="1">
      <c r="A80" s="16" t="s">
        <v>95</v>
      </c>
      <c r="B80" s="160">
        <v>0</v>
      </c>
      <c r="C80" s="161">
        <v>0</v>
      </c>
      <c r="D80" s="162" t="str">
        <f t="shared" si="0"/>
        <v>   </v>
      </c>
      <c r="E80" s="163">
        <f t="shared" si="1"/>
        <v>0</v>
      </c>
    </row>
    <row r="81" spans="1:5" ht="12.75" customHeight="1">
      <c r="A81" s="174" t="s">
        <v>17</v>
      </c>
      <c r="B81" s="175">
        <v>8000</v>
      </c>
      <c r="C81" s="175">
        <v>8000</v>
      </c>
      <c r="D81" s="176">
        <f t="shared" si="0"/>
        <v>100</v>
      </c>
      <c r="E81" s="177">
        <f t="shared" si="1"/>
        <v>0</v>
      </c>
    </row>
    <row r="82" spans="1:5" ht="19.5" customHeight="1">
      <c r="A82" s="178" t="s">
        <v>41</v>
      </c>
      <c r="B82" s="179">
        <f>B83</f>
        <v>1858800</v>
      </c>
      <c r="C82" s="179">
        <f>C83</f>
        <v>1767689.6</v>
      </c>
      <c r="D82" s="176">
        <f t="shared" si="0"/>
        <v>95.09842909403918</v>
      </c>
      <c r="E82" s="177">
        <f t="shared" si="1"/>
        <v>-91110.3999999999</v>
      </c>
    </row>
    <row r="83" spans="1:5" ht="15" customHeight="1">
      <c r="A83" s="178" t="s">
        <v>42</v>
      </c>
      <c r="B83" s="175">
        <v>1858800</v>
      </c>
      <c r="C83" s="180">
        <v>1767689.6</v>
      </c>
      <c r="D83" s="176">
        <f t="shared" si="0"/>
        <v>95.09842909403918</v>
      </c>
      <c r="E83" s="177">
        <f t="shared" si="1"/>
        <v>-91110.3999999999</v>
      </c>
    </row>
    <row r="84" spans="1:5" ht="14.25" customHeight="1">
      <c r="A84" s="178" t="s">
        <v>125</v>
      </c>
      <c r="B84" s="175">
        <f>SUM(B85,)</f>
        <v>0</v>
      </c>
      <c r="C84" s="175">
        <f>SUM(C85,)</f>
        <v>0</v>
      </c>
      <c r="D84" s="176" t="str">
        <f t="shared" si="0"/>
        <v>   </v>
      </c>
      <c r="E84" s="177">
        <f t="shared" si="1"/>
        <v>0</v>
      </c>
    </row>
    <row r="85" spans="1:5" ht="12.75">
      <c r="A85" s="178" t="s">
        <v>43</v>
      </c>
      <c r="B85" s="175">
        <v>0</v>
      </c>
      <c r="C85" s="181">
        <v>0</v>
      </c>
      <c r="D85" s="176" t="str">
        <f t="shared" si="0"/>
        <v>   </v>
      </c>
      <c r="E85" s="177">
        <f t="shared" si="1"/>
        <v>0</v>
      </c>
    </row>
    <row r="86" spans="1:5" ht="23.25" customHeight="1">
      <c r="A86" s="165" t="s">
        <v>15</v>
      </c>
      <c r="B86" s="158">
        <f>SUM(B47,B54,B56,B58,B66,B81,B82,B84,)</f>
        <v>6914330.6</v>
      </c>
      <c r="C86" s="158">
        <f>SUM(C47,C54,C56,C58,C66,C81,C82,C84,)</f>
        <v>6107306.93</v>
      </c>
      <c r="D86" s="148">
        <f>IF(B86=0,"   ",C86/B86*100)</f>
        <v>88.32824583192479</v>
      </c>
      <c r="E86" s="149">
        <f t="shared" si="1"/>
        <v>-807023.6699999999</v>
      </c>
    </row>
    <row r="87" spans="1:5" s="66" customFormat="1" ht="23.25" customHeight="1">
      <c r="A87" s="87" t="s">
        <v>256</v>
      </c>
      <c r="B87" s="87"/>
      <c r="C87" s="292"/>
      <c r="D87" s="292"/>
      <c r="E87" s="292"/>
    </row>
    <row r="88" spans="1:5" s="66" customFormat="1" ht="12" customHeight="1">
      <c r="A88" s="87" t="s">
        <v>163</v>
      </c>
      <c r="B88" s="87"/>
      <c r="C88" s="88" t="s">
        <v>302</v>
      </c>
      <c r="D88" s="89"/>
      <c r="E88" s="90"/>
    </row>
    <row r="89" spans="1:5" ht="12.75">
      <c r="A89" s="186"/>
      <c r="B89" s="186"/>
      <c r="C89" s="187"/>
      <c r="D89" s="186"/>
      <c r="E89" s="188"/>
    </row>
    <row r="90" spans="1:5" ht="12.75">
      <c r="A90" s="186"/>
      <c r="B90" s="186"/>
      <c r="C90" s="187"/>
      <c r="D90" s="186"/>
      <c r="E90" s="188"/>
    </row>
    <row r="91" spans="1:5" ht="12.75">
      <c r="A91" s="189"/>
      <c r="B91" s="189"/>
      <c r="C91" s="189"/>
      <c r="D91" s="189"/>
      <c r="E91" s="189"/>
    </row>
    <row r="92" spans="1:5" ht="12.75">
      <c r="A92" s="189"/>
      <c r="B92" s="189"/>
      <c r="C92" s="189"/>
      <c r="D92" s="189"/>
      <c r="E92" s="189"/>
    </row>
    <row r="93" spans="1:5" ht="12.75">
      <c r="A93" s="189"/>
      <c r="B93" s="189"/>
      <c r="C93" s="189"/>
      <c r="D93" s="189"/>
      <c r="E93" s="189"/>
    </row>
    <row r="94" spans="1:5" ht="12.75">
      <c r="A94" s="189"/>
      <c r="B94" s="189"/>
      <c r="C94" s="189"/>
      <c r="D94" s="189"/>
      <c r="E94" s="189"/>
    </row>
    <row r="95" spans="1:5" ht="12.75">
      <c r="A95" s="189"/>
      <c r="B95" s="189"/>
      <c r="C95" s="189"/>
      <c r="D95" s="189"/>
      <c r="E95" s="189"/>
    </row>
    <row r="96" spans="1:5" ht="12.75">
      <c r="A96" s="189"/>
      <c r="B96" s="189"/>
      <c r="C96" s="189"/>
      <c r="D96" s="189"/>
      <c r="E96" s="189"/>
    </row>
  </sheetData>
  <sheetProtection/>
  <mergeCells count="2">
    <mergeCell ref="A1:E1"/>
    <mergeCell ref="C87:E87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zoomScalePageLayoutView="0" workbookViewId="0" topLeftCell="A76">
      <selection activeCell="B31" sqref="B31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294" t="s">
        <v>311</v>
      </c>
      <c r="B1" s="294"/>
      <c r="C1" s="294"/>
      <c r="D1" s="294"/>
      <c r="E1" s="294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270</v>
      </c>
      <c r="C4" s="32" t="s">
        <v>312</v>
      </c>
      <c r="D4" s="19" t="s">
        <v>271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6">
        <f>SUM(B8)</f>
        <v>64200</v>
      </c>
      <c r="C7" s="156">
        <f>C8</f>
        <v>63821.25</v>
      </c>
      <c r="D7" s="146">
        <f aca="true" t="shared" si="0" ref="D7:D90">IF(B7=0,"   ",C7/B7*100)</f>
        <v>99.41004672897196</v>
      </c>
      <c r="E7" s="147">
        <f aca="true" t="shared" si="1" ref="E7:E91">C7-B7</f>
        <v>-378.75</v>
      </c>
    </row>
    <row r="8" spans="1:5" ht="12.75">
      <c r="A8" s="16" t="s">
        <v>44</v>
      </c>
      <c r="B8" s="91">
        <v>64200</v>
      </c>
      <c r="C8" s="276">
        <v>63821.25</v>
      </c>
      <c r="D8" s="146">
        <f t="shared" si="0"/>
        <v>99.41004672897196</v>
      </c>
      <c r="E8" s="147">
        <f t="shared" si="1"/>
        <v>-378.75</v>
      </c>
    </row>
    <row r="9" spans="1:5" ht="12.75">
      <c r="A9" s="71" t="s">
        <v>142</v>
      </c>
      <c r="B9" s="233">
        <f>SUM(B10)</f>
        <v>445000</v>
      </c>
      <c r="C9" s="233">
        <f>SUM(C10)</f>
        <v>480862.41</v>
      </c>
      <c r="D9" s="146">
        <f t="shared" si="0"/>
        <v>108.05896853932583</v>
      </c>
      <c r="E9" s="147">
        <f t="shared" si="1"/>
        <v>35862.409999999974</v>
      </c>
    </row>
    <row r="10" spans="1:5" ht="12.75">
      <c r="A10" s="41" t="s">
        <v>143</v>
      </c>
      <c r="B10" s="234">
        <v>445000</v>
      </c>
      <c r="C10" s="276">
        <v>480862.41</v>
      </c>
      <c r="D10" s="146">
        <f t="shared" si="0"/>
        <v>108.05896853932583</v>
      </c>
      <c r="E10" s="147">
        <f t="shared" si="1"/>
        <v>35862.409999999974</v>
      </c>
    </row>
    <row r="11" spans="1:5" ht="13.5" customHeight="1">
      <c r="A11" s="16" t="s">
        <v>7</v>
      </c>
      <c r="B11" s="234">
        <f>SUM(B12:B12)</f>
        <v>22300</v>
      </c>
      <c r="C11" s="234">
        <f>SUM(C12:C12)</f>
        <v>71057.4</v>
      </c>
      <c r="D11" s="146">
        <f t="shared" si="0"/>
        <v>318.6430493273543</v>
      </c>
      <c r="E11" s="147">
        <f t="shared" si="1"/>
        <v>48757.399999999994</v>
      </c>
    </row>
    <row r="12" spans="1:5" ht="13.5" customHeight="1">
      <c r="A12" s="16" t="s">
        <v>26</v>
      </c>
      <c r="B12" s="234">
        <v>22300</v>
      </c>
      <c r="C12" s="276">
        <v>71057.4</v>
      </c>
      <c r="D12" s="146">
        <f t="shared" si="0"/>
        <v>318.6430493273543</v>
      </c>
      <c r="E12" s="147">
        <f t="shared" si="1"/>
        <v>48757.399999999994</v>
      </c>
    </row>
    <row r="13" spans="1:5" ht="12.75">
      <c r="A13" s="16" t="s">
        <v>9</v>
      </c>
      <c r="B13" s="234">
        <f>SUM(B14:B15)</f>
        <v>338000</v>
      </c>
      <c r="C13" s="234">
        <f>SUM(C14:C15)</f>
        <v>276526.7</v>
      </c>
      <c r="D13" s="146">
        <f t="shared" si="0"/>
        <v>81.81263313609468</v>
      </c>
      <c r="E13" s="147">
        <f t="shared" si="1"/>
        <v>-61473.29999999999</v>
      </c>
    </row>
    <row r="14" spans="1:5" ht="19.5" customHeight="1">
      <c r="A14" s="16" t="s">
        <v>27</v>
      </c>
      <c r="B14" s="234">
        <v>81000</v>
      </c>
      <c r="C14" s="276">
        <v>83339.58</v>
      </c>
      <c r="D14" s="146">
        <f t="shared" si="0"/>
        <v>102.88837037037038</v>
      </c>
      <c r="E14" s="147">
        <f t="shared" si="1"/>
        <v>2339.5800000000017</v>
      </c>
    </row>
    <row r="15" spans="1:5" ht="18.75" customHeight="1">
      <c r="A15" s="41" t="s">
        <v>171</v>
      </c>
      <c r="B15" s="234">
        <f>SUM(B16:B17)</f>
        <v>257000</v>
      </c>
      <c r="C15" s="234">
        <f>SUM(C16:C17)</f>
        <v>193187.12</v>
      </c>
      <c r="D15" s="146">
        <f t="shared" si="0"/>
        <v>75.17008560311284</v>
      </c>
      <c r="E15" s="147">
        <f t="shared" si="1"/>
        <v>-63812.880000000005</v>
      </c>
    </row>
    <row r="16" spans="1:5" ht="18.75" customHeight="1">
      <c r="A16" s="41" t="s">
        <v>172</v>
      </c>
      <c r="B16" s="234">
        <v>40000</v>
      </c>
      <c r="C16" s="276">
        <v>31352.3</v>
      </c>
      <c r="D16" s="146">
        <f t="shared" si="0"/>
        <v>78.38075</v>
      </c>
      <c r="E16" s="147">
        <f t="shared" si="1"/>
        <v>-8647.7</v>
      </c>
    </row>
    <row r="17" spans="1:5" ht="18" customHeight="1">
      <c r="A17" s="41" t="s">
        <v>173</v>
      </c>
      <c r="B17" s="234">
        <v>217000</v>
      </c>
      <c r="C17" s="276">
        <v>161834.82</v>
      </c>
      <c r="D17" s="146">
        <f t="shared" si="0"/>
        <v>74.57825806451613</v>
      </c>
      <c r="E17" s="147">
        <f t="shared" si="1"/>
        <v>-55165.17999999999</v>
      </c>
    </row>
    <row r="18" spans="1:5" ht="18" customHeight="1">
      <c r="A18" s="41" t="s">
        <v>219</v>
      </c>
      <c r="B18" s="234">
        <v>0</v>
      </c>
      <c r="C18" s="276">
        <v>300</v>
      </c>
      <c r="D18" s="146" t="str">
        <f t="shared" si="0"/>
        <v>   </v>
      </c>
      <c r="E18" s="147">
        <f t="shared" si="1"/>
        <v>300</v>
      </c>
    </row>
    <row r="19" spans="1:5" ht="15" customHeight="1">
      <c r="A19" s="16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6.25" customHeight="1">
      <c r="A20" s="16" t="s">
        <v>28</v>
      </c>
      <c r="B20" s="234">
        <f>B22+B21</f>
        <v>88800</v>
      </c>
      <c r="C20" s="233">
        <f>SUM(C21:C22)</f>
        <v>90885</v>
      </c>
      <c r="D20" s="146">
        <f t="shared" si="0"/>
        <v>102.34797297297298</v>
      </c>
      <c r="E20" s="147">
        <f t="shared" si="1"/>
        <v>2085</v>
      </c>
    </row>
    <row r="21" spans="1:5" ht="15.75" customHeight="1">
      <c r="A21" s="41" t="s">
        <v>161</v>
      </c>
      <c r="B21" s="234">
        <v>88800</v>
      </c>
      <c r="C21" s="235">
        <v>90885</v>
      </c>
      <c r="D21" s="146">
        <f t="shared" si="0"/>
        <v>102.34797297297298</v>
      </c>
      <c r="E21" s="147">
        <f t="shared" si="1"/>
        <v>2085</v>
      </c>
    </row>
    <row r="22" spans="1:5" ht="15" customHeight="1">
      <c r="A22" s="16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8.75" customHeight="1">
      <c r="A23" s="39" t="s">
        <v>92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8.75" customHeight="1">
      <c r="A24" s="16" t="s">
        <v>76</v>
      </c>
      <c r="B24" s="234">
        <f>SUM(B25)</f>
        <v>0</v>
      </c>
      <c r="C24" s="234">
        <f>SUM(C25)</f>
        <v>0</v>
      </c>
      <c r="D24" s="146" t="str">
        <f t="shared" si="0"/>
        <v>   </v>
      </c>
      <c r="E24" s="147">
        <f t="shared" si="1"/>
        <v>0</v>
      </c>
    </row>
    <row r="25" spans="1:5" ht="24.75" customHeight="1">
      <c r="A25" s="16" t="s">
        <v>77</v>
      </c>
      <c r="B25" s="234">
        <v>0</v>
      </c>
      <c r="C25" s="235">
        <v>0</v>
      </c>
      <c r="D25" s="146" t="str">
        <f t="shared" si="0"/>
        <v>   </v>
      </c>
      <c r="E25" s="147">
        <f t="shared" si="1"/>
        <v>0</v>
      </c>
    </row>
    <row r="26" spans="1:5" ht="24.75" customHeight="1">
      <c r="A26" s="16" t="s">
        <v>31</v>
      </c>
      <c r="B26" s="234">
        <v>0</v>
      </c>
      <c r="C26" s="235">
        <v>12470</v>
      </c>
      <c r="D26" s="146" t="str">
        <f t="shared" si="0"/>
        <v>   </v>
      </c>
      <c r="E26" s="147">
        <f t="shared" si="1"/>
        <v>12470</v>
      </c>
    </row>
    <row r="27" spans="1:5" ht="17.25" customHeight="1">
      <c r="A27" s="16" t="s">
        <v>32</v>
      </c>
      <c r="B27" s="233">
        <f>B28+B29</f>
        <v>0</v>
      </c>
      <c r="C27" s="233">
        <f>C28+C29</f>
        <v>99.63</v>
      </c>
      <c r="D27" s="146" t="str">
        <f t="shared" si="0"/>
        <v>   </v>
      </c>
      <c r="E27" s="147">
        <f t="shared" si="1"/>
        <v>99.63</v>
      </c>
    </row>
    <row r="28" spans="1:5" ht="14.25" customHeight="1">
      <c r="A28" s="16" t="s">
        <v>141</v>
      </c>
      <c r="B28" s="234">
        <v>0</v>
      </c>
      <c r="C28" s="235">
        <v>99.63</v>
      </c>
      <c r="D28" s="146" t="str">
        <f t="shared" si="0"/>
        <v>   </v>
      </c>
      <c r="E28" s="147">
        <f t="shared" si="1"/>
        <v>99.63</v>
      </c>
    </row>
    <row r="29" spans="1:5" ht="14.25" customHeight="1">
      <c r="A29" s="16" t="s">
        <v>111</v>
      </c>
      <c r="B29" s="234">
        <v>0</v>
      </c>
      <c r="C29" s="234">
        <v>0</v>
      </c>
      <c r="D29" s="146" t="str">
        <f t="shared" si="0"/>
        <v>   </v>
      </c>
      <c r="E29" s="147">
        <f t="shared" si="1"/>
        <v>0</v>
      </c>
    </row>
    <row r="30" spans="1:5" ht="18" customHeight="1">
      <c r="A30" s="182" t="s">
        <v>10</v>
      </c>
      <c r="B30" s="158">
        <f>SUM(B7,B9,B11,B13,B19,B20,B23,B24,B26,B28,B29,B18)</f>
        <v>958300</v>
      </c>
      <c r="C30" s="158">
        <f>SUM(C7,C9,C11,C13,C19,C20,C23,C24,C26,C28,C29,C18)</f>
        <v>996022.39</v>
      </c>
      <c r="D30" s="148">
        <f t="shared" si="0"/>
        <v>103.93638630908902</v>
      </c>
      <c r="E30" s="149">
        <f t="shared" si="1"/>
        <v>37722.390000000014</v>
      </c>
    </row>
    <row r="31" spans="1:5" ht="18" customHeight="1">
      <c r="A31" s="155" t="s">
        <v>145</v>
      </c>
      <c r="B31" s="200">
        <f>SUM(B32:B35,B38,B39,B42+B44)</f>
        <v>2811960</v>
      </c>
      <c r="C31" s="200">
        <f>SUM(C32:C35,C38,C39,C42+C44)</f>
        <v>2634061</v>
      </c>
      <c r="D31" s="148">
        <f t="shared" si="0"/>
        <v>93.67348753182834</v>
      </c>
      <c r="E31" s="149">
        <f t="shared" si="1"/>
        <v>-177899</v>
      </c>
    </row>
    <row r="32" spans="1:5" ht="16.5" customHeight="1">
      <c r="A32" s="71" t="s">
        <v>34</v>
      </c>
      <c r="B32" s="168">
        <v>813800</v>
      </c>
      <c r="C32" s="276">
        <v>768100</v>
      </c>
      <c r="D32" s="162">
        <f t="shared" si="0"/>
        <v>94.38436962398625</v>
      </c>
      <c r="E32" s="163">
        <f t="shared" si="1"/>
        <v>-45700</v>
      </c>
    </row>
    <row r="33" spans="1:5" ht="16.5" customHeight="1">
      <c r="A33" s="17" t="s">
        <v>263</v>
      </c>
      <c r="B33" s="168">
        <v>112900</v>
      </c>
      <c r="C33" s="276">
        <v>112900</v>
      </c>
      <c r="D33" s="162">
        <f>IF(B33=0,"   ",C33/B33*100)</f>
        <v>100</v>
      </c>
      <c r="E33" s="163">
        <f>C33-B33</f>
        <v>0</v>
      </c>
    </row>
    <row r="34" spans="1:5" ht="24.75" customHeight="1">
      <c r="A34" s="41" t="s">
        <v>51</v>
      </c>
      <c r="B34" s="234">
        <v>89900</v>
      </c>
      <c r="C34" s="276">
        <v>80594</v>
      </c>
      <c r="D34" s="162">
        <f t="shared" si="0"/>
        <v>89.64849833147942</v>
      </c>
      <c r="E34" s="163">
        <f t="shared" si="1"/>
        <v>-9306</v>
      </c>
    </row>
    <row r="35" spans="1:5" ht="24.75" customHeight="1">
      <c r="A35" s="41" t="s">
        <v>155</v>
      </c>
      <c r="B35" s="234">
        <f>SUM(B36:B37)</f>
        <v>100</v>
      </c>
      <c r="C35" s="234">
        <f>SUM(C36:C37)</f>
        <v>100</v>
      </c>
      <c r="D35" s="162">
        <f t="shared" si="0"/>
        <v>100</v>
      </c>
      <c r="E35" s="163">
        <f t="shared" si="1"/>
        <v>0</v>
      </c>
    </row>
    <row r="36" spans="1:5" ht="16.5" customHeight="1">
      <c r="A36" s="116" t="s">
        <v>174</v>
      </c>
      <c r="B36" s="234">
        <v>100</v>
      </c>
      <c r="C36" s="235">
        <v>100</v>
      </c>
      <c r="D36" s="162">
        <f>IF(B36=0,"   ",C36/B36*100)</f>
        <v>100</v>
      </c>
      <c r="E36" s="163">
        <f>C36-B36</f>
        <v>0</v>
      </c>
    </row>
    <row r="37" spans="1:5" ht="26.25" customHeight="1">
      <c r="A37" s="116" t="s">
        <v>175</v>
      </c>
      <c r="B37" s="234">
        <v>0</v>
      </c>
      <c r="C37" s="235">
        <v>0</v>
      </c>
      <c r="D37" s="162" t="str">
        <f>IF(B37=0,"   ",C37/B37*100)</f>
        <v>   </v>
      </c>
      <c r="E37" s="163">
        <f>C37-B37</f>
        <v>0</v>
      </c>
    </row>
    <row r="38" spans="1:5" ht="50.25" customHeight="1">
      <c r="A38" s="16" t="s">
        <v>282</v>
      </c>
      <c r="B38" s="234">
        <v>1098000</v>
      </c>
      <c r="C38" s="235">
        <v>1025107</v>
      </c>
      <c r="D38" s="162">
        <f>IF(B38=0,"   ",C38/B38*100)</f>
        <v>93.36129326047359</v>
      </c>
      <c r="E38" s="163">
        <f>C38-B38</f>
        <v>-72893</v>
      </c>
    </row>
    <row r="39" spans="1:5" ht="14.25" customHeight="1">
      <c r="A39" s="41" t="s">
        <v>80</v>
      </c>
      <c r="B39" s="234">
        <f>B40+B41</f>
        <v>485432.5</v>
      </c>
      <c r="C39" s="234">
        <f>C40+C41</f>
        <v>485432.5</v>
      </c>
      <c r="D39" s="162">
        <f t="shared" si="0"/>
        <v>100</v>
      </c>
      <c r="E39" s="163">
        <f t="shared" si="1"/>
        <v>0</v>
      </c>
    </row>
    <row r="40" spans="1:5" ht="16.5" customHeight="1">
      <c r="A40" s="41" t="s">
        <v>110</v>
      </c>
      <c r="B40" s="234">
        <v>0</v>
      </c>
      <c r="C40" s="235">
        <v>0</v>
      </c>
      <c r="D40" s="162" t="str">
        <f t="shared" si="0"/>
        <v>   </v>
      </c>
      <c r="E40" s="163">
        <f t="shared" si="1"/>
        <v>0</v>
      </c>
    </row>
    <row r="41" spans="1:5" ht="16.5" customHeight="1">
      <c r="A41" s="53" t="s">
        <v>207</v>
      </c>
      <c r="B41" s="234">
        <v>485432.5</v>
      </c>
      <c r="C41" s="235">
        <v>485432.5</v>
      </c>
      <c r="D41" s="162">
        <f t="shared" si="0"/>
        <v>100</v>
      </c>
      <c r="E41" s="163">
        <f t="shared" si="1"/>
        <v>0</v>
      </c>
    </row>
    <row r="42" spans="1:5" ht="16.5" customHeight="1">
      <c r="A42" s="41" t="s">
        <v>181</v>
      </c>
      <c r="B42" s="234">
        <v>50000</v>
      </c>
      <c r="C42" s="235">
        <v>0</v>
      </c>
      <c r="D42" s="162">
        <f t="shared" si="0"/>
        <v>0</v>
      </c>
      <c r="E42" s="163">
        <f t="shared" si="1"/>
        <v>-50000</v>
      </c>
    </row>
    <row r="43" spans="1:5" ht="37.5" customHeight="1">
      <c r="A43" s="41" t="s">
        <v>104</v>
      </c>
      <c r="B43" s="234">
        <v>0</v>
      </c>
      <c r="C43" s="234">
        <v>0</v>
      </c>
      <c r="D43" s="162" t="str">
        <f t="shared" si="0"/>
        <v>   </v>
      </c>
      <c r="E43" s="163">
        <f t="shared" si="1"/>
        <v>0</v>
      </c>
    </row>
    <row r="44" spans="1:5" ht="15" customHeight="1">
      <c r="A44" s="16" t="s">
        <v>222</v>
      </c>
      <c r="B44" s="234">
        <v>161827.5</v>
      </c>
      <c r="C44" s="276">
        <v>161827.5</v>
      </c>
      <c r="D44" s="162">
        <f t="shared" si="0"/>
        <v>100</v>
      </c>
      <c r="E44" s="163">
        <f t="shared" si="1"/>
        <v>0</v>
      </c>
    </row>
    <row r="45" spans="1:5" ht="21" customHeight="1">
      <c r="A45" s="182" t="s">
        <v>11</v>
      </c>
      <c r="B45" s="158">
        <f>SUM(B30,B31,)</f>
        <v>3770260</v>
      </c>
      <c r="C45" s="158">
        <f>SUM(C30,C31,)</f>
        <v>3630083.39</v>
      </c>
      <c r="D45" s="148">
        <f t="shared" si="0"/>
        <v>96.28204394391899</v>
      </c>
      <c r="E45" s="149">
        <f t="shared" si="1"/>
        <v>-140176.60999999987</v>
      </c>
    </row>
    <row r="46" spans="1:5" ht="21.75" customHeight="1">
      <c r="A46" s="183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6.5" customHeight="1">
      <c r="A47" s="41" t="s">
        <v>35</v>
      </c>
      <c r="B47" s="160">
        <f>SUM(B48,B50:B51)</f>
        <v>987628</v>
      </c>
      <c r="C47" s="160">
        <f>SUM(C48,C50:C51)</f>
        <v>764441.51</v>
      </c>
      <c r="D47" s="162">
        <f t="shared" si="0"/>
        <v>77.40176564455443</v>
      </c>
      <c r="E47" s="163">
        <f t="shared" si="1"/>
        <v>-223186.49</v>
      </c>
    </row>
    <row r="48" spans="1:5" ht="13.5" customHeight="1">
      <c r="A48" s="41" t="s">
        <v>36</v>
      </c>
      <c r="B48" s="160">
        <v>987128</v>
      </c>
      <c r="C48" s="160">
        <v>764441.51</v>
      </c>
      <c r="D48" s="162">
        <f t="shared" si="0"/>
        <v>77.44097118104239</v>
      </c>
      <c r="E48" s="163">
        <f t="shared" si="1"/>
        <v>-222686.49</v>
      </c>
    </row>
    <row r="49" spans="1:5" ht="12.75">
      <c r="A49" s="41" t="s">
        <v>123</v>
      </c>
      <c r="B49" s="160">
        <v>615229</v>
      </c>
      <c r="C49" s="170">
        <v>507110.64</v>
      </c>
      <c r="D49" s="162">
        <f t="shared" si="0"/>
        <v>82.42632255631644</v>
      </c>
      <c r="E49" s="163">
        <f t="shared" si="1"/>
        <v>-108118.35999999999</v>
      </c>
    </row>
    <row r="50" spans="1:5" ht="12.75">
      <c r="A50" s="41" t="s">
        <v>96</v>
      </c>
      <c r="B50" s="160">
        <v>500</v>
      </c>
      <c r="C50" s="161">
        <v>0</v>
      </c>
      <c r="D50" s="162">
        <f t="shared" si="0"/>
        <v>0</v>
      </c>
      <c r="E50" s="163">
        <f t="shared" si="1"/>
        <v>-500</v>
      </c>
    </row>
    <row r="51" spans="1:5" ht="12.75">
      <c r="A51" s="41" t="s">
        <v>52</v>
      </c>
      <c r="B51" s="161">
        <f>SUM(B52)</f>
        <v>0</v>
      </c>
      <c r="C51" s="161">
        <f>SUM(C52)</f>
        <v>0</v>
      </c>
      <c r="D51" s="162" t="str">
        <f t="shared" si="0"/>
        <v>   </v>
      </c>
      <c r="E51" s="163">
        <f t="shared" si="1"/>
        <v>0</v>
      </c>
    </row>
    <row r="52" spans="1:5" ht="26.25">
      <c r="A52" s="112" t="s">
        <v>164</v>
      </c>
      <c r="B52" s="160">
        <v>0</v>
      </c>
      <c r="C52" s="161">
        <v>0</v>
      </c>
      <c r="D52" s="162" t="str">
        <f t="shared" si="0"/>
        <v>   </v>
      </c>
      <c r="E52" s="163">
        <f t="shared" si="1"/>
        <v>0</v>
      </c>
    </row>
    <row r="53" spans="1:5" ht="16.5" customHeight="1">
      <c r="A53" s="41" t="s">
        <v>49</v>
      </c>
      <c r="B53" s="161">
        <f>SUM(B54)</f>
        <v>89900</v>
      </c>
      <c r="C53" s="161">
        <f>SUM(C54)</f>
        <v>72622.49</v>
      </c>
      <c r="D53" s="162">
        <f t="shared" si="0"/>
        <v>80.7814126807564</v>
      </c>
      <c r="E53" s="163">
        <f t="shared" si="1"/>
        <v>-17277.509999999995</v>
      </c>
    </row>
    <row r="54" spans="1:5" ht="17.25" customHeight="1">
      <c r="A54" s="39" t="s">
        <v>108</v>
      </c>
      <c r="B54" s="160">
        <v>89900</v>
      </c>
      <c r="C54" s="161">
        <v>72622.49</v>
      </c>
      <c r="D54" s="162">
        <f t="shared" si="0"/>
        <v>80.7814126807564</v>
      </c>
      <c r="E54" s="163">
        <f t="shared" si="1"/>
        <v>-17277.509999999995</v>
      </c>
    </row>
    <row r="55" spans="1:5" ht="22.5" customHeight="1">
      <c r="A55" s="41" t="s">
        <v>37</v>
      </c>
      <c r="B55" s="160">
        <f>SUM(B56)</f>
        <v>1000</v>
      </c>
      <c r="C55" s="161">
        <f>SUM(C56)</f>
        <v>1000</v>
      </c>
      <c r="D55" s="162">
        <f t="shared" si="0"/>
        <v>100</v>
      </c>
      <c r="E55" s="163">
        <f t="shared" si="1"/>
        <v>0</v>
      </c>
    </row>
    <row r="56" spans="1:5" ht="17.25" customHeight="1">
      <c r="A56" s="82" t="s">
        <v>130</v>
      </c>
      <c r="B56" s="160">
        <v>1000</v>
      </c>
      <c r="C56" s="161">
        <v>1000</v>
      </c>
      <c r="D56" s="162">
        <f t="shared" si="0"/>
        <v>100</v>
      </c>
      <c r="E56" s="163">
        <f t="shared" si="1"/>
        <v>0</v>
      </c>
    </row>
    <row r="57" spans="1:5" ht="18.75" customHeight="1">
      <c r="A57" s="41" t="s">
        <v>38</v>
      </c>
      <c r="B57" s="160">
        <f>B63+B58+B68+B61</f>
        <v>1640000</v>
      </c>
      <c r="C57" s="160">
        <f>C63+C58+C68</f>
        <v>1468790</v>
      </c>
      <c r="D57" s="162">
        <f t="shared" si="0"/>
        <v>89.56036585365854</v>
      </c>
      <c r="E57" s="163">
        <f t="shared" si="1"/>
        <v>-171210</v>
      </c>
    </row>
    <row r="58" spans="1:5" ht="18.75" customHeight="1">
      <c r="A58" s="82" t="s">
        <v>176</v>
      </c>
      <c r="B58" s="25">
        <f>SUM(B59,B60)</f>
        <v>0</v>
      </c>
      <c r="C58" s="160">
        <f>SUM(C59,C60)</f>
        <v>0</v>
      </c>
      <c r="D58" s="162" t="str">
        <f>IF(B58=0,"   ",C58/B58*100)</f>
        <v>   </v>
      </c>
      <c r="E58" s="163">
        <f>C58-B58</f>
        <v>0</v>
      </c>
    </row>
    <row r="59" spans="1:5" ht="18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8.75" customHeight="1">
      <c r="A60" s="82" t="s">
        <v>208</v>
      </c>
      <c r="B60" s="25">
        <v>0</v>
      </c>
      <c r="C60" s="160">
        <v>0</v>
      </c>
      <c r="D60" s="162" t="str">
        <f>IF(B60=0,"   ",C60/B60*100)</f>
        <v>   </v>
      </c>
      <c r="E60" s="163">
        <f>C60-B60</f>
        <v>0</v>
      </c>
    </row>
    <row r="61" spans="1:5" ht="18.75" customHeight="1">
      <c r="A61" s="82" t="s">
        <v>265</v>
      </c>
      <c r="B61" s="25">
        <f>SUM(B62)</f>
        <v>50000</v>
      </c>
      <c r="C61" s="25">
        <f>SUM(C62)</f>
        <v>0</v>
      </c>
      <c r="D61" s="162">
        <f>IF(B61=0,"   ",C61/B61*100)</f>
        <v>0</v>
      </c>
      <c r="E61" s="163">
        <f>C61-B61</f>
        <v>-50000</v>
      </c>
    </row>
    <row r="62" spans="1:5" ht="18.75" customHeight="1">
      <c r="A62" s="82" t="s">
        <v>266</v>
      </c>
      <c r="B62" s="25">
        <v>50000</v>
      </c>
      <c r="C62" s="160">
        <v>0</v>
      </c>
      <c r="D62" s="162">
        <f>IF(B62=0,"   ",C62/B62*100)</f>
        <v>0</v>
      </c>
      <c r="E62" s="163">
        <f>C62-B62</f>
        <v>-50000</v>
      </c>
    </row>
    <row r="63" spans="1:5" ht="12.75">
      <c r="A63" s="103" t="s">
        <v>134</v>
      </c>
      <c r="B63" s="160">
        <f>B64+B66+B67+B65</f>
        <v>1543000</v>
      </c>
      <c r="C63" s="160">
        <f>C64+C66+C67+C65</f>
        <v>1438300</v>
      </c>
      <c r="D63" s="162">
        <f t="shared" si="0"/>
        <v>93.21451717433571</v>
      </c>
      <c r="E63" s="163">
        <f t="shared" si="1"/>
        <v>-104700</v>
      </c>
    </row>
    <row r="64" spans="1:5" ht="16.5" customHeight="1">
      <c r="A64" s="82" t="s">
        <v>146</v>
      </c>
      <c r="B64" s="160">
        <v>0</v>
      </c>
      <c r="C64" s="160">
        <v>0</v>
      </c>
      <c r="D64" s="162" t="str">
        <f t="shared" si="0"/>
        <v>   </v>
      </c>
      <c r="E64" s="163">
        <f t="shared" si="1"/>
        <v>0</v>
      </c>
    </row>
    <row r="65" spans="1:5" ht="13.5" customHeight="1">
      <c r="A65" s="82" t="s">
        <v>156</v>
      </c>
      <c r="B65" s="160">
        <v>0</v>
      </c>
      <c r="C65" s="160">
        <v>0</v>
      </c>
      <c r="D65" s="162" t="str">
        <f>IF(B65=0,"   ",C65/B65*100)</f>
        <v>   </v>
      </c>
      <c r="E65" s="163">
        <f>C65-B65</f>
        <v>0</v>
      </c>
    </row>
    <row r="66" spans="1:5" ht="26.25">
      <c r="A66" s="78" t="s">
        <v>135</v>
      </c>
      <c r="B66" s="160">
        <v>1098000</v>
      </c>
      <c r="C66" s="160">
        <v>1025107</v>
      </c>
      <c r="D66" s="162">
        <f t="shared" si="0"/>
        <v>93.36129326047359</v>
      </c>
      <c r="E66" s="163">
        <f t="shared" si="1"/>
        <v>-72893</v>
      </c>
    </row>
    <row r="67" spans="1:5" ht="27" thickBot="1">
      <c r="A67" s="78" t="s">
        <v>136</v>
      </c>
      <c r="B67" s="160">
        <v>445000</v>
      </c>
      <c r="C67" s="160">
        <v>413193</v>
      </c>
      <c r="D67" s="162">
        <f t="shared" si="0"/>
        <v>92.8523595505618</v>
      </c>
      <c r="E67" s="163">
        <f t="shared" si="1"/>
        <v>-31807</v>
      </c>
    </row>
    <row r="68" spans="1:5" ht="13.5" thickBot="1">
      <c r="A68" s="103" t="s">
        <v>195</v>
      </c>
      <c r="B68" s="106">
        <f>SUM(B69)</f>
        <v>47000</v>
      </c>
      <c r="C68" s="106">
        <f>SUM(C69)</f>
        <v>30490</v>
      </c>
      <c r="D68" s="162">
        <f>IF(B68=0,"   ",C68/B68*100)</f>
        <v>64.87234042553192</v>
      </c>
      <c r="E68" s="163">
        <f>C68-B68</f>
        <v>-16510</v>
      </c>
    </row>
    <row r="69" spans="1:5" ht="26.25">
      <c r="A69" s="82" t="s">
        <v>196</v>
      </c>
      <c r="B69" s="160">
        <v>47000</v>
      </c>
      <c r="C69" s="160">
        <v>30490</v>
      </c>
      <c r="D69" s="162">
        <f>IF(B69=0,"   ",C69/B69*100)</f>
        <v>64.87234042553192</v>
      </c>
      <c r="E69" s="163">
        <f>C69-B69</f>
        <v>-16510</v>
      </c>
    </row>
    <row r="70" spans="1:5" ht="21.75" customHeight="1">
      <c r="A70" s="41" t="s">
        <v>13</v>
      </c>
      <c r="B70" s="160">
        <f>B76+B71</f>
        <v>904126.25</v>
      </c>
      <c r="C70" s="160">
        <f>C76+C71</f>
        <v>852166.9</v>
      </c>
      <c r="D70" s="162">
        <f t="shared" si="0"/>
        <v>94.25308688913744</v>
      </c>
      <c r="E70" s="163">
        <f t="shared" si="1"/>
        <v>-51959.34999999998</v>
      </c>
    </row>
    <row r="71" spans="1:5" ht="17.25" customHeight="1">
      <c r="A71" s="41" t="s">
        <v>157</v>
      </c>
      <c r="B71" s="160">
        <f>B72</f>
        <v>434426.25</v>
      </c>
      <c r="C71" s="160">
        <f>C72</f>
        <v>434426.25</v>
      </c>
      <c r="D71" s="162">
        <f>IF(B71=0,"   ",C71/B71*100)</f>
        <v>100</v>
      </c>
      <c r="E71" s="163">
        <f>C71-B71</f>
        <v>0</v>
      </c>
    </row>
    <row r="72" spans="1:5" ht="17.25" customHeight="1">
      <c r="A72" s="112" t="s">
        <v>231</v>
      </c>
      <c r="B72" s="160">
        <f>SUM(B73:B75)</f>
        <v>434426.25</v>
      </c>
      <c r="C72" s="160">
        <f>SUM(C73:C75)</f>
        <v>434426.25</v>
      </c>
      <c r="D72" s="162">
        <f>IF(B72=0,"   ",C72/B72*100)</f>
        <v>100</v>
      </c>
      <c r="E72" s="163">
        <f>C72-B72</f>
        <v>0</v>
      </c>
    </row>
    <row r="73" spans="1:5" ht="27.75" customHeight="1">
      <c r="A73" s="112" t="s">
        <v>206</v>
      </c>
      <c r="B73" s="161">
        <v>260632.5</v>
      </c>
      <c r="C73" s="161">
        <v>260632.5</v>
      </c>
      <c r="D73" s="162">
        <f>IF(B73=0,"   ",C73/B73*100)</f>
        <v>100</v>
      </c>
      <c r="E73" s="163">
        <f>C73-B73</f>
        <v>0</v>
      </c>
    </row>
    <row r="74" spans="1:5" ht="27.75" customHeight="1">
      <c r="A74" s="112" t="s">
        <v>223</v>
      </c>
      <c r="B74" s="161">
        <v>86916.25</v>
      </c>
      <c r="C74" s="161">
        <v>86916.25</v>
      </c>
      <c r="D74" s="162">
        <f>IF(B74=0,"   ",C74/B74*100)</f>
        <v>100</v>
      </c>
      <c r="E74" s="163">
        <f>C74-B74</f>
        <v>0</v>
      </c>
    </row>
    <row r="75" spans="1:5" ht="22.5" customHeight="1">
      <c r="A75" s="112" t="s">
        <v>237</v>
      </c>
      <c r="B75" s="161">
        <v>86877.5</v>
      </c>
      <c r="C75" s="161">
        <v>86877.5</v>
      </c>
      <c r="D75" s="162">
        <f>IF(B75=0,"   ",C75/B75*100)</f>
        <v>100</v>
      </c>
      <c r="E75" s="163">
        <f>C75-B75</f>
        <v>0</v>
      </c>
    </row>
    <row r="76" spans="1:5" ht="12.75">
      <c r="A76" s="41" t="s">
        <v>63</v>
      </c>
      <c r="B76" s="160">
        <f>B77+B78+B83+B79</f>
        <v>469700</v>
      </c>
      <c r="C76" s="160">
        <f>C77+C78+C83+C79</f>
        <v>417740.65</v>
      </c>
      <c r="D76" s="162">
        <f t="shared" si="0"/>
        <v>88.93775814349584</v>
      </c>
      <c r="E76" s="163">
        <f t="shared" si="1"/>
        <v>-51959.34999999998</v>
      </c>
    </row>
    <row r="77" spans="1:5" ht="12.75">
      <c r="A77" s="41" t="s">
        <v>62</v>
      </c>
      <c r="B77" s="160">
        <v>75000</v>
      </c>
      <c r="C77" s="161">
        <v>43040.65</v>
      </c>
      <c r="D77" s="162">
        <f t="shared" si="0"/>
        <v>57.38753333333334</v>
      </c>
      <c r="E77" s="163">
        <f t="shared" si="1"/>
        <v>-31959.35</v>
      </c>
    </row>
    <row r="78" spans="1:5" ht="12.75">
      <c r="A78" s="41" t="s">
        <v>133</v>
      </c>
      <c r="B78" s="160">
        <v>20000</v>
      </c>
      <c r="C78" s="160">
        <v>0</v>
      </c>
      <c r="D78" s="162">
        <f t="shared" si="0"/>
        <v>0</v>
      </c>
      <c r="E78" s="163">
        <f t="shared" si="1"/>
        <v>-20000</v>
      </c>
    </row>
    <row r="79" spans="1:5" ht="12.75">
      <c r="A79" s="112" t="s">
        <v>231</v>
      </c>
      <c r="B79" s="160">
        <f>SUM(B80:B82)</f>
        <v>374700</v>
      </c>
      <c r="C79" s="160">
        <f>SUM(C80:C82)</f>
        <v>374700</v>
      </c>
      <c r="D79" s="162">
        <f t="shared" si="0"/>
        <v>100</v>
      </c>
      <c r="E79" s="163">
        <f t="shared" si="1"/>
        <v>0</v>
      </c>
    </row>
    <row r="80" spans="1:5" ht="26.25">
      <c r="A80" s="112" t="s">
        <v>206</v>
      </c>
      <c r="B80" s="160">
        <v>224800</v>
      </c>
      <c r="C80" s="160">
        <v>224800</v>
      </c>
      <c r="D80" s="162">
        <f t="shared" si="0"/>
        <v>100</v>
      </c>
      <c r="E80" s="163">
        <f t="shared" si="1"/>
        <v>0</v>
      </c>
    </row>
    <row r="81" spans="1:5" ht="26.25">
      <c r="A81" s="112" t="s">
        <v>223</v>
      </c>
      <c r="B81" s="160">
        <v>74950</v>
      </c>
      <c r="C81" s="160">
        <v>74950</v>
      </c>
      <c r="D81" s="162">
        <f>IF(B81=0,"   ",C81/B81*100)</f>
        <v>100</v>
      </c>
      <c r="E81" s="163">
        <f>C81-B81</f>
        <v>0</v>
      </c>
    </row>
    <row r="82" spans="1:5" ht="26.25">
      <c r="A82" s="112" t="s">
        <v>237</v>
      </c>
      <c r="B82" s="160">
        <v>74950</v>
      </c>
      <c r="C82" s="160">
        <v>74950</v>
      </c>
      <c r="D82" s="162">
        <f>IF(B82=0,"   ",C82/B82*100)</f>
        <v>100</v>
      </c>
      <c r="E82" s="163">
        <f>C82-B82</f>
        <v>0</v>
      </c>
    </row>
    <row r="83" spans="1:5" ht="26.25">
      <c r="A83" s="112" t="s">
        <v>178</v>
      </c>
      <c r="B83" s="160">
        <v>0</v>
      </c>
      <c r="C83" s="161">
        <v>0</v>
      </c>
      <c r="D83" s="162" t="str">
        <f>IF(B83=0,"   ",C83/B83*100)</f>
        <v>   </v>
      </c>
      <c r="E83" s="163">
        <f>C83-B83</f>
        <v>0</v>
      </c>
    </row>
    <row r="84" spans="1:5" ht="21.75" customHeight="1">
      <c r="A84" s="18" t="s">
        <v>17</v>
      </c>
      <c r="B84" s="160">
        <v>8000</v>
      </c>
      <c r="C84" s="160">
        <v>8000</v>
      </c>
      <c r="D84" s="162">
        <f t="shared" si="0"/>
        <v>100</v>
      </c>
      <c r="E84" s="163">
        <f t="shared" si="1"/>
        <v>0</v>
      </c>
    </row>
    <row r="85" spans="1:5" ht="22.5" customHeight="1">
      <c r="A85" s="41" t="s">
        <v>41</v>
      </c>
      <c r="B85" s="168">
        <f>B86</f>
        <v>209805.75</v>
      </c>
      <c r="C85" s="168">
        <f>C86</f>
        <v>111600</v>
      </c>
      <c r="D85" s="162">
        <f t="shared" si="0"/>
        <v>53.192059798170455</v>
      </c>
      <c r="E85" s="163">
        <f t="shared" si="1"/>
        <v>-98205.75</v>
      </c>
    </row>
    <row r="86" spans="1:5" ht="12.75">
      <c r="A86" s="41" t="s">
        <v>42</v>
      </c>
      <c r="B86" s="160">
        <v>209805.75</v>
      </c>
      <c r="C86" s="161">
        <v>111600</v>
      </c>
      <c r="D86" s="162">
        <f t="shared" si="0"/>
        <v>53.192059798170455</v>
      </c>
      <c r="E86" s="163">
        <f t="shared" si="1"/>
        <v>-98205.75</v>
      </c>
    </row>
    <row r="87" spans="1:5" ht="12.75">
      <c r="A87" s="178" t="s">
        <v>149</v>
      </c>
      <c r="B87" s="160">
        <v>111600</v>
      </c>
      <c r="C87" s="161"/>
      <c r="D87" s="162"/>
      <c r="E87" s="163"/>
    </row>
    <row r="88" spans="1:5" ht="12.75">
      <c r="A88" s="124" t="s">
        <v>229</v>
      </c>
      <c r="B88" s="160">
        <v>98205.75</v>
      </c>
      <c r="C88" s="161">
        <v>0</v>
      </c>
      <c r="D88" s="162">
        <f t="shared" si="0"/>
        <v>0</v>
      </c>
      <c r="E88" s="163">
        <f t="shared" si="1"/>
        <v>-98205.75</v>
      </c>
    </row>
    <row r="89" spans="1:5" ht="16.5" customHeight="1">
      <c r="A89" s="41" t="s">
        <v>125</v>
      </c>
      <c r="B89" s="160">
        <f>SUM(B90,)</f>
        <v>4000</v>
      </c>
      <c r="C89" s="160">
        <f>SUM(C90,)</f>
        <v>4000</v>
      </c>
      <c r="D89" s="162">
        <f t="shared" si="0"/>
        <v>100</v>
      </c>
      <c r="E89" s="163">
        <f t="shared" si="1"/>
        <v>0</v>
      </c>
    </row>
    <row r="90" spans="1:5" ht="12.75">
      <c r="A90" s="41" t="s">
        <v>43</v>
      </c>
      <c r="B90" s="160">
        <v>4000</v>
      </c>
      <c r="C90" s="170">
        <v>4000</v>
      </c>
      <c r="D90" s="162">
        <f t="shared" si="0"/>
        <v>100</v>
      </c>
      <c r="E90" s="163">
        <f t="shared" si="1"/>
        <v>0</v>
      </c>
    </row>
    <row r="91" spans="1:5" ht="28.5" customHeight="1">
      <c r="A91" s="182" t="s">
        <v>15</v>
      </c>
      <c r="B91" s="158">
        <f>SUM(B47,B53,B55,B57,B70,B84,B85,B89,)</f>
        <v>3844460</v>
      </c>
      <c r="C91" s="158">
        <f>SUM(C47,C53,C55,C57,C70,C84,C85,C89,)</f>
        <v>3282620.9</v>
      </c>
      <c r="D91" s="148">
        <f>IF(B91=0,"   ",C91/B91*100)</f>
        <v>85.38574728310347</v>
      </c>
      <c r="E91" s="149">
        <f t="shared" si="1"/>
        <v>-561839.1000000001</v>
      </c>
    </row>
    <row r="92" spans="1:5" s="66" customFormat="1" ht="23.25" customHeight="1">
      <c r="A92" s="87" t="s">
        <v>256</v>
      </c>
      <c r="B92" s="87"/>
      <c r="C92" s="292"/>
      <c r="D92" s="292"/>
      <c r="E92" s="292"/>
    </row>
    <row r="93" spans="1:5" s="66" customFormat="1" ht="12" customHeight="1">
      <c r="A93" s="87" t="s">
        <v>163</v>
      </c>
      <c r="B93" s="87"/>
      <c r="C93" s="88" t="s">
        <v>302</v>
      </c>
      <c r="D93" s="89"/>
      <c r="E93" s="90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sheetProtection/>
  <mergeCells count="2">
    <mergeCell ref="A1:E1"/>
    <mergeCell ref="C92:E92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zoomScalePageLayoutView="0" workbookViewId="0" topLeftCell="A104">
      <selection activeCell="C29" sqref="C29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294" t="s">
        <v>313</v>
      </c>
      <c r="B1" s="294"/>
      <c r="C1" s="294"/>
      <c r="D1" s="294"/>
      <c r="E1" s="294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270</v>
      </c>
      <c r="C4" s="32" t="s">
        <v>314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9" t="s">
        <v>45</v>
      </c>
      <c r="B7" s="156">
        <f>SUM(B8)</f>
        <v>9916500</v>
      </c>
      <c r="C7" s="156">
        <f>SUM(C8)</f>
        <v>8229140.48</v>
      </c>
      <c r="D7" s="146">
        <f aca="true" t="shared" si="0" ref="D7:D106">IF(B7=0,"   ",C7/B7*100)</f>
        <v>82.98432390460344</v>
      </c>
      <c r="E7" s="147">
        <f aca="true" t="shared" si="1" ref="E7:E128">C7-B7</f>
        <v>-1687359.5199999996</v>
      </c>
    </row>
    <row r="8" spans="1:5" ht="12.75">
      <c r="A8" s="92" t="s">
        <v>44</v>
      </c>
      <c r="B8" s="91">
        <v>9916500</v>
      </c>
      <c r="C8" s="277">
        <v>8229140.48</v>
      </c>
      <c r="D8" s="146">
        <f t="shared" si="0"/>
        <v>82.98432390460344</v>
      </c>
      <c r="E8" s="147">
        <f t="shared" si="1"/>
        <v>-1687359.5199999996</v>
      </c>
    </row>
    <row r="9" spans="1:5" ht="18.75" customHeight="1">
      <c r="A9" s="159" t="s">
        <v>142</v>
      </c>
      <c r="B9" s="265">
        <f>SUM(B10)</f>
        <v>1054700</v>
      </c>
      <c r="C9" s="265">
        <f>SUM(C10)</f>
        <v>1139643.98</v>
      </c>
      <c r="D9" s="146">
        <f t="shared" si="0"/>
        <v>108.05385228026927</v>
      </c>
      <c r="E9" s="147">
        <f t="shared" si="1"/>
        <v>84943.97999999998</v>
      </c>
    </row>
    <row r="10" spans="1:5" ht="12.75">
      <c r="A10" s="92" t="s">
        <v>143</v>
      </c>
      <c r="B10" s="266">
        <v>1054700</v>
      </c>
      <c r="C10" s="277">
        <v>1139643.98</v>
      </c>
      <c r="D10" s="146">
        <f t="shared" si="0"/>
        <v>108.05385228026927</v>
      </c>
      <c r="E10" s="147">
        <f t="shared" si="1"/>
        <v>84943.97999999998</v>
      </c>
    </row>
    <row r="11" spans="1:5" ht="17.25" customHeight="1">
      <c r="A11" s="92" t="s">
        <v>7</v>
      </c>
      <c r="B11" s="266">
        <f>SUM(B12:B12)</f>
        <v>4200</v>
      </c>
      <c r="C11" s="265">
        <f>SUM(C12)</f>
        <v>879.72</v>
      </c>
      <c r="D11" s="146">
        <f t="shared" si="0"/>
        <v>20.94571428571429</v>
      </c>
      <c r="E11" s="147">
        <f t="shared" si="1"/>
        <v>-3320.2799999999997</v>
      </c>
    </row>
    <row r="12" spans="1:5" ht="12.75">
      <c r="A12" s="92" t="s">
        <v>26</v>
      </c>
      <c r="B12" s="266">
        <v>4200</v>
      </c>
      <c r="C12" s="277">
        <v>879.72</v>
      </c>
      <c r="D12" s="146">
        <f t="shared" si="0"/>
        <v>20.94571428571429</v>
      </c>
      <c r="E12" s="147">
        <f t="shared" si="1"/>
        <v>-3320.2799999999997</v>
      </c>
    </row>
    <row r="13" spans="1:5" ht="16.5" customHeight="1">
      <c r="A13" s="92" t="s">
        <v>9</v>
      </c>
      <c r="B13" s="266">
        <f>SUM(B14:B15)</f>
        <v>5579000</v>
      </c>
      <c r="C13" s="266">
        <f>SUM(C14:C15)</f>
        <v>4350754.1</v>
      </c>
      <c r="D13" s="146">
        <f t="shared" si="0"/>
        <v>77.98447929736511</v>
      </c>
      <c r="E13" s="147">
        <f t="shared" si="1"/>
        <v>-1228245.9000000004</v>
      </c>
    </row>
    <row r="14" spans="1:5" ht="12.75">
      <c r="A14" s="92" t="s">
        <v>27</v>
      </c>
      <c r="B14" s="266">
        <v>3158000</v>
      </c>
      <c r="C14" s="277">
        <v>2214789.32</v>
      </c>
      <c r="D14" s="146">
        <f t="shared" si="0"/>
        <v>70.13265737808739</v>
      </c>
      <c r="E14" s="147">
        <f t="shared" si="1"/>
        <v>-943210.6800000002</v>
      </c>
    </row>
    <row r="15" spans="1:5" ht="12.75">
      <c r="A15" s="41" t="s">
        <v>171</v>
      </c>
      <c r="B15" s="31">
        <f>SUM(B16:B17)</f>
        <v>2421000</v>
      </c>
      <c r="C15" s="31">
        <f>SUM(C16:C17)</f>
        <v>2135964.7800000003</v>
      </c>
      <c r="D15" s="146">
        <f t="shared" si="0"/>
        <v>88.22655018587362</v>
      </c>
      <c r="E15" s="147">
        <f t="shared" si="1"/>
        <v>-285035.21999999974</v>
      </c>
    </row>
    <row r="16" spans="1:5" ht="12.75">
      <c r="A16" s="41" t="s">
        <v>172</v>
      </c>
      <c r="B16" s="160">
        <v>963000</v>
      </c>
      <c r="C16" s="277">
        <v>916997.22</v>
      </c>
      <c r="D16" s="146">
        <f t="shared" si="0"/>
        <v>95.22297196261682</v>
      </c>
      <c r="E16" s="147">
        <f t="shared" si="1"/>
        <v>-46002.78000000003</v>
      </c>
    </row>
    <row r="17" spans="1:5" ht="12.75">
      <c r="A17" s="41" t="s">
        <v>173</v>
      </c>
      <c r="B17" s="266">
        <v>1458000</v>
      </c>
      <c r="C17" s="277">
        <v>1218967.56</v>
      </c>
      <c r="D17" s="146">
        <f t="shared" si="0"/>
        <v>83.60545679012345</v>
      </c>
      <c r="E17" s="147">
        <f t="shared" si="1"/>
        <v>-239032.43999999994</v>
      </c>
    </row>
    <row r="18" spans="1:5" ht="12.75">
      <c r="A18" s="92" t="s">
        <v>89</v>
      </c>
      <c r="B18" s="266">
        <v>0</v>
      </c>
      <c r="C18" s="267">
        <v>0</v>
      </c>
      <c r="D18" s="146" t="str">
        <f t="shared" si="0"/>
        <v>   </v>
      </c>
      <c r="E18" s="147">
        <f t="shared" si="1"/>
        <v>0</v>
      </c>
    </row>
    <row r="19" spans="1:5" ht="27" customHeight="1">
      <c r="A19" s="92" t="s">
        <v>28</v>
      </c>
      <c r="B19" s="266">
        <f>SUM(B20:B23)</f>
        <v>1890400</v>
      </c>
      <c r="C19" s="266">
        <f>SUM(C20:C23)</f>
        <v>1204424.81</v>
      </c>
      <c r="D19" s="146">
        <f t="shared" si="0"/>
        <v>63.7126962547609</v>
      </c>
      <c r="E19" s="147">
        <f t="shared" si="1"/>
        <v>-685975.19</v>
      </c>
    </row>
    <row r="20" spans="1:5" ht="12.75">
      <c r="A20" s="93" t="s">
        <v>162</v>
      </c>
      <c r="B20" s="266">
        <v>1273200</v>
      </c>
      <c r="C20" s="277">
        <v>607607.83</v>
      </c>
      <c r="D20" s="162">
        <f t="shared" si="0"/>
        <v>47.72288956958843</v>
      </c>
      <c r="E20" s="163">
        <f t="shared" si="1"/>
        <v>-665592.17</v>
      </c>
    </row>
    <row r="21" spans="1:5" ht="12.75">
      <c r="A21" s="41" t="s">
        <v>161</v>
      </c>
      <c r="B21" s="266">
        <v>0</v>
      </c>
      <c r="C21" s="267">
        <v>0</v>
      </c>
      <c r="D21" s="162" t="str">
        <f t="shared" si="0"/>
        <v>   </v>
      </c>
      <c r="E21" s="163">
        <f t="shared" si="1"/>
        <v>0</v>
      </c>
    </row>
    <row r="22" spans="1:5" ht="24" customHeight="1">
      <c r="A22" s="164" t="s">
        <v>30</v>
      </c>
      <c r="B22" s="266">
        <v>67200</v>
      </c>
      <c r="C22" s="277">
        <v>11888.91</v>
      </c>
      <c r="D22" s="162">
        <f t="shared" si="0"/>
        <v>17.691830357142855</v>
      </c>
      <c r="E22" s="163">
        <f t="shared" si="1"/>
        <v>-55311.09</v>
      </c>
    </row>
    <row r="23" spans="1:5" ht="42" customHeight="1">
      <c r="A23" s="16" t="s">
        <v>225</v>
      </c>
      <c r="B23" s="266">
        <v>550000</v>
      </c>
      <c r="C23" s="277">
        <v>584928.07</v>
      </c>
      <c r="D23" s="162">
        <f t="shared" si="0"/>
        <v>106.35055818181817</v>
      </c>
      <c r="E23" s="163">
        <f t="shared" si="1"/>
        <v>34928.06999999995</v>
      </c>
    </row>
    <row r="24" spans="1:5" ht="19.5" customHeight="1">
      <c r="A24" s="39" t="s">
        <v>92</v>
      </c>
      <c r="B24" s="266">
        <v>0</v>
      </c>
      <c r="C24" s="277">
        <v>7311.02</v>
      </c>
      <c r="D24" s="162" t="str">
        <f t="shared" si="0"/>
        <v>   </v>
      </c>
      <c r="E24" s="163">
        <f t="shared" si="1"/>
        <v>7311.02</v>
      </c>
    </row>
    <row r="25" spans="1:5" ht="15.75" customHeight="1">
      <c r="A25" s="164" t="s">
        <v>76</v>
      </c>
      <c r="B25" s="266">
        <f>SUM(B26:B27)</f>
        <v>150000</v>
      </c>
      <c r="C25" s="266">
        <f>SUM(C26:C27)</f>
        <v>172929.08</v>
      </c>
      <c r="D25" s="162">
        <f t="shared" si="0"/>
        <v>115.28605333333333</v>
      </c>
      <c r="E25" s="163">
        <f t="shared" si="1"/>
        <v>22929.079999999987</v>
      </c>
    </row>
    <row r="26" spans="1:5" ht="15.75" customHeight="1">
      <c r="A26" s="16" t="s">
        <v>226</v>
      </c>
      <c r="B26" s="266">
        <v>0</v>
      </c>
      <c r="C26" s="266">
        <v>0</v>
      </c>
      <c r="D26" s="162" t="str">
        <f t="shared" si="0"/>
        <v>   </v>
      </c>
      <c r="E26" s="163">
        <f t="shared" si="1"/>
        <v>0</v>
      </c>
    </row>
    <row r="27" spans="1:5" ht="25.5" customHeight="1">
      <c r="A27" s="16" t="s">
        <v>264</v>
      </c>
      <c r="B27" s="266">
        <v>150000</v>
      </c>
      <c r="C27" s="277">
        <v>172929.08</v>
      </c>
      <c r="D27" s="162">
        <f t="shared" si="0"/>
        <v>115.28605333333333</v>
      </c>
      <c r="E27" s="163">
        <f t="shared" si="1"/>
        <v>22929.079999999987</v>
      </c>
    </row>
    <row r="28" spans="1:5" ht="15" customHeight="1">
      <c r="A28" s="164" t="s">
        <v>31</v>
      </c>
      <c r="B28" s="266">
        <v>0</v>
      </c>
      <c r="C28" s="266">
        <v>48984</v>
      </c>
      <c r="D28" s="162" t="str">
        <f t="shared" si="0"/>
        <v>   </v>
      </c>
      <c r="E28" s="163">
        <f t="shared" si="1"/>
        <v>48984</v>
      </c>
    </row>
    <row r="29" spans="1:5" ht="12.75">
      <c r="A29" s="164" t="s">
        <v>32</v>
      </c>
      <c r="B29" s="266">
        <f>B30+B31</f>
        <v>0</v>
      </c>
      <c r="C29" s="266">
        <f>C30+C31</f>
        <v>1250</v>
      </c>
      <c r="D29" s="162" t="str">
        <f t="shared" si="0"/>
        <v>   </v>
      </c>
      <c r="E29" s="163">
        <f t="shared" si="1"/>
        <v>1250</v>
      </c>
    </row>
    <row r="30" spans="1:5" ht="13.5" customHeight="1">
      <c r="A30" s="164" t="s">
        <v>46</v>
      </c>
      <c r="B30" s="266">
        <v>0</v>
      </c>
      <c r="C30" s="266">
        <v>1250</v>
      </c>
      <c r="D30" s="162" t="str">
        <f t="shared" si="0"/>
        <v>   </v>
      </c>
      <c r="E30" s="163">
        <f t="shared" si="1"/>
        <v>1250</v>
      </c>
    </row>
    <row r="31" spans="1:5" ht="15.75" customHeight="1">
      <c r="A31" s="164" t="s">
        <v>111</v>
      </c>
      <c r="B31" s="266">
        <v>0</v>
      </c>
      <c r="C31" s="267">
        <v>0</v>
      </c>
      <c r="D31" s="162" t="str">
        <f t="shared" si="0"/>
        <v>   </v>
      </c>
      <c r="E31" s="163">
        <f t="shared" si="1"/>
        <v>0</v>
      </c>
    </row>
    <row r="32" spans="1:5" ht="15" customHeight="1">
      <c r="A32" s="165" t="s">
        <v>10</v>
      </c>
      <c r="B32" s="158">
        <f>SUM(B7,B9,B11,B13,B18,B19,B24,B25,B28,B29,)</f>
        <v>18594800</v>
      </c>
      <c r="C32" s="158">
        <f>SUM(C7,C9,C11,C13,C18,C19,C24,C25,C28,C29,)</f>
        <v>15155317.190000001</v>
      </c>
      <c r="D32" s="148">
        <f t="shared" si="0"/>
        <v>81.50298572719255</v>
      </c>
      <c r="E32" s="149">
        <f t="shared" si="1"/>
        <v>-3439482.8099999987</v>
      </c>
    </row>
    <row r="33" spans="1:5" ht="18" customHeight="1">
      <c r="A33" s="166" t="s">
        <v>145</v>
      </c>
      <c r="B33" s="200">
        <f>B34+B36+B37+B40+B42+B43+B44+B45+B48+B41</f>
        <v>14827451.330000002</v>
      </c>
      <c r="C33" s="200">
        <f>C34+C36+C37+C40+C42+C43+C44+C45+C48+C41</f>
        <v>13332621.36</v>
      </c>
      <c r="D33" s="148">
        <f t="shared" si="0"/>
        <v>89.91849686954932</v>
      </c>
      <c r="E33" s="149">
        <f t="shared" si="1"/>
        <v>-1494829.9700000025</v>
      </c>
    </row>
    <row r="34" spans="1:5" ht="15" customHeight="1">
      <c r="A34" s="167" t="s">
        <v>34</v>
      </c>
      <c r="B34" s="168">
        <v>3159000</v>
      </c>
      <c r="C34" s="277">
        <v>2982150</v>
      </c>
      <c r="D34" s="162">
        <f t="shared" si="0"/>
        <v>94.4017094017094</v>
      </c>
      <c r="E34" s="163">
        <f t="shared" si="1"/>
        <v>-176850</v>
      </c>
    </row>
    <row r="35" spans="1:5" ht="15" customHeight="1">
      <c r="A35" s="17" t="s">
        <v>263</v>
      </c>
      <c r="B35" s="168">
        <v>0</v>
      </c>
      <c r="C35" s="277">
        <v>0</v>
      </c>
      <c r="D35" s="162" t="str">
        <f>IF(B35=0,"   ",C35/B35*100)</f>
        <v>   </v>
      </c>
      <c r="E35" s="163">
        <f>C35-B35</f>
        <v>0</v>
      </c>
    </row>
    <row r="36" spans="1:5" ht="24.75" customHeight="1">
      <c r="A36" s="164" t="s">
        <v>51</v>
      </c>
      <c r="B36" s="266">
        <v>359800</v>
      </c>
      <c r="C36" s="277">
        <v>322905</v>
      </c>
      <c r="D36" s="162">
        <f t="shared" si="0"/>
        <v>89.74569205113953</v>
      </c>
      <c r="E36" s="163">
        <f t="shared" si="1"/>
        <v>-36895</v>
      </c>
    </row>
    <row r="37" spans="1:5" ht="24.75" customHeight="1">
      <c r="A37" s="164" t="s">
        <v>155</v>
      </c>
      <c r="B37" s="266">
        <f>SUM(B38:B39)</f>
        <v>42000</v>
      </c>
      <c r="C37" s="266">
        <f>SUM(C38:C39)</f>
        <v>22753.8</v>
      </c>
      <c r="D37" s="162">
        <f t="shared" si="0"/>
        <v>54.175714285714285</v>
      </c>
      <c r="E37" s="163">
        <f t="shared" si="1"/>
        <v>-19246.2</v>
      </c>
    </row>
    <row r="38" spans="1:5" ht="13.5" customHeight="1">
      <c r="A38" s="116" t="s">
        <v>174</v>
      </c>
      <c r="B38" s="266">
        <v>1400</v>
      </c>
      <c r="C38" s="267">
        <v>650</v>
      </c>
      <c r="D38" s="162">
        <f>IF(B38=0,"   ",C38/B38*100)</f>
        <v>46.42857142857143</v>
      </c>
      <c r="E38" s="163">
        <f>C38-B38</f>
        <v>-750</v>
      </c>
    </row>
    <row r="39" spans="1:5" ht="24.75" customHeight="1">
      <c r="A39" s="116" t="s">
        <v>175</v>
      </c>
      <c r="B39" s="266">
        <v>40600</v>
      </c>
      <c r="C39" s="267">
        <v>22103.8</v>
      </c>
      <c r="D39" s="162">
        <f>IF(B39=0,"   ",C39/B39*100)</f>
        <v>54.442857142857136</v>
      </c>
      <c r="E39" s="163">
        <f>C39-B39</f>
        <v>-18496.2</v>
      </c>
    </row>
    <row r="40" spans="1:5" ht="42" customHeight="1">
      <c r="A40" s="164" t="s">
        <v>124</v>
      </c>
      <c r="B40" s="266">
        <v>0</v>
      </c>
      <c r="C40" s="267">
        <v>0</v>
      </c>
      <c r="D40" s="162" t="str">
        <f t="shared" si="0"/>
        <v>   </v>
      </c>
      <c r="E40" s="163">
        <f t="shared" si="1"/>
        <v>0</v>
      </c>
    </row>
    <row r="41" spans="1:5" ht="21" customHeight="1">
      <c r="A41" s="41" t="s">
        <v>181</v>
      </c>
      <c r="B41" s="266">
        <v>50000</v>
      </c>
      <c r="C41" s="267">
        <v>0</v>
      </c>
      <c r="D41" s="162">
        <f t="shared" si="0"/>
        <v>0</v>
      </c>
      <c r="E41" s="163">
        <f t="shared" si="1"/>
        <v>-50000</v>
      </c>
    </row>
    <row r="42" spans="1:5" ht="47.25" customHeight="1">
      <c r="A42" s="16" t="s">
        <v>251</v>
      </c>
      <c r="B42" s="278">
        <v>6805686.46</v>
      </c>
      <c r="C42" s="279">
        <v>6054212.51</v>
      </c>
      <c r="D42" s="197">
        <f>IF(B42=0,"   ",C42/B42)</f>
        <v>0.8895814618530046</v>
      </c>
      <c r="E42" s="198">
        <f>C42-B42</f>
        <v>-751473.9500000002</v>
      </c>
    </row>
    <row r="43" spans="1:5" ht="57" customHeight="1">
      <c r="A43" s="16" t="s">
        <v>282</v>
      </c>
      <c r="B43" s="278">
        <v>2237800</v>
      </c>
      <c r="C43" s="279">
        <v>1958306</v>
      </c>
      <c r="D43" s="197">
        <f>IF(B43=0,"   ",C43/B43)</f>
        <v>0.8751032263830548</v>
      </c>
      <c r="E43" s="198">
        <f>C43-B43</f>
        <v>-279494</v>
      </c>
    </row>
    <row r="44" spans="1:5" ht="51" customHeight="1">
      <c r="A44" s="16" t="s">
        <v>284</v>
      </c>
      <c r="B44" s="268">
        <v>1594900</v>
      </c>
      <c r="C44" s="269">
        <v>1594900</v>
      </c>
      <c r="D44" s="162">
        <f t="shared" si="0"/>
        <v>100</v>
      </c>
      <c r="E44" s="163">
        <f t="shared" si="1"/>
        <v>0</v>
      </c>
    </row>
    <row r="45" spans="1:5" ht="15" customHeight="1">
      <c r="A45" s="164" t="s">
        <v>55</v>
      </c>
      <c r="B45" s="268">
        <f>B47+B46</f>
        <v>473229.96</v>
      </c>
      <c r="C45" s="268">
        <f>C47+C46</f>
        <v>361267.32</v>
      </c>
      <c r="D45" s="162">
        <f t="shared" si="0"/>
        <v>76.34075408074332</v>
      </c>
      <c r="E45" s="163">
        <f t="shared" si="1"/>
        <v>-111962.64000000001</v>
      </c>
    </row>
    <row r="46" spans="1:5" ht="15" customHeight="1">
      <c r="A46" s="53" t="s">
        <v>207</v>
      </c>
      <c r="B46" s="268">
        <v>473229.96</v>
      </c>
      <c r="C46" s="268">
        <v>361267.32</v>
      </c>
      <c r="D46" s="162">
        <f t="shared" si="0"/>
        <v>76.34075408074332</v>
      </c>
      <c r="E46" s="163">
        <f t="shared" si="1"/>
        <v>-111962.64000000001</v>
      </c>
    </row>
    <row r="47" spans="1:5" ht="18" customHeight="1">
      <c r="A47" s="164" t="s">
        <v>110</v>
      </c>
      <c r="B47" s="268">
        <v>0</v>
      </c>
      <c r="C47" s="269">
        <v>0</v>
      </c>
      <c r="D47" s="162" t="str">
        <f t="shared" si="0"/>
        <v>   </v>
      </c>
      <c r="E47" s="163">
        <f t="shared" si="1"/>
        <v>0</v>
      </c>
    </row>
    <row r="48" spans="1:5" ht="18" customHeight="1">
      <c r="A48" s="164" t="s">
        <v>203</v>
      </c>
      <c r="B48" s="268">
        <v>105034.91</v>
      </c>
      <c r="C48" s="269">
        <v>36126.73</v>
      </c>
      <c r="D48" s="162">
        <f t="shared" si="0"/>
        <v>34.394974013877864</v>
      </c>
      <c r="E48" s="163">
        <f t="shared" si="1"/>
        <v>-68908.18</v>
      </c>
    </row>
    <row r="49" spans="1:5" ht="29.25" customHeight="1">
      <c r="A49" s="165" t="s">
        <v>11</v>
      </c>
      <c r="B49" s="158">
        <f>SUM(B32,B33,)</f>
        <v>33422251.330000002</v>
      </c>
      <c r="C49" s="158">
        <f>SUM(C32,C33,)</f>
        <v>28487938.55</v>
      </c>
      <c r="D49" s="148">
        <f t="shared" si="0"/>
        <v>85.23644403460358</v>
      </c>
      <c r="E49" s="149">
        <f t="shared" si="1"/>
        <v>-4934312.780000001</v>
      </c>
    </row>
    <row r="50" spans="1:5" ht="16.5" customHeight="1">
      <c r="A50" s="30"/>
      <c r="B50" s="168"/>
      <c r="C50" s="160"/>
      <c r="D50" s="162" t="str">
        <f t="shared" si="0"/>
        <v>   </v>
      </c>
      <c r="E50" s="163"/>
    </row>
    <row r="51" spans="1:5" ht="12.75">
      <c r="A51" s="169" t="s">
        <v>12</v>
      </c>
      <c r="B51" s="158"/>
      <c r="C51" s="170"/>
      <c r="D51" s="162" t="str">
        <f t="shared" si="0"/>
        <v>   </v>
      </c>
      <c r="E51" s="163"/>
    </row>
    <row r="52" spans="1:5" ht="18" customHeight="1">
      <c r="A52" s="164" t="s">
        <v>35</v>
      </c>
      <c r="B52" s="160">
        <f>SUM(B53,B55,B56)</f>
        <v>3321087.58</v>
      </c>
      <c r="C52" s="160">
        <f>SUM(C53,C55,C56)</f>
        <v>2726954.61</v>
      </c>
      <c r="D52" s="162">
        <f t="shared" si="0"/>
        <v>82.11028900357996</v>
      </c>
      <c r="E52" s="163">
        <f t="shared" si="1"/>
        <v>-594132.9700000002</v>
      </c>
    </row>
    <row r="53" spans="1:5" ht="16.5" customHeight="1">
      <c r="A53" s="164" t="s">
        <v>36</v>
      </c>
      <c r="B53" s="160">
        <v>3014162.58</v>
      </c>
      <c r="C53" s="161">
        <v>2463605.61</v>
      </c>
      <c r="D53" s="162">
        <f t="shared" si="0"/>
        <v>81.73433066772397</v>
      </c>
      <c r="E53" s="163">
        <f t="shared" si="1"/>
        <v>-550556.9700000002</v>
      </c>
    </row>
    <row r="54" spans="1:5" ht="12.75">
      <c r="A54" s="164" t="s">
        <v>122</v>
      </c>
      <c r="B54" s="160">
        <v>1684450</v>
      </c>
      <c r="C54" s="170">
        <v>1472971.77</v>
      </c>
      <c r="D54" s="162">
        <f t="shared" si="0"/>
        <v>87.44526522010152</v>
      </c>
      <c r="E54" s="163">
        <f t="shared" si="1"/>
        <v>-211478.22999999998</v>
      </c>
    </row>
    <row r="55" spans="1:5" ht="12.75">
      <c r="A55" s="164" t="s">
        <v>96</v>
      </c>
      <c r="B55" s="160">
        <v>0</v>
      </c>
      <c r="C55" s="170">
        <v>0</v>
      </c>
      <c r="D55" s="162" t="str">
        <f t="shared" si="0"/>
        <v>   </v>
      </c>
      <c r="E55" s="163">
        <f t="shared" si="1"/>
        <v>0</v>
      </c>
    </row>
    <row r="56" spans="1:5" ht="12.75">
      <c r="A56" s="164" t="s">
        <v>52</v>
      </c>
      <c r="B56" s="161">
        <f>SUM(B57+B60+B58+B59)</f>
        <v>306925</v>
      </c>
      <c r="C56" s="161">
        <f>SUM(C57+C60+C58+C59)</f>
        <v>263349</v>
      </c>
      <c r="D56" s="162">
        <f t="shared" si="0"/>
        <v>85.80239472183759</v>
      </c>
      <c r="E56" s="163">
        <f t="shared" si="1"/>
        <v>-43576</v>
      </c>
    </row>
    <row r="57" spans="1:5" ht="26.25" customHeight="1">
      <c r="A57" s="112" t="s">
        <v>289</v>
      </c>
      <c r="B57" s="160">
        <v>10000</v>
      </c>
      <c r="C57" s="160">
        <v>0</v>
      </c>
      <c r="D57" s="162">
        <f t="shared" si="0"/>
        <v>0</v>
      </c>
      <c r="E57" s="163">
        <f t="shared" si="1"/>
        <v>-10000</v>
      </c>
    </row>
    <row r="58" spans="1:5" ht="26.25" customHeight="1">
      <c r="A58" s="112" t="s">
        <v>288</v>
      </c>
      <c r="B58" s="160">
        <v>2000</v>
      </c>
      <c r="C58" s="160">
        <v>0</v>
      </c>
      <c r="D58" s="162">
        <f t="shared" si="0"/>
        <v>0</v>
      </c>
      <c r="E58" s="163">
        <f t="shared" si="1"/>
        <v>-2000</v>
      </c>
    </row>
    <row r="59" spans="1:5" ht="26.25" customHeight="1">
      <c r="A59" s="112" t="s">
        <v>276</v>
      </c>
      <c r="B59" s="160">
        <v>238000</v>
      </c>
      <c r="C59" s="160">
        <v>206424</v>
      </c>
      <c r="D59" s="162">
        <f t="shared" si="0"/>
        <v>86.7327731092437</v>
      </c>
      <c r="E59" s="163">
        <f t="shared" si="1"/>
        <v>-31576</v>
      </c>
    </row>
    <row r="60" spans="1:5" ht="12.75">
      <c r="A60" s="16" t="s">
        <v>292</v>
      </c>
      <c r="B60" s="160">
        <v>56925</v>
      </c>
      <c r="C60" s="160">
        <v>56925</v>
      </c>
      <c r="D60" s="162">
        <f t="shared" si="0"/>
        <v>100</v>
      </c>
      <c r="E60" s="163">
        <f t="shared" si="1"/>
        <v>0</v>
      </c>
    </row>
    <row r="61" spans="1:5" ht="21" customHeight="1">
      <c r="A61" s="164" t="s">
        <v>49</v>
      </c>
      <c r="B61" s="161">
        <f>SUM(B62)</f>
        <v>359800</v>
      </c>
      <c r="C61" s="161">
        <f>SUM(C62)</f>
        <v>315464.51</v>
      </c>
      <c r="D61" s="162">
        <f t="shared" si="0"/>
        <v>87.67774041133963</v>
      </c>
      <c r="E61" s="163">
        <f t="shared" si="1"/>
        <v>-44335.48999999999</v>
      </c>
    </row>
    <row r="62" spans="1:5" ht="17.25" customHeight="1">
      <c r="A62" s="164" t="s">
        <v>108</v>
      </c>
      <c r="B62" s="160">
        <v>359800</v>
      </c>
      <c r="C62" s="161">
        <v>315464.51</v>
      </c>
      <c r="D62" s="162">
        <f t="shared" si="0"/>
        <v>87.67774041133963</v>
      </c>
      <c r="E62" s="163">
        <f t="shared" si="1"/>
        <v>-44335.48999999999</v>
      </c>
    </row>
    <row r="63" spans="1:5" ht="15.75" customHeight="1">
      <c r="A63" s="164" t="s">
        <v>37</v>
      </c>
      <c r="B63" s="161">
        <f>SUM(B64+B67)</f>
        <v>944546</v>
      </c>
      <c r="C63" s="161">
        <f>SUM(C64+C67)</f>
        <v>803480.46</v>
      </c>
      <c r="D63" s="162">
        <f t="shared" si="0"/>
        <v>85.06525463026681</v>
      </c>
      <c r="E63" s="163">
        <f t="shared" si="1"/>
        <v>-141065.54000000004</v>
      </c>
    </row>
    <row r="64" spans="1:5" ht="27" customHeight="1">
      <c r="A64" s="164" t="s">
        <v>86</v>
      </c>
      <c r="B64" s="160">
        <f>B65</f>
        <v>890546</v>
      </c>
      <c r="C64" s="160">
        <f>C65</f>
        <v>749480.46</v>
      </c>
      <c r="D64" s="162">
        <f t="shared" si="0"/>
        <v>84.1596571092341</v>
      </c>
      <c r="E64" s="163">
        <f t="shared" si="1"/>
        <v>-141065.54000000004</v>
      </c>
    </row>
    <row r="65" spans="1:5" ht="16.5" customHeight="1">
      <c r="A65" s="164" t="s">
        <v>97</v>
      </c>
      <c r="B65" s="160">
        <v>890546</v>
      </c>
      <c r="C65" s="160">
        <v>749480.46</v>
      </c>
      <c r="D65" s="162">
        <f t="shared" si="0"/>
        <v>84.1596571092341</v>
      </c>
      <c r="E65" s="163">
        <f t="shared" si="1"/>
        <v>-141065.54000000004</v>
      </c>
    </row>
    <row r="66" spans="1:5" ht="14.25" customHeight="1">
      <c r="A66" s="164" t="s">
        <v>122</v>
      </c>
      <c r="B66" s="160">
        <v>660215</v>
      </c>
      <c r="C66" s="161">
        <v>556284.38</v>
      </c>
      <c r="D66" s="162">
        <f t="shared" si="0"/>
        <v>84.25806441840915</v>
      </c>
      <c r="E66" s="163">
        <f t="shared" si="1"/>
        <v>-103930.62</v>
      </c>
    </row>
    <row r="67" spans="1:5" ht="17.25" customHeight="1">
      <c r="A67" s="164" t="s">
        <v>129</v>
      </c>
      <c r="B67" s="160">
        <v>54000</v>
      </c>
      <c r="C67" s="161">
        <v>54000</v>
      </c>
      <c r="D67" s="162">
        <f t="shared" si="0"/>
        <v>100</v>
      </c>
      <c r="E67" s="163">
        <f t="shared" si="1"/>
        <v>0</v>
      </c>
    </row>
    <row r="68" spans="1:5" ht="18" customHeight="1">
      <c r="A68" s="164" t="s">
        <v>38</v>
      </c>
      <c r="B68" s="160">
        <f>B76+B71+B74+B89+B69</f>
        <v>6259200</v>
      </c>
      <c r="C68" s="160">
        <f>C76+C71+C74+C89+C69</f>
        <v>5445740.99</v>
      </c>
      <c r="D68" s="162">
        <f t="shared" si="0"/>
        <v>87.00378626661555</v>
      </c>
      <c r="E68" s="163">
        <f t="shared" si="1"/>
        <v>-813459.0099999998</v>
      </c>
    </row>
    <row r="69" spans="1:5" ht="18" customHeight="1">
      <c r="A69" s="134" t="s">
        <v>286</v>
      </c>
      <c r="B69" s="25">
        <f>SUM(B70)</f>
        <v>260400</v>
      </c>
      <c r="C69" s="25">
        <f>SUM(C70)</f>
        <v>214428.19</v>
      </c>
      <c r="D69" s="162">
        <f t="shared" si="0"/>
        <v>82.3456950844854</v>
      </c>
      <c r="E69" s="163">
        <f t="shared" si="1"/>
        <v>-45971.81</v>
      </c>
    </row>
    <row r="70" spans="1:5" ht="18" customHeight="1">
      <c r="A70" s="134" t="s">
        <v>287</v>
      </c>
      <c r="B70" s="160">
        <v>260400</v>
      </c>
      <c r="C70" s="160">
        <v>214428.19</v>
      </c>
      <c r="D70" s="162">
        <f t="shared" si="0"/>
        <v>82.3456950844854</v>
      </c>
      <c r="E70" s="163">
        <f t="shared" si="1"/>
        <v>-45971.81</v>
      </c>
    </row>
    <row r="71" spans="1:5" ht="18" customHeight="1">
      <c r="A71" s="82" t="s">
        <v>176</v>
      </c>
      <c r="B71" s="25">
        <f>SUM(B73,B72)</f>
        <v>100600</v>
      </c>
      <c r="C71" s="25">
        <f>SUM(C73,C72)</f>
        <v>71725.64</v>
      </c>
      <c r="D71" s="162">
        <f>IF(B71=0,"   ",C71/B71*100)</f>
        <v>71.29785288270376</v>
      </c>
      <c r="E71" s="163">
        <f>C71-B71</f>
        <v>-28874.36</v>
      </c>
    </row>
    <row r="72" spans="1:5" ht="18" customHeight="1">
      <c r="A72" s="82" t="s">
        <v>180</v>
      </c>
      <c r="B72" s="25">
        <v>60000</v>
      </c>
      <c r="C72" s="25">
        <v>55595.84</v>
      </c>
      <c r="D72" s="162">
        <f>IF(B72=0,"   ",C72/B72*100)</f>
        <v>92.65973333333332</v>
      </c>
      <c r="E72" s="163">
        <f>C72-B72</f>
        <v>-4404.1600000000035</v>
      </c>
    </row>
    <row r="73" spans="1:5" ht="18" customHeight="1">
      <c r="A73" s="82" t="s">
        <v>177</v>
      </c>
      <c r="B73" s="25">
        <v>40600</v>
      </c>
      <c r="C73" s="160">
        <v>16129.8</v>
      </c>
      <c r="D73" s="162">
        <f>IF(B73=0,"   ",C73/B73*100)</f>
        <v>39.72857142857143</v>
      </c>
      <c r="E73" s="163">
        <f>C73-B73</f>
        <v>-24470.2</v>
      </c>
    </row>
    <row r="74" spans="1:5" ht="18" customHeight="1">
      <c r="A74" s="82" t="s">
        <v>265</v>
      </c>
      <c r="B74" s="25">
        <f>SUM(B75)</f>
        <v>0</v>
      </c>
      <c r="C74" s="25">
        <f>SUM(C75)</f>
        <v>0</v>
      </c>
      <c r="D74" s="162" t="str">
        <f>IF(B74=0,"   ",C74/B74*100)</f>
        <v>   </v>
      </c>
      <c r="E74" s="163">
        <f>C74-B74</f>
        <v>0</v>
      </c>
    </row>
    <row r="75" spans="1:5" ht="18" customHeight="1">
      <c r="A75" s="82" t="s">
        <v>266</v>
      </c>
      <c r="B75" s="25">
        <v>0</v>
      </c>
      <c r="C75" s="160">
        <v>0</v>
      </c>
      <c r="D75" s="162" t="str">
        <f>IF(B75=0,"   ",C75/B75*100)</f>
        <v>   </v>
      </c>
      <c r="E75" s="163">
        <f>C75-B75</f>
        <v>0</v>
      </c>
    </row>
    <row r="76" spans="1:5" ht="18.75" customHeight="1">
      <c r="A76" s="172" t="s">
        <v>134</v>
      </c>
      <c r="B76" s="160">
        <f>B77+B81+B82+B83+B84+B85+B86+B79+B80+B87+B88</f>
        <v>5898200</v>
      </c>
      <c r="C76" s="160">
        <f>C77+C81+C82+C83+C84+C85+C86+C79+C80+C87+C88</f>
        <v>5159587.16</v>
      </c>
      <c r="D76" s="162">
        <f t="shared" si="0"/>
        <v>87.47731782577736</v>
      </c>
      <c r="E76" s="163">
        <f t="shared" si="1"/>
        <v>-738612.8399999999</v>
      </c>
    </row>
    <row r="77" spans="1:5" ht="18" customHeight="1">
      <c r="A77" s="173" t="s">
        <v>158</v>
      </c>
      <c r="B77" s="160">
        <v>0</v>
      </c>
      <c r="C77" s="160">
        <v>0</v>
      </c>
      <c r="D77" s="162" t="str">
        <f t="shared" si="0"/>
        <v>   </v>
      </c>
      <c r="E77" s="163">
        <f t="shared" si="1"/>
        <v>0</v>
      </c>
    </row>
    <row r="78" spans="1:5" ht="15" customHeight="1">
      <c r="A78" s="173" t="s">
        <v>154</v>
      </c>
      <c r="B78" s="160">
        <v>0</v>
      </c>
      <c r="C78" s="160">
        <v>0</v>
      </c>
      <c r="D78" s="162" t="str">
        <f t="shared" si="0"/>
        <v>   </v>
      </c>
      <c r="E78" s="163">
        <f t="shared" si="1"/>
        <v>0</v>
      </c>
    </row>
    <row r="79" spans="1:5" ht="14.25" customHeight="1">
      <c r="A79" s="173" t="s">
        <v>156</v>
      </c>
      <c r="B79" s="160">
        <v>300000</v>
      </c>
      <c r="C79" s="160">
        <v>298168.83</v>
      </c>
      <c r="D79" s="162">
        <f t="shared" si="0"/>
        <v>99.38961</v>
      </c>
      <c r="E79" s="163">
        <f t="shared" si="1"/>
        <v>-1831.1699999999837</v>
      </c>
    </row>
    <row r="80" spans="1:5" ht="13.5" customHeight="1">
      <c r="A80" s="134" t="s">
        <v>212</v>
      </c>
      <c r="B80" s="160">
        <v>0</v>
      </c>
      <c r="C80" s="160">
        <v>0</v>
      </c>
      <c r="D80" s="162" t="str">
        <f t="shared" si="0"/>
        <v>   </v>
      </c>
      <c r="E80" s="163">
        <f t="shared" si="1"/>
        <v>0</v>
      </c>
    </row>
    <row r="81" spans="1:5" ht="26.25">
      <c r="A81" s="171" t="s">
        <v>135</v>
      </c>
      <c r="B81" s="160">
        <v>2237800</v>
      </c>
      <c r="C81" s="160">
        <v>1958306</v>
      </c>
      <c r="D81" s="162">
        <f t="shared" si="0"/>
        <v>87.51032263830548</v>
      </c>
      <c r="E81" s="163">
        <f t="shared" si="1"/>
        <v>-279494</v>
      </c>
    </row>
    <row r="82" spans="1:5" ht="22.5" customHeight="1">
      <c r="A82" s="112" t="s">
        <v>294</v>
      </c>
      <c r="B82" s="160">
        <v>1054000</v>
      </c>
      <c r="C82" s="160">
        <v>836712.33</v>
      </c>
      <c r="D82" s="162">
        <f t="shared" si="0"/>
        <v>79.38447153700189</v>
      </c>
      <c r="E82" s="163">
        <f t="shared" si="1"/>
        <v>-217287.67000000004</v>
      </c>
    </row>
    <row r="83" spans="1:5" ht="22.5" customHeight="1">
      <c r="A83" s="112" t="s">
        <v>293</v>
      </c>
      <c r="B83" s="160">
        <v>100000</v>
      </c>
      <c r="C83" s="160">
        <v>50000</v>
      </c>
      <c r="D83" s="162">
        <f t="shared" si="0"/>
        <v>50</v>
      </c>
      <c r="E83" s="163">
        <f t="shared" si="1"/>
        <v>-50000</v>
      </c>
    </row>
    <row r="84" spans="1:5" ht="25.5" customHeight="1">
      <c r="A84" s="171" t="s">
        <v>147</v>
      </c>
      <c r="B84" s="91">
        <v>1594900</v>
      </c>
      <c r="C84" s="160">
        <v>1594900</v>
      </c>
      <c r="D84" s="162">
        <f t="shared" si="0"/>
        <v>100</v>
      </c>
      <c r="E84" s="163">
        <f t="shared" si="1"/>
        <v>0</v>
      </c>
    </row>
    <row r="85" spans="1:5" ht="32.25" customHeight="1">
      <c r="A85" s="112" t="s">
        <v>296</v>
      </c>
      <c r="B85" s="160">
        <v>241500</v>
      </c>
      <c r="C85" s="160">
        <v>241500</v>
      </c>
      <c r="D85" s="162">
        <f t="shared" si="0"/>
        <v>100</v>
      </c>
      <c r="E85" s="163">
        <f t="shared" si="1"/>
        <v>0</v>
      </c>
    </row>
    <row r="86" spans="1:5" ht="17.25" customHeight="1">
      <c r="A86" s="112" t="s">
        <v>295</v>
      </c>
      <c r="B86" s="160">
        <v>190000</v>
      </c>
      <c r="C86" s="160">
        <v>0</v>
      </c>
      <c r="D86" s="162">
        <f t="shared" si="0"/>
        <v>0</v>
      </c>
      <c r="E86" s="163">
        <f t="shared" si="1"/>
        <v>-190000</v>
      </c>
    </row>
    <row r="87" spans="1:5" ht="15" customHeight="1">
      <c r="A87" s="112" t="s">
        <v>213</v>
      </c>
      <c r="B87" s="160">
        <v>180000</v>
      </c>
      <c r="C87" s="160">
        <v>180000</v>
      </c>
      <c r="D87" s="162">
        <f t="shared" si="0"/>
        <v>100</v>
      </c>
      <c r="E87" s="163">
        <f t="shared" si="1"/>
        <v>0</v>
      </c>
    </row>
    <row r="88" spans="1:5" ht="17.25" customHeight="1">
      <c r="A88" s="112" t="s">
        <v>211</v>
      </c>
      <c r="B88" s="160">
        <v>0</v>
      </c>
      <c r="C88" s="160">
        <v>0</v>
      </c>
      <c r="D88" s="162" t="str">
        <f t="shared" si="0"/>
        <v>   </v>
      </c>
      <c r="E88" s="163">
        <f t="shared" si="1"/>
        <v>0</v>
      </c>
    </row>
    <row r="89" spans="1:5" ht="13.5">
      <c r="A89" s="103" t="s">
        <v>195</v>
      </c>
      <c r="B89" s="199">
        <f>B90</f>
        <v>0</v>
      </c>
      <c r="C89" s="199">
        <f>C90</f>
        <v>0</v>
      </c>
      <c r="D89" s="197" t="str">
        <f>IF(B89=0,"   ",C89/B89)</f>
        <v>   </v>
      </c>
      <c r="E89" s="198">
        <f>C89-B89</f>
        <v>0</v>
      </c>
    </row>
    <row r="90" spans="1:5" ht="26.25">
      <c r="A90" s="82" t="s">
        <v>196</v>
      </c>
      <c r="B90" s="199">
        <v>0</v>
      </c>
      <c r="C90" s="199">
        <v>0</v>
      </c>
      <c r="D90" s="197" t="str">
        <f>IF(B90=0,"   ",C90/B90)</f>
        <v>   </v>
      </c>
      <c r="E90" s="198">
        <f>C90-B90</f>
        <v>0</v>
      </c>
    </row>
    <row r="91" spans="1:5" ht="18" customHeight="1">
      <c r="A91" s="164" t="s">
        <v>13</v>
      </c>
      <c r="B91" s="160">
        <f>SUM(B92,B95,B104)</f>
        <v>16643917.75</v>
      </c>
      <c r="C91" s="160">
        <f>SUM(C92,C95,C104)</f>
        <v>14167712.08</v>
      </c>
      <c r="D91" s="162">
        <f t="shared" si="0"/>
        <v>85.12245910371674</v>
      </c>
      <c r="E91" s="163">
        <f t="shared" si="1"/>
        <v>-2476205.67</v>
      </c>
    </row>
    <row r="92" spans="1:5" ht="18.75" customHeight="1">
      <c r="A92" s="93" t="s">
        <v>14</v>
      </c>
      <c r="B92" s="94">
        <f>SUM(B93:B94)</f>
        <v>616377</v>
      </c>
      <c r="C92" s="94">
        <f>SUM(C93:C94)</f>
        <v>399376.33</v>
      </c>
      <c r="D92" s="162">
        <f t="shared" si="0"/>
        <v>64.79416493477207</v>
      </c>
      <c r="E92" s="163">
        <f t="shared" si="1"/>
        <v>-217000.66999999998</v>
      </c>
    </row>
    <row r="93" spans="1:5" ht="12.75">
      <c r="A93" s="164" t="s">
        <v>102</v>
      </c>
      <c r="B93" s="160">
        <v>399377</v>
      </c>
      <c r="C93" s="161">
        <v>399376.33</v>
      </c>
      <c r="D93" s="162">
        <f t="shared" si="0"/>
        <v>99.99983223871179</v>
      </c>
      <c r="E93" s="163">
        <f t="shared" si="1"/>
        <v>-0.6699999999837019</v>
      </c>
    </row>
    <row r="94" spans="1:5" ht="12.75">
      <c r="A94" s="164" t="s">
        <v>201</v>
      </c>
      <c r="B94" s="160">
        <v>217000</v>
      </c>
      <c r="C94" s="161">
        <v>0</v>
      </c>
      <c r="D94" s="162">
        <f t="shared" si="0"/>
        <v>0</v>
      </c>
      <c r="E94" s="163">
        <f t="shared" si="1"/>
        <v>-217000</v>
      </c>
    </row>
    <row r="95" spans="1:5" ht="18" customHeight="1">
      <c r="A95" s="93" t="s">
        <v>64</v>
      </c>
      <c r="B95" s="94">
        <f>SUM(B96:B98,B102,B103)</f>
        <v>1389974.8399999999</v>
      </c>
      <c r="C95" s="94">
        <f>SUM(C96:C98,C102,C103)</f>
        <v>1015330.8899999999</v>
      </c>
      <c r="D95" s="162">
        <f t="shared" si="0"/>
        <v>73.04670996778619</v>
      </c>
      <c r="E95" s="163">
        <f t="shared" si="1"/>
        <v>-374643.94999999995</v>
      </c>
    </row>
    <row r="96" spans="1:5" ht="12.75">
      <c r="A96" s="164" t="s">
        <v>148</v>
      </c>
      <c r="B96" s="160">
        <v>100000</v>
      </c>
      <c r="C96" s="160">
        <v>0</v>
      </c>
      <c r="D96" s="162">
        <f t="shared" si="0"/>
        <v>0</v>
      </c>
      <c r="E96" s="163">
        <f t="shared" si="1"/>
        <v>-100000</v>
      </c>
    </row>
    <row r="97" spans="1:5" ht="12.75">
      <c r="A97" s="164" t="s">
        <v>167</v>
      </c>
      <c r="B97" s="160">
        <v>190400</v>
      </c>
      <c r="C97" s="160">
        <v>99302.34</v>
      </c>
      <c r="D97" s="162">
        <f t="shared" si="0"/>
        <v>52.154590336134454</v>
      </c>
      <c r="E97" s="163">
        <f t="shared" si="1"/>
        <v>-91097.66</v>
      </c>
    </row>
    <row r="98" spans="1:5" ht="26.25">
      <c r="A98" s="112" t="s">
        <v>231</v>
      </c>
      <c r="B98" s="232">
        <f>SUM(B99:B101)</f>
        <v>714074.84</v>
      </c>
      <c r="C98" s="232">
        <f>SUM(C99:C101)</f>
        <v>602112.2</v>
      </c>
      <c r="D98" s="162">
        <f>IF(B98=0,"   ",C98/B98*100)</f>
        <v>84.32060146524697</v>
      </c>
      <c r="E98" s="163">
        <f>C98-B98</f>
        <v>-111962.64000000001</v>
      </c>
    </row>
    <row r="99" spans="1:5" ht="26.25">
      <c r="A99" s="112" t="s">
        <v>206</v>
      </c>
      <c r="B99" s="160">
        <v>473229.96</v>
      </c>
      <c r="C99" s="160">
        <v>361267.32</v>
      </c>
      <c r="D99" s="162">
        <f>IF(B99=0,"   ",C99/B99*100)</f>
        <v>76.34075408074332</v>
      </c>
      <c r="E99" s="163">
        <f>C99-B99</f>
        <v>-111962.64000000001</v>
      </c>
    </row>
    <row r="100" spans="1:5" ht="26.25">
      <c r="A100" s="112" t="s">
        <v>223</v>
      </c>
      <c r="B100" s="160">
        <v>204718.15</v>
      </c>
      <c r="C100" s="160">
        <v>204718.15</v>
      </c>
      <c r="D100" s="162">
        <f t="shared" si="0"/>
        <v>100</v>
      </c>
      <c r="E100" s="163">
        <f t="shared" si="1"/>
        <v>0</v>
      </c>
    </row>
    <row r="101" spans="1:5" ht="26.25">
      <c r="A101" s="112" t="s">
        <v>237</v>
      </c>
      <c r="B101" s="160">
        <v>36126.73</v>
      </c>
      <c r="C101" s="160">
        <v>36126.73</v>
      </c>
      <c r="D101" s="162">
        <f t="shared" si="0"/>
        <v>100</v>
      </c>
      <c r="E101" s="163">
        <f t="shared" si="1"/>
        <v>0</v>
      </c>
    </row>
    <row r="102" spans="1:5" ht="12.75">
      <c r="A102" s="16" t="s">
        <v>297</v>
      </c>
      <c r="B102" s="160">
        <v>185500</v>
      </c>
      <c r="C102" s="160">
        <v>185500</v>
      </c>
      <c r="D102" s="162">
        <f t="shared" si="0"/>
        <v>100</v>
      </c>
      <c r="E102" s="163">
        <f t="shared" si="1"/>
        <v>0</v>
      </c>
    </row>
    <row r="103" spans="1:5" ht="12.75">
      <c r="A103" s="164" t="s">
        <v>140</v>
      </c>
      <c r="B103" s="160">
        <v>200000</v>
      </c>
      <c r="C103" s="160">
        <v>128416.35</v>
      </c>
      <c r="D103" s="162">
        <f t="shared" si="0"/>
        <v>64.208175</v>
      </c>
      <c r="E103" s="163">
        <f t="shared" si="1"/>
        <v>-71583.65</v>
      </c>
    </row>
    <row r="104" spans="1:5" ht="16.5" customHeight="1">
      <c r="A104" s="93" t="s">
        <v>63</v>
      </c>
      <c r="B104" s="94">
        <f>B105+B107+B108+B109+B110+B111+B115+B106</f>
        <v>14637565.91</v>
      </c>
      <c r="C104" s="94">
        <f>C105+C107+C108+C109+C110+C111+C115+C106</f>
        <v>12753004.86</v>
      </c>
      <c r="D104" s="162">
        <f t="shared" si="0"/>
        <v>87.1251746254306</v>
      </c>
      <c r="E104" s="163">
        <f t="shared" si="1"/>
        <v>-1884561.0500000007</v>
      </c>
    </row>
    <row r="105" spans="1:5" ht="12.75">
      <c r="A105" s="164" t="s">
        <v>65</v>
      </c>
      <c r="B105" s="160">
        <v>4401550</v>
      </c>
      <c r="C105" s="161">
        <v>3680042.62</v>
      </c>
      <c r="D105" s="162">
        <f t="shared" si="0"/>
        <v>83.60787949699538</v>
      </c>
      <c r="E105" s="163">
        <f t="shared" si="1"/>
        <v>-721507.3799999999</v>
      </c>
    </row>
    <row r="106" spans="1:5" ht="26.25">
      <c r="A106" s="16" t="s">
        <v>250</v>
      </c>
      <c r="B106" s="160">
        <v>5000</v>
      </c>
      <c r="C106" s="161">
        <v>5000</v>
      </c>
      <c r="D106" s="162">
        <f t="shared" si="0"/>
        <v>100</v>
      </c>
      <c r="E106" s="163">
        <f t="shared" si="1"/>
        <v>0</v>
      </c>
    </row>
    <row r="107" spans="1:5" ht="12.75">
      <c r="A107" s="164" t="s">
        <v>66</v>
      </c>
      <c r="B107" s="160">
        <v>250000</v>
      </c>
      <c r="C107" s="161">
        <v>250000</v>
      </c>
      <c r="D107" s="162">
        <f aca="true" t="shared" si="2" ref="D107:D128">IF(B107=0,"   ",C107/B107*100)</f>
        <v>100</v>
      </c>
      <c r="E107" s="163">
        <f t="shared" si="1"/>
        <v>0</v>
      </c>
    </row>
    <row r="108" spans="1:5" ht="12.75">
      <c r="A108" s="164" t="s">
        <v>67</v>
      </c>
      <c r="B108" s="160">
        <v>516756.24</v>
      </c>
      <c r="C108" s="161">
        <v>516664.24</v>
      </c>
      <c r="D108" s="162">
        <f t="shared" si="2"/>
        <v>99.98219663491629</v>
      </c>
      <c r="E108" s="163">
        <f t="shared" si="1"/>
        <v>-92</v>
      </c>
    </row>
    <row r="109" spans="1:5" ht="12.75">
      <c r="A109" s="164" t="s">
        <v>68</v>
      </c>
      <c r="B109" s="160">
        <v>2589665.03</v>
      </c>
      <c r="C109" s="161">
        <v>2247386.9</v>
      </c>
      <c r="D109" s="162">
        <f t="shared" si="2"/>
        <v>86.78291879316917</v>
      </c>
      <c r="E109" s="163">
        <f t="shared" si="1"/>
        <v>-342278.1299999999</v>
      </c>
    </row>
    <row r="110" spans="1:5" ht="14.25" customHeight="1">
      <c r="A110" s="164" t="s">
        <v>95</v>
      </c>
      <c r="B110" s="160">
        <v>0</v>
      </c>
      <c r="C110" s="161">
        <v>0</v>
      </c>
      <c r="D110" s="162" t="str">
        <f t="shared" si="2"/>
        <v>   </v>
      </c>
      <c r="E110" s="163">
        <f t="shared" si="1"/>
        <v>0</v>
      </c>
    </row>
    <row r="111" spans="1:5" ht="18" customHeight="1">
      <c r="A111" s="171" t="s">
        <v>200</v>
      </c>
      <c r="B111" s="199">
        <f>B112+B114+B113</f>
        <v>6805686.46</v>
      </c>
      <c r="C111" s="199">
        <f>C112+C114+C113</f>
        <v>6053911.100000001</v>
      </c>
      <c r="D111" s="197">
        <f>IF(B111=0,"   ",C111/B111)</f>
        <v>0.8895371738885545</v>
      </c>
      <c r="E111" s="198">
        <f>C111-B111</f>
        <v>-751775.3599999994</v>
      </c>
    </row>
    <row r="112" spans="1:5" ht="13.5">
      <c r="A112" s="171" t="s">
        <v>198</v>
      </c>
      <c r="B112" s="199">
        <v>6749002.7</v>
      </c>
      <c r="C112" s="199">
        <v>6003488.79</v>
      </c>
      <c r="D112" s="197">
        <f>IF(B112=0,"   ",C112/B112)</f>
        <v>0.8895371741368543</v>
      </c>
      <c r="E112" s="198">
        <f>C112-B112</f>
        <v>-745513.9100000001</v>
      </c>
    </row>
    <row r="113" spans="1:5" ht="13.5">
      <c r="A113" s="171" t="s">
        <v>199</v>
      </c>
      <c r="B113" s="199">
        <v>47836.37</v>
      </c>
      <c r="C113" s="199">
        <v>42552.23</v>
      </c>
      <c r="D113" s="197">
        <f>IF(B113=0,"   ",C113/B113)</f>
        <v>0.8895371868726661</v>
      </c>
      <c r="E113" s="198">
        <f>C113-B113</f>
        <v>-5284.139999999999</v>
      </c>
    </row>
    <row r="114" spans="1:5" ht="13.5">
      <c r="A114" s="112" t="s">
        <v>214</v>
      </c>
      <c r="B114" s="199">
        <v>8847.39</v>
      </c>
      <c r="C114" s="199">
        <v>7870.08</v>
      </c>
      <c r="D114" s="197">
        <f>IF(B114=0,"   ",C114/B114)</f>
        <v>0.8895369142764138</v>
      </c>
      <c r="E114" s="198">
        <f>C114-B114</f>
        <v>-977.3099999999995</v>
      </c>
    </row>
    <row r="115" spans="1:5" ht="13.5">
      <c r="A115" s="112" t="s">
        <v>320</v>
      </c>
      <c r="B115" s="199">
        <v>68908.18</v>
      </c>
      <c r="C115" s="199">
        <v>0</v>
      </c>
      <c r="D115" s="197">
        <f>IF(B115=0,"   ",C115/B115)</f>
        <v>0</v>
      </c>
      <c r="E115" s="198">
        <f>C115-B115</f>
        <v>-68908.18</v>
      </c>
    </row>
    <row r="116" spans="1:5" ht="15" customHeight="1">
      <c r="A116" s="174" t="s">
        <v>17</v>
      </c>
      <c r="B116" s="175">
        <v>5000</v>
      </c>
      <c r="C116" s="175">
        <v>0</v>
      </c>
      <c r="D116" s="176">
        <f t="shared" si="2"/>
        <v>0</v>
      </c>
      <c r="E116" s="177">
        <f t="shared" si="1"/>
        <v>-5000</v>
      </c>
    </row>
    <row r="117" spans="1:5" ht="18.75" customHeight="1">
      <c r="A117" s="178" t="s">
        <v>41</v>
      </c>
      <c r="B117" s="179">
        <f>B118</f>
        <v>7328700</v>
      </c>
      <c r="C117" s="179">
        <f>C118</f>
        <v>5309151.5</v>
      </c>
      <c r="D117" s="176">
        <f t="shared" si="2"/>
        <v>72.44329144323004</v>
      </c>
      <c r="E117" s="177">
        <f t="shared" si="1"/>
        <v>-2019548.5</v>
      </c>
    </row>
    <row r="118" spans="1:5" ht="15.75" customHeight="1">
      <c r="A118" s="178" t="s">
        <v>42</v>
      </c>
      <c r="B118" s="94">
        <f>B119+B120+B121+B123+B122</f>
        <v>7328700</v>
      </c>
      <c r="C118" s="94">
        <f>C119+C120+C121+C123+C122</f>
        <v>5309151.5</v>
      </c>
      <c r="D118" s="176">
        <f t="shared" si="2"/>
        <v>72.44329144323004</v>
      </c>
      <c r="E118" s="177">
        <f t="shared" si="1"/>
        <v>-2019548.5</v>
      </c>
    </row>
    <row r="119" spans="1:5" ht="19.5" customHeight="1">
      <c r="A119" s="178" t="s">
        <v>149</v>
      </c>
      <c r="B119" s="175">
        <v>3916900</v>
      </c>
      <c r="C119" s="180">
        <v>3916900</v>
      </c>
      <c r="D119" s="176">
        <f t="shared" si="2"/>
        <v>100</v>
      </c>
      <c r="E119" s="177">
        <f t="shared" si="1"/>
        <v>0</v>
      </c>
    </row>
    <row r="120" spans="1:5" ht="16.5" customHeight="1">
      <c r="A120" s="16" t="s">
        <v>215</v>
      </c>
      <c r="B120" s="175">
        <v>1238800</v>
      </c>
      <c r="C120" s="180">
        <v>165483</v>
      </c>
      <c r="D120" s="176">
        <f t="shared" si="2"/>
        <v>13.358330642557315</v>
      </c>
      <c r="E120" s="177">
        <f t="shared" si="1"/>
        <v>-1073317</v>
      </c>
    </row>
    <row r="121" spans="1:5" ht="18" customHeight="1">
      <c r="A121" s="178" t="s">
        <v>150</v>
      </c>
      <c r="B121" s="175">
        <v>1234000</v>
      </c>
      <c r="C121" s="180">
        <v>1226768.5</v>
      </c>
      <c r="D121" s="176">
        <f t="shared" si="2"/>
        <v>99.41397893030795</v>
      </c>
      <c r="E121" s="177">
        <f t="shared" si="1"/>
        <v>-7231.5</v>
      </c>
    </row>
    <row r="122" spans="1:5" ht="18" customHeight="1">
      <c r="A122" s="16" t="s">
        <v>285</v>
      </c>
      <c r="B122" s="175">
        <v>939000</v>
      </c>
      <c r="C122" s="180">
        <v>0</v>
      </c>
      <c r="D122" s="176">
        <f t="shared" si="2"/>
        <v>0</v>
      </c>
      <c r="E122" s="177">
        <f t="shared" si="1"/>
        <v>-939000</v>
      </c>
    </row>
    <row r="123" spans="1:5" ht="18" customHeight="1">
      <c r="A123" s="178" t="s">
        <v>205</v>
      </c>
      <c r="B123" s="175">
        <v>0</v>
      </c>
      <c r="C123" s="180">
        <v>0</v>
      </c>
      <c r="D123" s="176" t="str">
        <f t="shared" si="2"/>
        <v>   </v>
      </c>
      <c r="E123" s="177">
        <f t="shared" si="1"/>
        <v>0</v>
      </c>
    </row>
    <row r="124" spans="1:5" ht="12.75">
      <c r="A124" s="178" t="s">
        <v>125</v>
      </c>
      <c r="B124" s="175">
        <f>SUM(B125,)</f>
        <v>20000</v>
      </c>
      <c r="C124" s="175">
        <f>SUM(C125,)</f>
        <v>9936</v>
      </c>
      <c r="D124" s="176">
        <f t="shared" si="2"/>
        <v>49.68</v>
      </c>
      <c r="E124" s="177">
        <f t="shared" si="1"/>
        <v>-10064</v>
      </c>
    </row>
    <row r="125" spans="1:5" ht="14.25" customHeight="1">
      <c r="A125" s="178" t="s">
        <v>43</v>
      </c>
      <c r="B125" s="175">
        <v>20000</v>
      </c>
      <c r="C125" s="181">
        <v>9936</v>
      </c>
      <c r="D125" s="176">
        <f t="shared" si="2"/>
        <v>49.68</v>
      </c>
      <c r="E125" s="177">
        <f t="shared" si="1"/>
        <v>-10064</v>
      </c>
    </row>
    <row r="126" spans="1:5" ht="19.5" customHeight="1">
      <c r="A126" s="178" t="s">
        <v>151</v>
      </c>
      <c r="B126" s="232">
        <f>SUM(B127:B127)</f>
        <v>0</v>
      </c>
      <c r="C126" s="232">
        <f>SUM(C127:C127)</f>
        <v>0</v>
      </c>
      <c r="D126" s="162" t="str">
        <f t="shared" si="2"/>
        <v>   </v>
      </c>
      <c r="E126" s="163">
        <f t="shared" si="1"/>
        <v>0</v>
      </c>
    </row>
    <row r="127" spans="1:5" ht="19.5" customHeight="1">
      <c r="A127" s="164" t="s">
        <v>152</v>
      </c>
      <c r="B127" s="232">
        <v>0</v>
      </c>
      <c r="C127" s="161">
        <v>0</v>
      </c>
      <c r="D127" s="162" t="str">
        <f t="shared" si="2"/>
        <v>   </v>
      </c>
      <c r="E127" s="163">
        <f t="shared" si="1"/>
        <v>0</v>
      </c>
    </row>
    <row r="128" spans="1:5" ht="20.25" customHeight="1">
      <c r="A128" s="165" t="s">
        <v>15</v>
      </c>
      <c r="B128" s="158">
        <f>B52+B61+B63+B68+B91+B116+B117+B124+B126</f>
        <v>34882251.33</v>
      </c>
      <c r="C128" s="158">
        <f>C52+C61+C63+C68+C91+C116+C117+C124+C126</f>
        <v>28778440.15</v>
      </c>
      <c r="D128" s="148">
        <f t="shared" si="2"/>
        <v>82.50167077160383</v>
      </c>
      <c r="E128" s="149">
        <f t="shared" si="1"/>
        <v>-6103811.18</v>
      </c>
    </row>
    <row r="129" spans="1:5" s="66" customFormat="1" ht="23.25" customHeight="1">
      <c r="A129" s="87" t="s">
        <v>256</v>
      </c>
      <c r="B129" s="87"/>
      <c r="C129" s="292"/>
      <c r="D129" s="292"/>
      <c r="E129" s="292"/>
    </row>
    <row r="130" spans="1:5" s="66" customFormat="1" ht="12" customHeight="1">
      <c r="A130" s="87" t="s">
        <v>163</v>
      </c>
      <c r="B130" s="87"/>
      <c r="C130" s="88" t="s">
        <v>302</v>
      </c>
      <c r="D130" s="89"/>
      <c r="E130" s="90"/>
    </row>
    <row r="131" spans="1:5" ht="12.75">
      <c r="A131" s="7"/>
      <c r="B131" s="7"/>
      <c r="C131" s="6"/>
      <c r="D131" s="7"/>
      <c r="E131" s="2"/>
    </row>
    <row r="132" spans="1:5" ht="12.75">
      <c r="A132" s="7"/>
      <c r="B132" s="7"/>
      <c r="C132" s="6"/>
      <c r="D132" s="7"/>
      <c r="E132" s="2"/>
    </row>
    <row r="133" spans="1:5" ht="12.75">
      <c r="A133" s="7"/>
      <c r="B133" s="7"/>
      <c r="C133" s="6"/>
      <c r="D133" s="7"/>
      <c r="E133" s="2"/>
    </row>
    <row r="134" spans="1:5" ht="12.75">
      <c r="A134" s="7"/>
      <c r="B134" s="7"/>
      <c r="C134" s="6"/>
      <c r="D134" s="7"/>
      <c r="E134" s="2"/>
    </row>
  </sheetData>
  <sheetProtection/>
  <mergeCells count="2">
    <mergeCell ref="A1:E1"/>
    <mergeCell ref="C129:E129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79">
      <selection activeCell="B31" sqref="B31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294" t="s">
        <v>315</v>
      </c>
      <c r="B1" s="294"/>
      <c r="C1" s="294"/>
      <c r="D1" s="294"/>
      <c r="E1" s="294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270</v>
      </c>
      <c r="C4" s="32" t="s">
        <v>314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6">
        <f>SUM(B8)</f>
        <v>30000</v>
      </c>
      <c r="C7" s="156">
        <f>SUM(C8)</f>
        <v>23296.77</v>
      </c>
      <c r="D7" s="26">
        <f aca="true" t="shared" si="0" ref="D7:D86">IF(B7=0,"   ",C7/B7*100)</f>
        <v>77.6559</v>
      </c>
      <c r="E7" s="42">
        <f aca="true" t="shared" si="1" ref="E7:E87">C7-B7</f>
        <v>-6703.23</v>
      </c>
    </row>
    <row r="8" spans="1:5" ht="12.75">
      <c r="A8" s="16" t="s">
        <v>44</v>
      </c>
      <c r="B8" s="91">
        <v>30000</v>
      </c>
      <c r="C8" s="276">
        <v>23296.77</v>
      </c>
      <c r="D8" s="26">
        <f t="shared" si="0"/>
        <v>77.6559</v>
      </c>
      <c r="E8" s="42">
        <f t="shared" si="1"/>
        <v>-6703.23</v>
      </c>
    </row>
    <row r="9" spans="1:5" ht="15" customHeight="1">
      <c r="A9" s="71" t="s">
        <v>142</v>
      </c>
      <c r="B9" s="233">
        <f>SUM(B10)</f>
        <v>571900</v>
      </c>
      <c r="C9" s="233">
        <f>SUM(C10)</f>
        <v>617908.24</v>
      </c>
      <c r="D9" s="26">
        <f t="shared" si="0"/>
        <v>108.04480503584541</v>
      </c>
      <c r="E9" s="42">
        <f t="shared" si="1"/>
        <v>46008.23999999999</v>
      </c>
    </row>
    <row r="10" spans="1:5" ht="12.75">
      <c r="A10" s="41" t="s">
        <v>143</v>
      </c>
      <c r="B10" s="234">
        <v>571900</v>
      </c>
      <c r="C10" s="276">
        <v>617908.24</v>
      </c>
      <c r="D10" s="26">
        <f t="shared" si="0"/>
        <v>108.04480503584541</v>
      </c>
      <c r="E10" s="42">
        <f t="shared" si="1"/>
        <v>46008.23999999999</v>
      </c>
    </row>
    <row r="11" spans="1:5" ht="18.7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291000</v>
      </c>
      <c r="C13" s="234">
        <f>SUM(C14:C15)</f>
        <v>251758.43</v>
      </c>
      <c r="D13" s="26">
        <f t="shared" si="0"/>
        <v>86.51492439862542</v>
      </c>
      <c r="E13" s="42">
        <f t="shared" si="1"/>
        <v>-39241.57000000001</v>
      </c>
    </row>
    <row r="14" spans="1:5" ht="12.75">
      <c r="A14" s="16" t="s">
        <v>27</v>
      </c>
      <c r="B14" s="234">
        <v>86000</v>
      </c>
      <c r="C14" s="276">
        <v>77156.95</v>
      </c>
      <c r="D14" s="26">
        <f t="shared" si="0"/>
        <v>89.71738372093023</v>
      </c>
      <c r="E14" s="42">
        <f t="shared" si="1"/>
        <v>-8843.050000000003</v>
      </c>
    </row>
    <row r="15" spans="1:5" ht="12.75">
      <c r="A15" s="41" t="s">
        <v>171</v>
      </c>
      <c r="B15" s="234">
        <f>SUM(B16:B17)</f>
        <v>205000</v>
      </c>
      <c r="C15" s="234">
        <f>SUM(C16:C17)</f>
        <v>174601.48</v>
      </c>
      <c r="D15" s="26">
        <f t="shared" si="0"/>
        <v>85.17145365853659</v>
      </c>
      <c r="E15" s="42">
        <f t="shared" si="1"/>
        <v>-30398.51999999999</v>
      </c>
    </row>
    <row r="16" spans="1:5" ht="12.75">
      <c r="A16" s="41" t="s">
        <v>172</v>
      </c>
      <c r="B16" s="234">
        <v>11000</v>
      </c>
      <c r="C16" s="276">
        <v>14918.85</v>
      </c>
      <c r="D16" s="26">
        <f t="shared" si="0"/>
        <v>135.6259090909091</v>
      </c>
      <c r="E16" s="42">
        <f t="shared" si="1"/>
        <v>3918.8500000000004</v>
      </c>
    </row>
    <row r="17" spans="1:5" ht="12.75">
      <c r="A17" s="41" t="s">
        <v>173</v>
      </c>
      <c r="B17" s="234">
        <v>194000</v>
      </c>
      <c r="C17" s="276">
        <v>159682.63</v>
      </c>
      <c r="D17" s="26">
        <f t="shared" si="0"/>
        <v>82.31063402061855</v>
      </c>
      <c r="E17" s="42">
        <f t="shared" si="1"/>
        <v>-34317.369999999995</v>
      </c>
    </row>
    <row r="18" spans="1:5" ht="12.75">
      <c r="A18" s="41" t="s">
        <v>219</v>
      </c>
      <c r="B18" s="234">
        <v>0</v>
      </c>
      <c r="C18" s="276">
        <v>800</v>
      </c>
      <c r="D18" s="26" t="str">
        <f t="shared" si="0"/>
        <v>   </v>
      </c>
      <c r="E18" s="42">
        <f t="shared" si="1"/>
        <v>800</v>
      </c>
    </row>
    <row r="19" spans="1:5" ht="13.5" customHeight="1">
      <c r="A19" s="16" t="s">
        <v>89</v>
      </c>
      <c r="B19" s="234">
        <v>0</v>
      </c>
      <c r="C19" s="276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4">
        <f>SUM(B21:B22)</f>
        <v>96000</v>
      </c>
      <c r="C20" s="233">
        <f>SUM(C21:C22)</f>
        <v>33087.58</v>
      </c>
      <c r="D20" s="26">
        <f t="shared" si="0"/>
        <v>34.466229166666665</v>
      </c>
      <c r="E20" s="42">
        <f t="shared" si="1"/>
        <v>-62912.42</v>
      </c>
    </row>
    <row r="21" spans="1:5" ht="12.75">
      <c r="A21" s="41" t="s">
        <v>161</v>
      </c>
      <c r="B21" s="234">
        <v>74000</v>
      </c>
      <c r="C21" s="235">
        <v>33087.58</v>
      </c>
      <c r="D21" s="26">
        <f t="shared" si="0"/>
        <v>44.71294594594595</v>
      </c>
      <c r="E21" s="42">
        <f t="shared" si="1"/>
        <v>-40912.42</v>
      </c>
    </row>
    <row r="22" spans="1:5" ht="15" customHeight="1">
      <c r="A22" s="16" t="s">
        <v>30</v>
      </c>
      <c r="B22" s="234">
        <v>22000</v>
      </c>
      <c r="C22" s="235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3">
        <f>B25</f>
        <v>0</v>
      </c>
      <c r="C24" s="233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4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4">
        <v>0</v>
      </c>
      <c r="C27" s="234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4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2" t="s">
        <v>10</v>
      </c>
      <c r="B30" s="158">
        <f>SUM(B7,B9,B11,B13,B20,B23,B24,B26,B29,B19,B18)</f>
        <v>988900</v>
      </c>
      <c r="C30" s="158">
        <f>SUM(C7,C9,C11,C13,C20,C23,C24,C26,C29,C19,C18)</f>
        <v>977878.49</v>
      </c>
      <c r="D30" s="148">
        <f t="shared" si="0"/>
        <v>98.88547780362018</v>
      </c>
      <c r="E30" s="149">
        <f t="shared" si="1"/>
        <v>-11021.51000000001</v>
      </c>
    </row>
    <row r="31" spans="1:5" ht="13.5" customHeight="1">
      <c r="A31" s="190" t="s">
        <v>145</v>
      </c>
      <c r="B31" s="200">
        <f>SUM(B32:B35,B38:B41,B44)</f>
        <v>14905419.56</v>
      </c>
      <c r="C31" s="200">
        <f>SUM(C32:C35,C38:C41,C44)</f>
        <v>3417863.6</v>
      </c>
      <c r="D31" s="148">
        <f t="shared" si="0"/>
        <v>22.930341452260333</v>
      </c>
      <c r="E31" s="149">
        <f t="shared" si="1"/>
        <v>-11487555.96</v>
      </c>
    </row>
    <row r="32" spans="1:5" ht="19.5" customHeight="1">
      <c r="A32" s="17" t="s">
        <v>34</v>
      </c>
      <c r="B32" s="168">
        <v>1468600</v>
      </c>
      <c r="C32" s="276">
        <v>1386300</v>
      </c>
      <c r="D32" s="26">
        <f t="shared" si="0"/>
        <v>94.3960234236688</v>
      </c>
      <c r="E32" s="42">
        <f t="shared" si="1"/>
        <v>-82300</v>
      </c>
    </row>
    <row r="33" spans="1:5" ht="19.5" customHeight="1">
      <c r="A33" s="17" t="s">
        <v>263</v>
      </c>
      <c r="B33" s="168">
        <v>1522300</v>
      </c>
      <c r="C33" s="276">
        <v>543300</v>
      </c>
      <c r="D33" s="26">
        <f t="shared" si="0"/>
        <v>35.68941732904158</v>
      </c>
      <c r="E33" s="42">
        <f t="shared" si="1"/>
        <v>-979000</v>
      </c>
    </row>
    <row r="34" spans="1:5" ht="30.75" customHeight="1">
      <c r="A34" s="141" t="s">
        <v>51</v>
      </c>
      <c r="B34" s="142">
        <v>90000</v>
      </c>
      <c r="C34" s="276">
        <v>87594</v>
      </c>
      <c r="D34" s="143">
        <f t="shared" si="0"/>
        <v>97.32666666666667</v>
      </c>
      <c r="E34" s="144">
        <f t="shared" si="1"/>
        <v>-2406</v>
      </c>
    </row>
    <row r="35" spans="1:5" ht="24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142">
        <v>200</v>
      </c>
      <c r="C36" s="145">
        <v>200</v>
      </c>
      <c r="D36" s="143">
        <f t="shared" si="0"/>
        <v>100</v>
      </c>
      <c r="E36" s="144">
        <f t="shared" si="1"/>
        <v>0</v>
      </c>
    </row>
    <row r="37" spans="1:5" ht="25.5" customHeight="1">
      <c r="A37" s="116" t="s">
        <v>175</v>
      </c>
      <c r="B37" s="142">
        <v>0</v>
      </c>
      <c r="C37" s="145">
        <v>0</v>
      </c>
      <c r="D37" s="143" t="str">
        <f t="shared" si="0"/>
        <v>   </v>
      </c>
      <c r="E37" s="144">
        <f t="shared" si="1"/>
        <v>0</v>
      </c>
    </row>
    <row r="38" spans="1:5" ht="40.5" customHeight="1">
      <c r="A38" s="150" t="s">
        <v>137</v>
      </c>
      <c r="B38" s="142">
        <v>0</v>
      </c>
      <c r="C38" s="142">
        <v>0</v>
      </c>
      <c r="D38" s="143" t="str">
        <f t="shared" si="0"/>
        <v>   </v>
      </c>
      <c r="E38" s="144">
        <f t="shared" si="1"/>
        <v>0</v>
      </c>
    </row>
    <row r="39" spans="1:5" ht="14.25" customHeight="1">
      <c r="A39" s="150" t="s">
        <v>181</v>
      </c>
      <c r="B39" s="142">
        <v>50000</v>
      </c>
      <c r="C39" s="142">
        <v>0</v>
      </c>
      <c r="D39" s="143">
        <f t="shared" si="0"/>
        <v>0</v>
      </c>
      <c r="E39" s="144">
        <f t="shared" si="1"/>
        <v>-50000</v>
      </c>
    </row>
    <row r="40" spans="1:5" ht="61.5" customHeight="1">
      <c r="A40" s="16" t="s">
        <v>282</v>
      </c>
      <c r="B40" s="142">
        <v>11508600</v>
      </c>
      <c r="C40" s="142">
        <v>1134750</v>
      </c>
      <c r="D40" s="143">
        <f t="shared" si="0"/>
        <v>9.860017725874563</v>
      </c>
      <c r="E40" s="144">
        <f t="shared" si="1"/>
        <v>-10373850</v>
      </c>
    </row>
    <row r="41" spans="1:5" ht="15.75" customHeight="1">
      <c r="A41" s="16" t="s">
        <v>55</v>
      </c>
      <c r="B41" s="175">
        <f>B43+B42</f>
        <v>209778.6</v>
      </c>
      <c r="C41" s="175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175">
        <v>209778.6</v>
      </c>
      <c r="C42" s="175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5">
        <v>0</v>
      </c>
      <c r="C43" s="175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222</v>
      </c>
      <c r="B44" s="175">
        <v>55940.96</v>
      </c>
      <c r="C44" s="175">
        <v>55941</v>
      </c>
      <c r="D44" s="54">
        <f>IF(B44=0,"   ",C44/B44*100)</f>
        <v>100.00007150395702</v>
      </c>
      <c r="E44" s="40">
        <f>C44-B44</f>
        <v>0.040000000000873115</v>
      </c>
    </row>
    <row r="45" spans="1:5" ht="20.25" customHeight="1">
      <c r="A45" s="182" t="s">
        <v>11</v>
      </c>
      <c r="B45" s="158">
        <f>SUM(B30,B31,)</f>
        <v>15894319.56</v>
      </c>
      <c r="C45" s="158">
        <f>SUM(C30,C31,)</f>
        <v>4395742.09</v>
      </c>
      <c r="D45" s="148">
        <f t="shared" si="0"/>
        <v>27.656057080055334</v>
      </c>
      <c r="E45" s="149">
        <f t="shared" si="1"/>
        <v>-11498577.47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1193988.56</v>
      </c>
      <c r="C47" s="25">
        <f>SUM(C48,C50,C51)</f>
        <v>919742.8</v>
      </c>
      <c r="D47" s="26">
        <f t="shared" si="0"/>
        <v>77.0311233132753</v>
      </c>
      <c r="E47" s="42">
        <f t="shared" si="1"/>
        <v>-274245.76</v>
      </c>
    </row>
    <row r="48" spans="1:5" ht="14.25" customHeight="1">
      <c r="A48" s="16" t="s">
        <v>36</v>
      </c>
      <c r="B48" s="25">
        <v>1193988.56</v>
      </c>
      <c r="C48" s="25">
        <v>919742.8</v>
      </c>
      <c r="D48" s="26">
        <f t="shared" si="0"/>
        <v>77.0311233132753</v>
      </c>
      <c r="E48" s="42">
        <f t="shared" si="1"/>
        <v>-274245.76</v>
      </c>
    </row>
    <row r="49" spans="1:5" ht="12.75">
      <c r="A49" s="92" t="s">
        <v>122</v>
      </c>
      <c r="B49" s="25">
        <v>800086.93</v>
      </c>
      <c r="C49" s="28">
        <v>620663.56</v>
      </c>
      <c r="D49" s="26">
        <f t="shared" si="0"/>
        <v>77.57451555920305</v>
      </c>
      <c r="E49" s="42">
        <f t="shared" si="1"/>
        <v>-179423.37</v>
      </c>
    </row>
    <row r="50" spans="1:5" ht="12.75">
      <c r="A50" s="16" t="s">
        <v>96</v>
      </c>
      <c r="B50" s="25">
        <v>0</v>
      </c>
      <c r="C50" s="27">
        <v>0</v>
      </c>
      <c r="D50" s="26" t="str">
        <f t="shared" si="0"/>
        <v>   </v>
      </c>
      <c r="E50" s="42">
        <f t="shared" si="1"/>
        <v>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6.25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81098.74</v>
      </c>
      <c r="D53" s="26">
        <f t="shared" si="0"/>
        <v>90.10971111111111</v>
      </c>
      <c r="E53" s="42">
        <f t="shared" si="1"/>
        <v>-8901.259999999995</v>
      </c>
    </row>
    <row r="54" spans="1:5" ht="15.75" customHeight="1">
      <c r="A54" s="16" t="s">
        <v>108</v>
      </c>
      <c r="B54" s="25">
        <v>90000</v>
      </c>
      <c r="C54" s="27">
        <v>81098.74</v>
      </c>
      <c r="D54" s="26">
        <f t="shared" si="0"/>
        <v>90.10971111111111</v>
      </c>
      <c r="E54" s="42">
        <f t="shared" si="1"/>
        <v>-8901.259999999995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13594500</v>
      </c>
      <c r="C57" s="25">
        <f>SUM(C61+C58+C66)</f>
        <v>2199800</v>
      </c>
      <c r="D57" s="26">
        <f t="shared" si="0"/>
        <v>16.181544006767442</v>
      </c>
      <c r="E57" s="42">
        <f t="shared" si="1"/>
        <v>-11394700</v>
      </c>
    </row>
    <row r="58" spans="1:5" ht="1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2" t="s">
        <v>180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3" t="s">
        <v>134</v>
      </c>
      <c r="B61" s="25">
        <f>B62+B64+B65+B63</f>
        <v>13594500</v>
      </c>
      <c r="C61" s="25">
        <f>C62+C64+C65+C63</f>
        <v>2199800</v>
      </c>
      <c r="D61" s="26">
        <f t="shared" si="0"/>
        <v>16.181544006767442</v>
      </c>
      <c r="E61" s="42">
        <f t="shared" si="1"/>
        <v>-11394700</v>
      </c>
    </row>
    <row r="62" spans="1:5" ht="12" customHeight="1">
      <c r="A62" s="82" t="s">
        <v>146</v>
      </c>
      <c r="B62" s="25">
        <v>0</v>
      </c>
      <c r="C62" s="25">
        <v>0</v>
      </c>
      <c r="D62" s="26" t="str">
        <f t="shared" si="0"/>
        <v>   </v>
      </c>
      <c r="E62" s="144">
        <f t="shared" si="1"/>
        <v>0</v>
      </c>
    </row>
    <row r="63" spans="1:5" ht="15" customHeight="1">
      <c r="A63" s="82" t="s">
        <v>224</v>
      </c>
      <c r="B63" s="25">
        <v>0</v>
      </c>
      <c r="C63" s="25">
        <v>0</v>
      </c>
      <c r="D63" s="26" t="str">
        <f t="shared" si="0"/>
        <v>   </v>
      </c>
      <c r="E63" s="144">
        <f t="shared" si="1"/>
        <v>0</v>
      </c>
    </row>
    <row r="64" spans="1:5" ht="26.25" customHeight="1">
      <c r="A64" s="78" t="s">
        <v>135</v>
      </c>
      <c r="B64" s="25">
        <v>11508600</v>
      </c>
      <c r="C64" s="25">
        <v>1134750</v>
      </c>
      <c r="D64" s="26">
        <f t="shared" si="0"/>
        <v>9.860017725874563</v>
      </c>
      <c r="E64" s="42">
        <f t="shared" si="1"/>
        <v>-10373850</v>
      </c>
    </row>
    <row r="65" spans="1:5" ht="23.25" customHeight="1">
      <c r="A65" s="78" t="s">
        <v>136</v>
      </c>
      <c r="B65" s="25">
        <v>2085900</v>
      </c>
      <c r="C65" s="25">
        <v>1065050</v>
      </c>
      <c r="D65" s="26">
        <f t="shared" si="0"/>
        <v>51.059494702526486</v>
      </c>
      <c r="E65" s="42">
        <f t="shared" si="1"/>
        <v>-1020850</v>
      </c>
    </row>
    <row r="66" spans="1:5" ht="18.75" customHeight="1">
      <c r="A66" s="103" t="s">
        <v>195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2" t="s">
        <v>196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496631.00000000006</v>
      </c>
      <c r="C68" s="25">
        <f>SUM(C73+C69+C71)</f>
        <v>443055.94000000006</v>
      </c>
      <c r="D68" s="26">
        <f t="shared" si="0"/>
        <v>89.21230048063855</v>
      </c>
      <c r="E68" s="42">
        <f t="shared" si="1"/>
        <v>-53575.06</v>
      </c>
    </row>
    <row r="69" spans="1:5" ht="12.75" customHeight="1">
      <c r="A69" s="93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4" t="s">
        <v>183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3" t="s">
        <v>64</v>
      </c>
      <c r="B71" s="25">
        <f>B72</f>
        <v>30000</v>
      </c>
      <c r="C71" s="25">
        <f>C72</f>
        <v>30000</v>
      </c>
      <c r="D71" s="26">
        <f>IF(B71=0,"   ",C71/B71*100)</f>
        <v>100</v>
      </c>
      <c r="E71" s="42">
        <f>C71-B71</f>
        <v>0</v>
      </c>
    </row>
    <row r="72" spans="1:5" ht="14.25" customHeight="1">
      <c r="A72" s="164" t="s">
        <v>148</v>
      </c>
      <c r="B72" s="25">
        <v>30000</v>
      </c>
      <c r="C72" s="25">
        <v>30000</v>
      </c>
      <c r="D72" s="26">
        <f>IF(B72=0,"   ",C72/B72*100)</f>
        <v>100</v>
      </c>
      <c r="E72" s="42">
        <f>C72-B72</f>
        <v>0</v>
      </c>
    </row>
    <row r="73" spans="1:5" ht="12.75">
      <c r="A73" s="16" t="s">
        <v>58</v>
      </c>
      <c r="B73" s="25">
        <f>B74+B76+B75+B81+B77</f>
        <v>466631.00000000006</v>
      </c>
      <c r="C73" s="25">
        <f>C74+C76+C75+C81+C77</f>
        <v>413055.94000000006</v>
      </c>
      <c r="D73" s="26">
        <f t="shared" si="0"/>
        <v>88.51875250465572</v>
      </c>
      <c r="E73" s="42">
        <f t="shared" si="1"/>
        <v>-53575.06</v>
      </c>
    </row>
    <row r="74" spans="1:5" ht="12.75">
      <c r="A74" s="16" t="s">
        <v>56</v>
      </c>
      <c r="B74" s="25">
        <v>47500</v>
      </c>
      <c r="C74" s="27">
        <v>23434.94</v>
      </c>
      <c r="D74" s="26">
        <f t="shared" si="0"/>
        <v>49.336715789473686</v>
      </c>
      <c r="E74" s="42">
        <f t="shared" si="1"/>
        <v>-24065.06</v>
      </c>
    </row>
    <row r="75" spans="1:5" ht="26.25">
      <c r="A75" s="112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29500</v>
      </c>
      <c r="C76" s="27">
        <v>0</v>
      </c>
      <c r="D76" s="26">
        <f t="shared" si="0"/>
        <v>0</v>
      </c>
      <c r="E76" s="42">
        <f t="shared" si="1"/>
        <v>-29500</v>
      </c>
    </row>
    <row r="77" spans="1:5" ht="13.5" customHeight="1">
      <c r="A77" s="112" t="s">
        <v>231</v>
      </c>
      <c r="B77" s="25">
        <f>SUM(B78:B80)</f>
        <v>349631.00000000006</v>
      </c>
      <c r="C77" s="25">
        <f>SUM(C78:C80)</f>
        <v>349631.00000000006</v>
      </c>
      <c r="D77" s="26">
        <f>IF(B77=0,"   ",C77/B77*100)</f>
        <v>100</v>
      </c>
      <c r="E77" s="42">
        <f>C77-B77</f>
        <v>0</v>
      </c>
    </row>
    <row r="78" spans="1:5" ht="26.25">
      <c r="A78" s="112" t="s">
        <v>238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6.25">
      <c r="A79" s="112" t="s">
        <v>239</v>
      </c>
      <c r="B79" s="25">
        <v>83911.44</v>
      </c>
      <c r="C79" s="27">
        <v>83911.44</v>
      </c>
      <c r="D79" s="26">
        <f t="shared" si="0"/>
        <v>100</v>
      </c>
      <c r="E79" s="42">
        <f t="shared" si="1"/>
        <v>0</v>
      </c>
    </row>
    <row r="80" spans="1:5" ht="26.25">
      <c r="A80" s="112" t="s">
        <v>240</v>
      </c>
      <c r="B80" s="25">
        <v>55940.96</v>
      </c>
      <c r="C80" s="27">
        <v>55940.96</v>
      </c>
      <c r="D80" s="26">
        <f t="shared" si="0"/>
        <v>100</v>
      </c>
      <c r="E80" s="42">
        <f t="shared" si="1"/>
        <v>0</v>
      </c>
    </row>
    <row r="81" spans="1:5" ht="12.75">
      <c r="A81" s="164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581900</v>
      </c>
      <c r="D83" s="26">
        <f t="shared" si="0"/>
        <v>100</v>
      </c>
      <c r="E83" s="42">
        <f t="shared" si="1"/>
        <v>0</v>
      </c>
    </row>
    <row r="84" spans="1:5" ht="12.75">
      <c r="A84" s="16" t="s">
        <v>42</v>
      </c>
      <c r="B84" s="25">
        <v>581900</v>
      </c>
      <c r="C84" s="27">
        <v>581900</v>
      </c>
      <c r="D84" s="26">
        <f t="shared" si="0"/>
        <v>100</v>
      </c>
      <c r="E84" s="42">
        <f t="shared" si="1"/>
        <v>0</v>
      </c>
    </row>
    <row r="85" spans="1:5" ht="18.75" customHeight="1">
      <c r="A85" s="16" t="s">
        <v>125</v>
      </c>
      <c r="B85" s="25">
        <f>SUM(B86,)</f>
        <v>10000</v>
      </c>
      <c r="C85" s="25">
        <f>SUM(C86,)</f>
        <v>0</v>
      </c>
      <c r="D85" s="26">
        <f t="shared" si="0"/>
        <v>0</v>
      </c>
      <c r="E85" s="42">
        <f t="shared" si="1"/>
        <v>-10000</v>
      </c>
    </row>
    <row r="86" spans="1:5" ht="12.75">
      <c r="A86" s="16" t="s">
        <v>43</v>
      </c>
      <c r="B86" s="25">
        <v>10000</v>
      </c>
      <c r="C86" s="28">
        <v>0</v>
      </c>
      <c r="D86" s="26">
        <f t="shared" si="0"/>
        <v>0</v>
      </c>
      <c r="E86" s="42">
        <f t="shared" si="1"/>
        <v>-10000</v>
      </c>
    </row>
    <row r="87" spans="1:5" ht="22.5" customHeight="1">
      <c r="A87" s="182" t="s">
        <v>15</v>
      </c>
      <c r="B87" s="158">
        <f>B47+B53+B55+B57+B68+B82+B83+B85</f>
        <v>15976019.56</v>
      </c>
      <c r="C87" s="158">
        <f>C47+C53+C55+C57+C68+C82+C83+C85</f>
        <v>4234597.48</v>
      </c>
      <c r="D87" s="148">
        <f>IF(B87=0,"   ",C87/B87*100)</f>
        <v>26.505960787644405</v>
      </c>
      <c r="E87" s="149">
        <f t="shared" si="1"/>
        <v>-11741422.08</v>
      </c>
    </row>
    <row r="88" spans="1:5" s="66" customFormat="1" ht="23.25" customHeight="1">
      <c r="A88" s="87" t="s">
        <v>256</v>
      </c>
      <c r="B88" s="87"/>
      <c r="C88" s="292"/>
      <c r="D88" s="292"/>
      <c r="E88" s="292"/>
    </row>
    <row r="89" spans="1:5" s="66" customFormat="1" ht="12" customHeight="1">
      <c r="A89" s="87" t="s">
        <v>163</v>
      </c>
      <c r="B89" s="87"/>
      <c r="C89" s="88" t="s">
        <v>302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zoomScalePageLayoutView="0" workbookViewId="0" topLeftCell="A83">
      <selection activeCell="C34" sqref="C34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294" t="s">
        <v>316</v>
      </c>
      <c r="B1" s="294"/>
      <c r="C1" s="294"/>
      <c r="D1" s="294"/>
      <c r="E1" s="294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270</v>
      </c>
      <c r="C4" s="32" t="s">
        <v>308</v>
      </c>
      <c r="D4" s="19" t="s">
        <v>273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6">
        <f>SUM(B8)</f>
        <v>381800</v>
      </c>
      <c r="C7" s="156">
        <f>SUM(C8)</f>
        <v>325036.63</v>
      </c>
      <c r="D7" s="26">
        <f aca="true" t="shared" si="0" ref="D7:D93">IF(B7=0,"   ",C7/B7*100)</f>
        <v>85.13269512833944</v>
      </c>
      <c r="E7" s="42">
        <f aca="true" t="shared" si="1" ref="E7:E94">C7-B7</f>
        <v>-56763.369999999995</v>
      </c>
    </row>
    <row r="8" spans="1:5" ht="12.75">
      <c r="A8" s="16" t="s">
        <v>44</v>
      </c>
      <c r="B8" s="91">
        <v>381800</v>
      </c>
      <c r="C8" s="276">
        <v>325036.63</v>
      </c>
      <c r="D8" s="26">
        <f t="shared" si="0"/>
        <v>85.13269512833944</v>
      </c>
      <c r="E8" s="42">
        <f t="shared" si="1"/>
        <v>-56763.369999999995</v>
      </c>
    </row>
    <row r="9" spans="1:5" ht="18" customHeight="1">
      <c r="A9" s="71" t="s">
        <v>142</v>
      </c>
      <c r="B9" s="233">
        <f>SUM(B10)</f>
        <v>438400</v>
      </c>
      <c r="C9" s="233">
        <f>SUM(C10)</f>
        <v>473649.49</v>
      </c>
      <c r="D9" s="26">
        <f t="shared" si="0"/>
        <v>108.04048585766424</v>
      </c>
      <c r="E9" s="42">
        <f t="shared" si="1"/>
        <v>35249.48999999999</v>
      </c>
    </row>
    <row r="10" spans="1:5" ht="12.75">
      <c r="A10" s="41" t="s">
        <v>143</v>
      </c>
      <c r="B10" s="234">
        <v>438400</v>
      </c>
      <c r="C10" s="276">
        <v>473649.49</v>
      </c>
      <c r="D10" s="26">
        <f t="shared" si="0"/>
        <v>108.04048585766424</v>
      </c>
      <c r="E10" s="42">
        <f t="shared" si="1"/>
        <v>35249.48999999999</v>
      </c>
    </row>
    <row r="11" spans="1:5" ht="16.5" customHeight="1">
      <c r="A11" s="16" t="s">
        <v>7</v>
      </c>
      <c r="B11" s="234">
        <f>SUM(B12:B12)</f>
        <v>24600</v>
      </c>
      <c r="C11" s="234">
        <f>C12</f>
        <v>15135.35</v>
      </c>
      <c r="D11" s="26">
        <f t="shared" si="0"/>
        <v>61.52581300813008</v>
      </c>
      <c r="E11" s="42">
        <f t="shared" si="1"/>
        <v>-9464.65</v>
      </c>
    </row>
    <row r="12" spans="1:5" ht="12.75">
      <c r="A12" s="16" t="s">
        <v>26</v>
      </c>
      <c r="B12" s="234">
        <v>24600</v>
      </c>
      <c r="C12" s="276">
        <v>15135.35</v>
      </c>
      <c r="D12" s="26">
        <f t="shared" si="0"/>
        <v>61.52581300813008</v>
      </c>
      <c r="E12" s="42">
        <f t="shared" si="1"/>
        <v>-9464.65</v>
      </c>
    </row>
    <row r="13" spans="1:5" ht="18" customHeight="1">
      <c r="A13" s="16" t="s">
        <v>9</v>
      </c>
      <c r="B13" s="234">
        <f>SUM(B14:B15)</f>
        <v>657400</v>
      </c>
      <c r="C13" s="234">
        <f>SUM(C14:C15)</f>
        <v>528653.45</v>
      </c>
      <c r="D13" s="26">
        <f t="shared" si="0"/>
        <v>80.4157970794037</v>
      </c>
      <c r="E13" s="42">
        <f t="shared" si="1"/>
        <v>-128746.55000000005</v>
      </c>
    </row>
    <row r="14" spans="1:5" ht="12.75">
      <c r="A14" s="16" t="s">
        <v>27</v>
      </c>
      <c r="B14" s="234">
        <v>234400</v>
      </c>
      <c r="C14" s="276">
        <v>177744.18</v>
      </c>
      <c r="D14" s="26">
        <f t="shared" si="0"/>
        <v>75.82942832764505</v>
      </c>
      <c r="E14" s="42">
        <f t="shared" si="1"/>
        <v>-56655.82000000001</v>
      </c>
    </row>
    <row r="15" spans="1:5" ht="12.75">
      <c r="A15" s="41" t="s">
        <v>171</v>
      </c>
      <c r="B15" s="234">
        <f>SUM(B16:B17)</f>
        <v>423000</v>
      </c>
      <c r="C15" s="234">
        <f>SUM(C16:C17)</f>
        <v>350909.27</v>
      </c>
      <c r="D15" s="26">
        <f t="shared" si="0"/>
        <v>82.9572742316785</v>
      </c>
      <c r="E15" s="42">
        <f t="shared" si="1"/>
        <v>-72090.72999999998</v>
      </c>
    </row>
    <row r="16" spans="1:5" ht="12.75">
      <c r="A16" s="41" t="s">
        <v>172</v>
      </c>
      <c r="B16" s="234">
        <v>127000</v>
      </c>
      <c r="C16" s="276">
        <v>133345.38</v>
      </c>
      <c r="D16" s="26">
        <f t="shared" si="0"/>
        <v>104.99636220472442</v>
      </c>
      <c r="E16" s="42">
        <f t="shared" si="1"/>
        <v>6345.380000000005</v>
      </c>
    </row>
    <row r="17" spans="1:5" ht="12.75">
      <c r="A17" s="41" t="s">
        <v>173</v>
      </c>
      <c r="B17" s="234">
        <v>296000</v>
      </c>
      <c r="C17" s="276">
        <v>217563.89</v>
      </c>
      <c r="D17" s="26">
        <f t="shared" si="0"/>
        <v>73.50131418918919</v>
      </c>
      <c r="E17" s="42">
        <f t="shared" si="1"/>
        <v>-78436.10999999999</v>
      </c>
    </row>
    <row r="18" spans="1:5" ht="12.75">
      <c r="A18" s="41" t="s">
        <v>219</v>
      </c>
      <c r="B18" s="234">
        <v>13600</v>
      </c>
      <c r="C18" s="276">
        <v>14370</v>
      </c>
      <c r="D18" s="26">
        <f t="shared" si="0"/>
        <v>105.66176470588235</v>
      </c>
      <c r="E18" s="42">
        <f t="shared" si="1"/>
        <v>770</v>
      </c>
    </row>
    <row r="19" spans="1:5" ht="26.25" customHeight="1">
      <c r="A19" s="16" t="s">
        <v>89</v>
      </c>
      <c r="B19" s="234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4">
        <f>SUM(B21:B24)</f>
        <v>72300</v>
      </c>
      <c r="C20" s="234">
        <f>SUM(C21:C24)</f>
        <v>39668.21</v>
      </c>
      <c r="D20" s="26">
        <f t="shared" si="0"/>
        <v>54.866127247579534</v>
      </c>
      <c r="E20" s="42">
        <f t="shared" si="1"/>
        <v>-32631.79</v>
      </c>
    </row>
    <row r="21" spans="1:5" ht="12.75">
      <c r="A21" s="16" t="s">
        <v>29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4">
        <v>45000</v>
      </c>
      <c r="C22" s="235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4">
        <v>11300</v>
      </c>
      <c r="C23" s="234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259</v>
      </c>
      <c r="B24" s="234">
        <v>16000</v>
      </c>
      <c r="C24" s="276">
        <v>15152.76</v>
      </c>
      <c r="D24" s="26">
        <f t="shared" si="0"/>
        <v>94.70475</v>
      </c>
      <c r="E24" s="42">
        <f t="shared" si="1"/>
        <v>-847.2399999999998</v>
      </c>
    </row>
    <row r="25" spans="1:5" ht="15.75" customHeight="1">
      <c r="A25" s="39" t="s">
        <v>92</v>
      </c>
      <c r="B25" s="234">
        <v>10000</v>
      </c>
      <c r="C25" s="276">
        <v>11061.8</v>
      </c>
      <c r="D25" s="26">
        <f t="shared" si="0"/>
        <v>110.618</v>
      </c>
      <c r="E25" s="42">
        <f t="shared" si="1"/>
        <v>1061.7999999999993</v>
      </c>
    </row>
    <row r="26" spans="1:5" ht="15" customHeight="1">
      <c r="A26" s="16" t="s">
        <v>78</v>
      </c>
      <c r="B26" s="234">
        <f>SUM(B27:B28)</f>
        <v>0</v>
      </c>
      <c r="C26" s="234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4">
        <v>0</v>
      </c>
      <c r="C27" s="276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4">
        <v>0</v>
      </c>
      <c r="C28" s="276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4">
        <v>0</v>
      </c>
      <c r="C29" s="23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4">
        <f>B31+B32</f>
        <v>0</v>
      </c>
      <c r="C30" s="233">
        <f>C31+C32</f>
        <v>-4750</v>
      </c>
      <c r="D30" s="26" t="str">
        <f t="shared" si="0"/>
        <v>   </v>
      </c>
      <c r="E30" s="42">
        <f t="shared" si="1"/>
        <v>-4750</v>
      </c>
    </row>
    <row r="31" spans="1:5" ht="13.5" customHeight="1">
      <c r="A31" s="16" t="s">
        <v>128</v>
      </c>
      <c r="B31" s="234">
        <v>0</v>
      </c>
      <c r="C31" s="235">
        <v>-4750</v>
      </c>
      <c r="D31" s="26" t="str">
        <f t="shared" si="0"/>
        <v>   </v>
      </c>
      <c r="E31" s="42">
        <f t="shared" si="1"/>
        <v>-4750</v>
      </c>
    </row>
    <row r="32" spans="1:5" ht="13.5" customHeight="1">
      <c r="A32" s="16" t="s">
        <v>132</v>
      </c>
      <c r="B32" s="234">
        <v>0</v>
      </c>
      <c r="C32" s="235">
        <v>0</v>
      </c>
      <c r="D32" s="26"/>
      <c r="E32" s="42">
        <f t="shared" si="1"/>
        <v>0</v>
      </c>
    </row>
    <row r="33" spans="1:5" ht="37.5" customHeight="1">
      <c r="A33" s="182" t="s">
        <v>10</v>
      </c>
      <c r="B33" s="184">
        <f>SUM(B7,B9,B11,B13,B19,B20,B25,B26,B29,B30,B18)</f>
        <v>1598100</v>
      </c>
      <c r="C33" s="184">
        <f>SUM(C7,C9,C11,C13,C19,C20,C25,C26,C29,C30,C18)</f>
        <v>1402824.93</v>
      </c>
      <c r="D33" s="148">
        <f t="shared" si="0"/>
        <v>87.78079782241412</v>
      </c>
      <c r="E33" s="149">
        <f t="shared" si="1"/>
        <v>-195275.07000000007</v>
      </c>
    </row>
    <row r="34" spans="1:5" ht="18.75" customHeight="1">
      <c r="A34" s="190" t="s">
        <v>145</v>
      </c>
      <c r="B34" s="200">
        <f>SUM(B35:B38,B42:B42,B45,B46,B47,B41)</f>
        <v>6798558.71</v>
      </c>
      <c r="C34" s="200">
        <f>SUM(C35:C38,C42:C42,C45,C46,C47,C41)</f>
        <v>6456505.4</v>
      </c>
      <c r="D34" s="148">
        <f t="shared" si="0"/>
        <v>94.96873786649995</v>
      </c>
      <c r="E34" s="149">
        <f t="shared" si="1"/>
        <v>-342053.3099999996</v>
      </c>
    </row>
    <row r="35" spans="1:5" ht="16.5" customHeight="1">
      <c r="A35" s="17" t="s">
        <v>34</v>
      </c>
      <c r="B35" s="168">
        <v>3324000</v>
      </c>
      <c r="C35" s="276">
        <v>3138050</v>
      </c>
      <c r="D35" s="26">
        <f t="shared" si="0"/>
        <v>94.40583634175692</v>
      </c>
      <c r="E35" s="42">
        <f t="shared" si="1"/>
        <v>-185950</v>
      </c>
    </row>
    <row r="36" spans="1:5" ht="16.5" customHeight="1">
      <c r="A36" s="17" t="s">
        <v>263</v>
      </c>
      <c r="B36" s="168">
        <v>645500</v>
      </c>
      <c r="C36" s="276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1" t="s">
        <v>51</v>
      </c>
      <c r="B37" s="142">
        <v>179900</v>
      </c>
      <c r="C37" s="276">
        <v>170037</v>
      </c>
      <c r="D37" s="143">
        <f t="shared" si="0"/>
        <v>94.51750972762646</v>
      </c>
      <c r="E37" s="144">
        <f t="shared" si="1"/>
        <v>-9863</v>
      </c>
    </row>
    <row r="38" spans="1:5" ht="24.75" customHeight="1">
      <c r="A38" s="116" t="s">
        <v>155</v>
      </c>
      <c r="B38" s="142">
        <f>SUM(B39:B40)</f>
        <v>300</v>
      </c>
      <c r="C38" s="142">
        <f>SUM(C39:C40)</f>
        <v>300</v>
      </c>
      <c r="D38" s="143">
        <f t="shared" si="0"/>
        <v>100</v>
      </c>
      <c r="E38" s="144">
        <f t="shared" si="1"/>
        <v>0</v>
      </c>
    </row>
    <row r="39" spans="1:5" ht="12.75" customHeight="1">
      <c r="A39" s="116" t="s">
        <v>174</v>
      </c>
      <c r="B39" s="142">
        <v>300</v>
      </c>
      <c r="C39" s="142">
        <v>300</v>
      </c>
      <c r="D39" s="143">
        <f>IF(B39=0,"   ",C39/B39*100)</f>
        <v>100</v>
      </c>
      <c r="E39" s="144">
        <f>C39-B39</f>
        <v>0</v>
      </c>
    </row>
    <row r="40" spans="1:5" ht="24.75" customHeight="1">
      <c r="A40" s="116" t="s">
        <v>175</v>
      </c>
      <c r="B40" s="142">
        <v>0</v>
      </c>
      <c r="C40" s="142">
        <v>0</v>
      </c>
      <c r="D40" s="143" t="str">
        <f>IF(B40=0,"   ",C40/B40*100)</f>
        <v>   </v>
      </c>
      <c r="E40" s="144">
        <f>C40-B40</f>
        <v>0</v>
      </c>
    </row>
    <row r="41" spans="1:5" ht="54" customHeight="1">
      <c r="A41" s="16" t="s">
        <v>282</v>
      </c>
      <c r="B41" s="142">
        <v>1001200</v>
      </c>
      <c r="C41" s="142">
        <v>904695</v>
      </c>
      <c r="D41" s="143">
        <f>IF(B41=0,"   ",C41/B41*100)</f>
        <v>90.36106671993608</v>
      </c>
      <c r="E41" s="144">
        <f>C41-B41</f>
        <v>-96505</v>
      </c>
    </row>
    <row r="42" spans="1:5" ht="18" customHeight="1">
      <c r="A42" s="16" t="s">
        <v>55</v>
      </c>
      <c r="B42" s="175">
        <f>B44+B43</f>
        <v>1417923.4</v>
      </c>
      <c r="C42" s="175">
        <f>C44+C43</f>
        <v>1417923.4</v>
      </c>
      <c r="D42" s="26">
        <f t="shared" si="0"/>
        <v>100</v>
      </c>
      <c r="E42" s="42">
        <f t="shared" si="1"/>
        <v>0</v>
      </c>
    </row>
    <row r="43" spans="1:5" ht="24.75" customHeight="1">
      <c r="A43" s="53" t="s">
        <v>207</v>
      </c>
      <c r="B43" s="175">
        <v>1417923.4</v>
      </c>
      <c r="C43" s="175">
        <v>1417923.4</v>
      </c>
      <c r="D43" s="26">
        <f t="shared" si="0"/>
        <v>100</v>
      </c>
      <c r="E43" s="42">
        <f t="shared" si="1"/>
        <v>0</v>
      </c>
    </row>
    <row r="44" spans="1:5" s="7" customFormat="1" ht="15.75" customHeight="1">
      <c r="A44" s="16" t="s">
        <v>110</v>
      </c>
      <c r="B44" s="175">
        <v>0</v>
      </c>
      <c r="C44" s="175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5">
        <v>0</v>
      </c>
      <c r="C45" s="175">
        <v>0</v>
      </c>
      <c r="D45" s="26" t="str">
        <f t="shared" si="0"/>
        <v>   </v>
      </c>
      <c r="E45" s="42">
        <f t="shared" si="1"/>
        <v>0</v>
      </c>
    </row>
    <row r="46" spans="1:5" ht="24" customHeight="1">
      <c r="A46" s="150" t="s">
        <v>181</v>
      </c>
      <c r="B46" s="175">
        <v>50000</v>
      </c>
      <c r="C46" s="175">
        <v>0</v>
      </c>
      <c r="D46" s="26">
        <f t="shared" si="0"/>
        <v>0</v>
      </c>
      <c r="E46" s="42">
        <f t="shared" si="1"/>
        <v>-50000</v>
      </c>
    </row>
    <row r="47" spans="1:5" ht="24.75" customHeight="1">
      <c r="A47" s="16" t="s">
        <v>222</v>
      </c>
      <c r="B47" s="175">
        <v>179735.31</v>
      </c>
      <c r="C47" s="175">
        <v>180000</v>
      </c>
      <c r="D47" s="26">
        <f t="shared" si="0"/>
        <v>100.14726655546981</v>
      </c>
      <c r="E47" s="42">
        <f t="shared" si="1"/>
        <v>264.6900000000023</v>
      </c>
    </row>
    <row r="48" spans="1:5" ht="26.25" customHeight="1">
      <c r="A48" s="182" t="s">
        <v>11</v>
      </c>
      <c r="B48" s="158">
        <f>SUM(B33,B34,)</f>
        <v>8396658.71</v>
      </c>
      <c r="C48" s="158">
        <f>SUM(C33,C34,)</f>
        <v>7859330.33</v>
      </c>
      <c r="D48" s="148">
        <f t="shared" si="0"/>
        <v>93.60068810037414</v>
      </c>
      <c r="E48" s="149">
        <f t="shared" si="1"/>
        <v>-537328.3800000008</v>
      </c>
    </row>
    <row r="49" spans="1:5" ht="12.75" customHeight="1">
      <c r="A49" s="22" t="s">
        <v>12</v>
      </c>
      <c r="B49" s="44"/>
      <c r="C49" s="45"/>
      <c r="D49" s="26" t="str">
        <f t="shared" si="0"/>
        <v>   </v>
      </c>
      <c r="E49" s="42"/>
    </row>
    <row r="50" spans="1:5" ht="24" customHeight="1">
      <c r="A50" s="16" t="s">
        <v>35</v>
      </c>
      <c r="B50" s="25">
        <f>SUM(B51,B53,B54)</f>
        <v>1224473.26</v>
      </c>
      <c r="C50" s="25">
        <f>SUM(C51,C53,C54)</f>
        <v>979006.87</v>
      </c>
      <c r="D50" s="26">
        <f t="shared" si="0"/>
        <v>79.95330743278134</v>
      </c>
      <c r="E50" s="42">
        <f t="shared" si="1"/>
        <v>-245466.39</v>
      </c>
    </row>
    <row r="51" spans="1:5" ht="12.75" customHeight="1">
      <c r="A51" s="16" t="s">
        <v>36</v>
      </c>
      <c r="B51" s="25">
        <v>1223973.26</v>
      </c>
      <c r="C51" s="25">
        <v>979006.87</v>
      </c>
      <c r="D51" s="26">
        <f t="shared" si="0"/>
        <v>79.98596881111601</v>
      </c>
      <c r="E51" s="42">
        <f t="shared" si="1"/>
        <v>-244966.39</v>
      </c>
    </row>
    <row r="52" spans="1:5" ht="12.75">
      <c r="A52" s="92" t="s">
        <v>122</v>
      </c>
      <c r="B52" s="25">
        <v>750115</v>
      </c>
      <c r="C52" s="28">
        <v>643875.15</v>
      </c>
      <c r="D52" s="26">
        <f t="shared" si="0"/>
        <v>85.83685834838658</v>
      </c>
      <c r="E52" s="42">
        <f t="shared" si="1"/>
        <v>-106239.84999999998</v>
      </c>
    </row>
    <row r="53" spans="1:5" ht="12.75">
      <c r="A53" s="16" t="s">
        <v>96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SUM(B55:B57)</f>
        <v>0</v>
      </c>
      <c r="C54" s="27">
        <f>SUM(C55:C57)</f>
        <v>0</v>
      </c>
      <c r="D54" s="26" t="str">
        <f t="shared" si="0"/>
        <v>   </v>
      </c>
      <c r="E54" s="42">
        <f t="shared" si="1"/>
        <v>0</v>
      </c>
    </row>
    <row r="55" spans="1:5" ht="12.75">
      <c r="A55" s="112" t="s">
        <v>187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">
      <c r="A56" s="112" t="s">
        <v>227</v>
      </c>
      <c r="B56" s="27">
        <v>0</v>
      </c>
      <c r="C56" s="27">
        <v>0</v>
      </c>
      <c r="D56" s="26" t="str">
        <f>IF(B56=0,"   ",C56/B56*100)</f>
        <v>   </v>
      </c>
      <c r="E56" s="42">
        <f>C56-B56</f>
        <v>0</v>
      </c>
    </row>
    <row r="57" spans="1:5" ht="39.75" customHeight="1">
      <c r="A57" s="112" t="s">
        <v>188</v>
      </c>
      <c r="B57" s="25">
        <v>0</v>
      </c>
      <c r="C57" s="27">
        <v>0</v>
      </c>
      <c r="D57" s="26" t="str">
        <f t="shared" si="0"/>
        <v>   </v>
      </c>
      <c r="E57" s="42">
        <f t="shared" si="1"/>
        <v>0</v>
      </c>
    </row>
    <row r="58" spans="1:5" ht="22.5" customHeight="1">
      <c r="A58" s="16" t="s">
        <v>49</v>
      </c>
      <c r="B58" s="27">
        <f>SUM(B59)</f>
        <v>179900</v>
      </c>
      <c r="C58" s="27">
        <f>SUM(C59)</f>
        <v>160149.84</v>
      </c>
      <c r="D58" s="26">
        <f t="shared" si="0"/>
        <v>89.02158977209561</v>
      </c>
      <c r="E58" s="42">
        <f t="shared" si="1"/>
        <v>-19750.160000000003</v>
      </c>
    </row>
    <row r="59" spans="1:5" ht="12" customHeight="1">
      <c r="A59" s="16" t="s">
        <v>108</v>
      </c>
      <c r="B59" s="25">
        <v>179900</v>
      </c>
      <c r="C59" s="27">
        <v>160149.84</v>
      </c>
      <c r="D59" s="26">
        <f t="shared" si="0"/>
        <v>89.02158977209561</v>
      </c>
      <c r="E59" s="42">
        <f t="shared" si="1"/>
        <v>-19750.160000000003</v>
      </c>
    </row>
    <row r="60" spans="1:5" ht="16.5" customHeight="1">
      <c r="A60" s="16" t="s">
        <v>37</v>
      </c>
      <c r="B60" s="25">
        <f>SUM(B61)</f>
        <v>5000</v>
      </c>
      <c r="C60" s="27">
        <f>SUM(C61)</f>
        <v>5000</v>
      </c>
      <c r="D60" s="26">
        <f t="shared" si="0"/>
        <v>100</v>
      </c>
      <c r="E60" s="42">
        <f t="shared" si="1"/>
        <v>0</v>
      </c>
    </row>
    <row r="61" spans="1:5" ht="16.5" customHeight="1">
      <c r="A61" s="41" t="s">
        <v>130</v>
      </c>
      <c r="B61" s="25">
        <v>5000</v>
      </c>
      <c r="C61" s="27">
        <v>5000</v>
      </c>
      <c r="D61" s="26">
        <f t="shared" si="0"/>
        <v>100</v>
      </c>
      <c r="E61" s="42">
        <f t="shared" si="1"/>
        <v>0</v>
      </c>
    </row>
    <row r="62" spans="1:5" ht="21.75" customHeight="1">
      <c r="A62" s="16" t="s">
        <v>38</v>
      </c>
      <c r="B62" s="27">
        <f>B66+B63</f>
        <v>1439600</v>
      </c>
      <c r="C62" s="27">
        <f>C66+C63</f>
        <v>1299940</v>
      </c>
      <c r="D62" s="26">
        <f t="shared" si="0"/>
        <v>90.29869408168936</v>
      </c>
      <c r="E62" s="42">
        <f t="shared" si="1"/>
        <v>-139660</v>
      </c>
    </row>
    <row r="63" spans="1:5" ht="21.75" customHeight="1">
      <c r="A63" s="82" t="s">
        <v>176</v>
      </c>
      <c r="B63" s="25">
        <f>SUM(B64+B65)</f>
        <v>0</v>
      </c>
      <c r="C63" s="25">
        <f>SUM(C64+C65)</f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2" t="s">
        <v>177</v>
      </c>
      <c r="B64" s="25">
        <v>0</v>
      </c>
      <c r="C64" s="133">
        <v>0</v>
      </c>
      <c r="D64" s="26" t="str">
        <f>IF(B64=0,"   ",C64/B64*100)</f>
        <v>   </v>
      </c>
      <c r="E64" s="42">
        <f>C64-B64</f>
        <v>0</v>
      </c>
    </row>
    <row r="65" spans="1:5" ht="21.75" customHeight="1">
      <c r="A65" s="82" t="s">
        <v>180</v>
      </c>
      <c r="B65" s="125">
        <v>0</v>
      </c>
      <c r="C65" s="133">
        <v>0</v>
      </c>
      <c r="D65" s="26"/>
      <c r="E65" s="42"/>
    </row>
    <row r="66" spans="1:5" ht="12" customHeight="1">
      <c r="A66" s="103" t="s">
        <v>134</v>
      </c>
      <c r="B66" s="125">
        <f>B67+B70+B71+B68+B69</f>
        <v>1439600</v>
      </c>
      <c r="C66" s="125">
        <f>C67+C70+C71+C68+C69</f>
        <v>1299940</v>
      </c>
      <c r="D66" s="26">
        <f t="shared" si="0"/>
        <v>90.29869408168936</v>
      </c>
      <c r="E66" s="42">
        <f t="shared" si="1"/>
        <v>-139660</v>
      </c>
    </row>
    <row r="67" spans="1:5" ht="17.25" customHeight="1">
      <c r="A67" s="82" t="s">
        <v>158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2" t="s">
        <v>154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17.25" customHeight="1">
      <c r="A69" s="82" t="s">
        <v>184</v>
      </c>
      <c r="B69" s="25">
        <v>0</v>
      </c>
      <c r="C69" s="27">
        <v>0</v>
      </c>
      <c r="D69" s="26" t="str">
        <f t="shared" si="0"/>
        <v>   </v>
      </c>
      <c r="E69" s="42">
        <f t="shared" si="1"/>
        <v>0</v>
      </c>
    </row>
    <row r="70" spans="1:5" ht="27" customHeight="1">
      <c r="A70" s="155" t="s">
        <v>135</v>
      </c>
      <c r="B70" s="25">
        <v>1001200</v>
      </c>
      <c r="C70" s="27">
        <v>904695</v>
      </c>
      <c r="D70" s="26">
        <f t="shared" si="0"/>
        <v>90.36106671993608</v>
      </c>
      <c r="E70" s="42">
        <f t="shared" si="1"/>
        <v>-96505</v>
      </c>
    </row>
    <row r="71" spans="1:5" ht="27" customHeight="1">
      <c r="A71" s="78" t="s">
        <v>136</v>
      </c>
      <c r="B71" s="121">
        <v>438400</v>
      </c>
      <c r="C71" s="27">
        <v>395245</v>
      </c>
      <c r="D71" s="26">
        <f t="shared" si="0"/>
        <v>90.15625</v>
      </c>
      <c r="E71" s="42">
        <f t="shared" si="1"/>
        <v>-43155</v>
      </c>
    </row>
    <row r="72" spans="1:5" ht="20.25" customHeight="1">
      <c r="A72" s="16" t="s">
        <v>13</v>
      </c>
      <c r="B72" s="25">
        <f>SUM(B73,B75,B80,)</f>
        <v>3115545.45</v>
      </c>
      <c r="C72" s="25">
        <f>SUM(C73,C75,C80,)</f>
        <v>2653345.4499999997</v>
      </c>
      <c r="D72" s="26">
        <f t="shared" si="0"/>
        <v>85.16471650253087</v>
      </c>
      <c r="E72" s="42">
        <f t="shared" si="1"/>
        <v>-462200.00000000047</v>
      </c>
    </row>
    <row r="73" spans="1:5" ht="12.75">
      <c r="A73" s="16" t="s">
        <v>14</v>
      </c>
      <c r="B73" s="25">
        <f>SUM(B74:B74)</f>
        <v>0</v>
      </c>
      <c r="C73" s="25">
        <f>SUM(C74:C74)</f>
        <v>0</v>
      </c>
      <c r="D73" s="26" t="str">
        <f t="shared" si="0"/>
        <v>   </v>
      </c>
      <c r="E73" s="42">
        <f t="shared" si="1"/>
        <v>0</v>
      </c>
    </row>
    <row r="74" spans="1:5" ht="15.75" customHeight="1">
      <c r="A74" s="16" t="s">
        <v>99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12.75">
      <c r="A75" s="16" t="s">
        <v>91</v>
      </c>
      <c r="B75" s="25">
        <f>SUM(B77:B79)</f>
        <v>1803846.4999999998</v>
      </c>
      <c r="C75" s="25">
        <f>SUM(C77:C79)</f>
        <v>1803846.4999999998</v>
      </c>
      <c r="D75" s="26">
        <f t="shared" si="0"/>
        <v>100</v>
      </c>
      <c r="E75" s="42">
        <f t="shared" si="1"/>
        <v>0</v>
      </c>
    </row>
    <row r="76" spans="1:5" ht="26.25">
      <c r="A76" s="112" t="s">
        <v>231</v>
      </c>
      <c r="B76" s="25">
        <f>SUM(B77:B79)</f>
        <v>1803846.4999999998</v>
      </c>
      <c r="C76" s="25">
        <f>SUM(C77:C79)</f>
        <v>1803846.4999999998</v>
      </c>
      <c r="D76" s="26">
        <f>IF(B76=0,"   ",C76/B76*100)</f>
        <v>100</v>
      </c>
      <c r="E76" s="42">
        <f>C76-B76</f>
        <v>0</v>
      </c>
    </row>
    <row r="77" spans="1:5" ht="26.25">
      <c r="A77" s="112" t="s">
        <v>238</v>
      </c>
      <c r="B77" s="25">
        <v>1082309.9</v>
      </c>
      <c r="C77" s="25">
        <v>1082309.9</v>
      </c>
      <c r="D77" s="26">
        <f>IF(B77=0,"   ",C77/B77*100)</f>
        <v>100</v>
      </c>
      <c r="E77" s="42">
        <f>C77-B77</f>
        <v>0</v>
      </c>
    </row>
    <row r="78" spans="1:5" ht="26.25">
      <c r="A78" s="112" t="s">
        <v>239</v>
      </c>
      <c r="B78" s="25">
        <v>631341.34</v>
      </c>
      <c r="C78" s="25">
        <v>631341.34</v>
      </c>
      <c r="D78" s="26">
        <f>IF(B78=0,"   ",C78/B78*100)</f>
        <v>100</v>
      </c>
      <c r="E78" s="42">
        <f>C78-B78</f>
        <v>0</v>
      </c>
    </row>
    <row r="79" spans="1:5" ht="26.25">
      <c r="A79" s="112" t="s">
        <v>240</v>
      </c>
      <c r="B79" s="25">
        <v>90195.26</v>
      </c>
      <c r="C79" s="27">
        <v>90195.26</v>
      </c>
      <c r="D79" s="26">
        <f t="shared" si="0"/>
        <v>100</v>
      </c>
      <c r="E79" s="42">
        <f t="shared" si="1"/>
        <v>0</v>
      </c>
    </row>
    <row r="80" spans="1:5" ht="12.75">
      <c r="A80" s="16" t="s">
        <v>69</v>
      </c>
      <c r="B80" s="25">
        <f>B81+B83+B82+B84</f>
        <v>1311698.9500000002</v>
      </c>
      <c r="C80" s="25">
        <f>C81+C83+C82+C84</f>
        <v>849498.9500000001</v>
      </c>
      <c r="D80" s="26">
        <f t="shared" si="0"/>
        <v>64.76325608097802</v>
      </c>
      <c r="E80" s="42">
        <f t="shared" si="1"/>
        <v>-462200.0000000001</v>
      </c>
    </row>
    <row r="81" spans="1:5" ht="12.75">
      <c r="A81" s="16" t="s">
        <v>56</v>
      </c>
      <c r="B81" s="25">
        <v>530000</v>
      </c>
      <c r="C81" s="27">
        <v>290100</v>
      </c>
      <c r="D81" s="26">
        <f t="shared" si="0"/>
        <v>54.73584905660377</v>
      </c>
      <c r="E81" s="42">
        <f t="shared" si="1"/>
        <v>-239900</v>
      </c>
    </row>
    <row r="82" spans="1:5" ht="26.25">
      <c r="A82" s="112" t="s">
        <v>178</v>
      </c>
      <c r="B82" s="25">
        <v>200000</v>
      </c>
      <c r="C82" s="27">
        <v>0</v>
      </c>
      <c r="D82" s="26">
        <f t="shared" si="0"/>
        <v>0</v>
      </c>
      <c r="E82" s="42">
        <f t="shared" si="1"/>
        <v>-200000</v>
      </c>
    </row>
    <row r="83" spans="1:5" ht="12.75">
      <c r="A83" s="16" t="s">
        <v>57</v>
      </c>
      <c r="B83" s="25">
        <v>22300</v>
      </c>
      <c r="C83" s="27">
        <v>0</v>
      </c>
      <c r="D83" s="26">
        <f t="shared" si="0"/>
        <v>0</v>
      </c>
      <c r="E83" s="42">
        <f t="shared" si="1"/>
        <v>-22300</v>
      </c>
    </row>
    <row r="84" spans="1:5" ht="26.25">
      <c r="A84" s="112" t="s">
        <v>231</v>
      </c>
      <c r="B84" s="25">
        <f>SUM(B85:B87)</f>
        <v>559398.9500000001</v>
      </c>
      <c r="C84" s="25">
        <f>SUM(C85:C87)</f>
        <v>559398.9500000001</v>
      </c>
      <c r="D84" s="26">
        <f>IF(B84=0,"   ",C84/B84*100)</f>
        <v>100</v>
      </c>
      <c r="E84" s="42">
        <f>C84-B84</f>
        <v>0</v>
      </c>
    </row>
    <row r="85" spans="1:5" ht="26.25">
      <c r="A85" s="112" t="s">
        <v>238</v>
      </c>
      <c r="B85" s="25">
        <v>335613.5</v>
      </c>
      <c r="C85" s="27">
        <v>335613.5</v>
      </c>
      <c r="D85" s="26">
        <f>IF(B85=0,"   ",C85/B85*100)</f>
        <v>100</v>
      </c>
      <c r="E85" s="42">
        <f>C85-B85</f>
        <v>0</v>
      </c>
    </row>
    <row r="86" spans="1:5" ht="26.25">
      <c r="A86" s="112" t="s">
        <v>239</v>
      </c>
      <c r="B86" s="25">
        <v>134245.4</v>
      </c>
      <c r="C86" s="27">
        <v>134245.4</v>
      </c>
      <c r="D86" s="26">
        <f>IF(B86=0,"   ",C86/B86*100)</f>
        <v>100</v>
      </c>
      <c r="E86" s="42">
        <f>C86-B86</f>
        <v>0</v>
      </c>
    </row>
    <row r="87" spans="1:5" ht="26.25">
      <c r="A87" s="112" t="s">
        <v>240</v>
      </c>
      <c r="B87" s="25">
        <v>89540.05</v>
      </c>
      <c r="C87" s="27">
        <v>89540.05</v>
      </c>
      <c r="D87" s="26">
        <f>IF(B87=0,"   ",C87/B87*100)</f>
        <v>100</v>
      </c>
      <c r="E87" s="42">
        <f>C87-B87</f>
        <v>0</v>
      </c>
    </row>
    <row r="88" spans="1:5" ht="12.75">
      <c r="A88" s="164" t="s">
        <v>95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0.25" customHeight="1">
      <c r="A89" s="18" t="s">
        <v>17</v>
      </c>
      <c r="B89" s="31">
        <v>16000</v>
      </c>
      <c r="C89" s="31">
        <v>16000</v>
      </c>
      <c r="D89" s="26">
        <f t="shared" si="0"/>
        <v>100</v>
      </c>
      <c r="E89" s="42">
        <f t="shared" si="1"/>
        <v>0</v>
      </c>
    </row>
    <row r="90" spans="1:5" ht="21.75" customHeight="1">
      <c r="A90" s="16" t="s">
        <v>41</v>
      </c>
      <c r="B90" s="24">
        <f>SUM(B91,)</f>
        <v>2524900</v>
      </c>
      <c r="C90" s="24">
        <f>SUM(C91,)</f>
        <v>2524900</v>
      </c>
      <c r="D90" s="26">
        <f t="shared" si="0"/>
        <v>100</v>
      </c>
      <c r="E90" s="42">
        <f t="shared" si="1"/>
        <v>0</v>
      </c>
    </row>
    <row r="91" spans="1:5" ht="14.25" customHeight="1">
      <c r="A91" s="16" t="s">
        <v>42</v>
      </c>
      <c r="B91" s="25">
        <v>2524900</v>
      </c>
      <c r="C91" s="27">
        <v>2524900</v>
      </c>
      <c r="D91" s="26">
        <f t="shared" si="0"/>
        <v>100</v>
      </c>
      <c r="E91" s="42">
        <f t="shared" si="1"/>
        <v>0</v>
      </c>
    </row>
    <row r="92" spans="1:5" ht="18.75" customHeight="1">
      <c r="A92" s="16" t="s">
        <v>125</v>
      </c>
      <c r="B92" s="25">
        <f>SUM(B93,)</f>
        <v>20000</v>
      </c>
      <c r="C92" s="25">
        <f>C93</f>
        <v>20000</v>
      </c>
      <c r="D92" s="26">
        <f t="shared" si="0"/>
        <v>100</v>
      </c>
      <c r="E92" s="42">
        <f t="shared" si="1"/>
        <v>0</v>
      </c>
    </row>
    <row r="93" spans="1:5" ht="12.75" customHeight="1">
      <c r="A93" s="16" t="s">
        <v>43</v>
      </c>
      <c r="B93" s="25">
        <v>20000</v>
      </c>
      <c r="C93" s="28">
        <v>20000</v>
      </c>
      <c r="D93" s="26">
        <f t="shared" si="0"/>
        <v>100</v>
      </c>
      <c r="E93" s="42">
        <f t="shared" si="1"/>
        <v>0</v>
      </c>
    </row>
    <row r="94" spans="1:5" ht="30.75" customHeight="1">
      <c r="A94" s="182" t="s">
        <v>15</v>
      </c>
      <c r="B94" s="158">
        <f>SUM(B50,B58,B60,B62,B72,B89,B90,B92,)</f>
        <v>8525418.71</v>
      </c>
      <c r="C94" s="158">
        <f>SUM(C50,C58,C60,C62,C72,C89,C90,C92,)</f>
        <v>7658342.16</v>
      </c>
      <c r="D94" s="148">
        <f>IF(B94=0,"   ",C94/B94*100)</f>
        <v>89.82951360520332</v>
      </c>
      <c r="E94" s="149">
        <f t="shared" si="1"/>
        <v>-867076.5500000007</v>
      </c>
    </row>
    <row r="95" spans="1:5" s="66" customFormat="1" ht="23.25" customHeight="1">
      <c r="A95" s="87" t="s">
        <v>256</v>
      </c>
      <c r="B95" s="87"/>
      <c r="C95" s="292"/>
      <c r="D95" s="292"/>
      <c r="E95" s="292"/>
    </row>
    <row r="96" spans="1:5" s="66" customFormat="1" ht="12" customHeight="1">
      <c r="A96" s="87" t="s">
        <v>163</v>
      </c>
      <c r="B96" s="87"/>
      <c r="C96" s="88" t="s">
        <v>302</v>
      </c>
      <c r="D96" s="89"/>
      <c r="E96" s="90"/>
    </row>
    <row r="97" spans="1:5" ht="15" customHeight="1">
      <c r="A97" s="7"/>
      <c r="B97" s="7"/>
      <c r="C97" s="6"/>
      <c r="D97" s="7"/>
      <c r="E97" s="2"/>
    </row>
    <row r="98" spans="1:5" ht="12" customHeight="1">
      <c r="A98" s="55"/>
      <c r="B98" s="55"/>
      <c r="C98" s="56"/>
      <c r="D98" s="57"/>
      <c r="E98" s="58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sheetProtection/>
  <mergeCells count="2">
    <mergeCell ref="A1:E1"/>
    <mergeCell ref="C95:E95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2019-12-05T06:27:32Z</cp:lastPrinted>
  <dcterms:created xsi:type="dcterms:W3CDTF">2001-03-21T05:21:19Z</dcterms:created>
  <dcterms:modified xsi:type="dcterms:W3CDTF">2019-12-05T06:27:38Z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