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'Лист1'!$A$1:$E$117</definedName>
  </definedNames>
  <calcPr fullCalcOnLoad="1"/>
</workbook>
</file>

<file path=xl/sharedStrings.xml><?xml version="1.0" encoding="utf-8"?>
<sst xmlns="http://schemas.openxmlformats.org/spreadsheetml/2006/main" count="1147" uniqueCount="315">
  <si>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</si>
  <si>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</si>
  <si>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</si>
  <si>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</si>
  <si>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</si>
  <si>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</si>
  <si>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</si>
  <si>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</si>
  <si>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</si>
  <si>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</si>
  <si>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</si>
  <si>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</si>
  <si>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</si>
  <si>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</si>
  <si>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</si>
  <si>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</si>
  <si>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</si>
  <si>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</si>
  <si>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</si>
  <si>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</si>
  <si>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</si>
  <si>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</si>
  <si>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</si>
  <si>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</si>
  <si>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</si>
  <si>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</si>
  <si>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</si>
  <si>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</si>
  <si>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</si>
  <si>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</si>
  <si>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</si>
  <si>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</si>
  <si>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</si>
  <si>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</si>
  <si>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</si>
  <si>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</si>
  <si>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</si>
  <si>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</si>
  <si>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</si>
  <si>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</si>
  <si>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</si>
  <si>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</si>
  <si>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</si>
  <si>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</si>
  <si>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</si>
  <si>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</si>
  <si>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</si>
  <si>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</si>
  <si>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</si>
  <si>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</si>
  <si>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</si>
  <si>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</si>
  <si>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</si>
  <si>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</si>
  <si>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</si>
  <si>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</si>
  <si>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</si>
  <si>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</si>
  <si>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</si>
  <si>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</si>
  <si>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</si>
  <si>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</si>
  <si>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</si>
  <si>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</si>
  <si>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</si>
  <si>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</si>
  <si>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</si>
  <si>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</si>
  <si>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</si>
  <si>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</si>
  <si>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</si>
  <si>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</si>
  <si>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</si>
  <si>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</si>
  <si>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</si>
  <si>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</si>
  <si>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</si>
  <si>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</si>
  <si>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</si>
  <si>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</si>
  <si>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</si>
  <si>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</si>
  <si>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</si>
  <si>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</si>
  <si>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</si>
  <si>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</si>
  <si>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</si>
  <si>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</si>
  <si>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</si>
  <si>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</si>
  <si>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</si>
  <si>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</si>
  <si>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</si>
  <si>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</si>
  <si>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</si>
  <si>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</si>
  <si>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</si>
  <si>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</si>
  <si>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</si>
  <si>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</si>
  <si>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</si>
  <si>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</si>
  <si>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</si>
  <si>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</si>
  <si>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</si>
  <si>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</si>
  <si>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</si>
  <si>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</si>
  <si>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</si>
  <si>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</si>
  <si>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</si>
  <si>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</si>
  <si>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</si>
  <si>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</si>
  <si>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</si>
  <si>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</si>
  <si>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</si>
  <si>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</si>
  <si>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</si>
  <si>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</si>
  <si>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</si>
  <si>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</si>
  <si>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</si>
  <si>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</si>
  <si>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</si>
  <si>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</si>
  <si>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 xml:space="preserve">    физическая культура и спорт  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</si>
  <si>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</si>
  <si>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</si>
  <si>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</si>
  <si>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</si>
  <si>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</si>
  <si>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</si>
  <si>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</si>
  <si>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</si>
  <si>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</si>
  <si>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</si>
  <si>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</si>
  <si>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</si>
  <si>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</si>
  <si>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</si>
  <si>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</si>
  <si>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</si>
  <si>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</si>
  <si>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</si>
  <si>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</si>
  <si>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в т. ч. финансовое обеспечение дорожной деятельности ( фед.)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</si>
  <si>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</si>
  <si>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</si>
  <si>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</si>
  <si>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</si>
  <si>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</si>
  <si>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</si>
  <si>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</si>
  <si>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в т. ч. проектирование и строительство автомобильных дорог ( респ.)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</si>
  <si>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</si>
  <si>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</si>
  <si>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</si>
  <si>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в т. ч. проектирование и строительство автомобильных дорог ( фед.)</t>
  </si>
  <si>
    <t xml:space="preserve">в т. ч. проектир. и стр-во автомобильных дорог ( местн.)           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</si>
  <si>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</si>
  <si>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</si>
  <si>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</si>
  <si>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</si>
  <si>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</si>
  <si>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</si>
  <si>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</si>
  <si>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</si>
  <si>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>из них: капитальный и текущий ремонт  объектов водоснабжения</t>
  </si>
  <si>
    <t xml:space="preserve">  из них: капитальный и текущий ремонт объектов водоснабжения</t>
  </si>
  <si>
    <t xml:space="preserve">            мероприятия, направленные  на энергосбережение и повышение энергетической эффективности энергетических ресурсов, используемых для целей уличного освещения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</si>
  <si>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</si>
  <si>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</si>
  <si>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</si>
  <si>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</si>
  <si>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</si>
  <si>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</si>
  <si>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</si>
  <si>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</si>
  <si>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в т.ч.:софинансирование  из местного бюджета  на капремонт и ремонт дворовых территорий многоквартирных домов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</si>
  <si>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</si>
  <si>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</si>
  <si>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</si>
  <si>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в т. ч. проектирование и строительство автомобильных дорог  (местн.)</t>
  </si>
  <si>
    <t>из них: содержание муниципального жилфонда</t>
  </si>
  <si>
    <t>в  том  числе:  эксплуатация, техническое содержание и обслуживание сетей водопровода</t>
  </si>
  <si>
    <t>в т. ч. проектирование и строительство автомобильных дорог- софинансирование ( местн.)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</si>
  <si>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(мест- софин.)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</si>
  <si>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(мест.)</t>
  </si>
  <si>
    <t>софинансирование  из местного бюджета  на капремонт и ремонт дворовых территорий многоквартирных домов (местн.)</t>
  </si>
  <si>
    <t>из  них: прочие выплаиы по обязательствам муниципального образования (районн. бюдж.)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</si>
  <si>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 (районн. бюдж.)</t>
  </si>
  <si>
    <t>в т.ч. осуществление дорожной деятельности, кроме деятельности по строительству автодорог местного значения в границах поселения (мест, софин.)</t>
  </si>
  <si>
    <t>в т. ч. проектирование и строительство автомобильных дорог - софинансирование( местн.софин.)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</si>
  <si>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</si>
  <si>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</si>
  <si>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</si>
  <si>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>в т. ч. проектирование и строительство автомобильных дорог (местн.)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</si>
  <si>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</si>
  <si>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</si>
  <si>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</si>
  <si>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</si>
  <si>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</si>
  <si>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</si>
  <si>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</si>
  <si>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</si>
  <si>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в т.ч.:капитальный ремонт и ремонт дворовых территорий многоквартирных домов, проездов к дворовым территориям многоквартирных домов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</si>
  <si>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</si>
  <si>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</si>
  <si>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</si>
  <si>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Софинансирование расходов на повышение заработной платы работников учреждений культуры (респ)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</si>
  <si>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</si>
  <si>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</si>
  <si>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</si>
  <si>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</si>
  <si>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</si>
  <si>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>Реализация мероприятий по развитию общественной инфраструктуры населенных пунктов (оплата ПСД  )</t>
  </si>
  <si>
    <t>в т. ч. оплата расходов по изготовлению техпаспортов на автодороги (ул. Лобачевского, 30 лет Победы)</t>
  </si>
  <si>
    <t>ПСД на  капремонт и ремонт дворовых территорий многоквартирных домов (местн.)</t>
  </si>
  <si>
    <t xml:space="preserve">                      ср-ва поселений  (софинансирование)</t>
  </si>
  <si>
    <t>мероприятия по формированию современной городской среды (ср-ва посел.)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</si>
  <si>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</si>
  <si>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</si>
  <si>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 них: проведение землеустроительных (кадастровых) работ  по земельным участкам, находящимся в собственности муниципального  образования, и внесение сведений в кадастр недвижимости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</si>
  <si>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</si>
  <si>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</si>
  <si>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</si>
  <si>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</si>
  <si>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</si>
  <si>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</si>
  <si>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в т. ч. проектирование и строительство автомобильных дорог ( ср-ва районн. Бюдж.)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</si>
  <si>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</si>
  <si>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</si>
  <si>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>из  них: 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 (местн.)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</si>
  <si>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</si>
  <si>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</si>
  <si>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</si>
  <si>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</si>
  <si>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</si>
  <si>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</si>
  <si>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</si>
  <si>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</si>
  <si>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</si>
  <si>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</si>
  <si>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</si>
  <si>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</si>
  <si>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</si>
  <si>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</si>
  <si>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</si>
  <si>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</si>
  <si>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</si>
  <si>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</si>
  <si>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посел.)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</si>
  <si>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 насел.)             </t>
  </si>
  <si>
    <t>в т. ч. Разработка схем территориального планирования, генеральных планов поселений,а также проектов планировки территрии (местн.)</t>
  </si>
  <si>
    <t>из  них: выполнение других обязвательств муниципального образования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</si>
  <si>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</si>
  <si>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</si>
  <si>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</si>
  <si>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</si>
  <si>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</si>
  <si>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</si>
  <si>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И.о. начальника  финансового отдела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</si>
  <si>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</si>
  <si>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</si>
  <si>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</si>
  <si>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</si>
  <si>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</si>
  <si>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М.В.Хорькова</t>
  </si>
  <si>
    <t>доходы от продажи земельных участков, находящиеся в муниципальной собственности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</si>
  <si>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</si>
  <si>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</si>
  <si>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выполнение других обязательств  муниципального образования</t>
  </si>
  <si>
    <t>из  них: проведение  мероприятий, связанных с празднованием юбилейных дат   муниципального образования, выполнение других обязательств муниципального образования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</si>
  <si>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</si>
  <si>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</si>
  <si>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</si>
  <si>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</si>
  <si>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</si>
  <si>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Уточненный план на 2019 год</t>
  </si>
  <si>
    <t>% исполне-ния к  годовому плану  на 2019 г.</t>
  </si>
  <si>
    <t>Отклонение от годового плана 2019 г ( +, - )</t>
  </si>
  <si>
    <t>% исполнения к  годовому плану  на 2019г.</t>
  </si>
  <si>
    <t>% исполнения к  годовому плану  на 2019 г.</t>
  </si>
  <si>
    <t xml:space="preserve">Отклонение от годового плана 2019 г ( +, - )         </t>
  </si>
  <si>
    <t>из них: 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</si>
  <si>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в  том числе : на расходы по  софинансир.  строительство СДК </t>
  </si>
  <si>
    <t xml:space="preserve">в  том числе : на расходы по  оплате за    инженерные сети </t>
  </si>
  <si>
    <t xml:space="preserve">в  том числе : на расходы по  строительству СДК (ср-ва республ. бюдж.)             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</si>
  <si>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</si>
  <si>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</si>
  <si>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</si>
  <si>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</si>
  <si>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</si>
  <si>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На реконструкцию объектов культурного наследия (ср-ва посел.)</t>
  </si>
  <si>
    <t>Анализ  исполнения бюджета Андреево-Базарского сельского поселения за  июнь   2019 года</t>
  </si>
  <si>
    <t>Фактическое исполнение за  июнь   2019 года</t>
  </si>
  <si>
    <t>Анализ исполнения бюджета Аттиковского сельского поселения за  июнь    2019 года</t>
  </si>
  <si>
    <t>Анализ исполнения бюджета  Байгуловского сельского поселения за   июнь   2019 года</t>
  </si>
  <si>
    <t>Анализ исполнения бюджета  Еметкинского сельского поселения за  июнь   2019 года</t>
  </si>
  <si>
    <t>Фактическое исполнение за   июнь  2019 года</t>
  </si>
  <si>
    <t>Анализ исполнения бюджета  Карамышевского сельского поселения за  июнь   2019 года</t>
  </si>
  <si>
    <t>Анализ исполнения бюджета  Карачевского сельского поселения за  июнь  2019 года</t>
  </si>
  <si>
    <t>Фактическое исполнение за июнь 2019 года</t>
  </si>
  <si>
    <t>Анализ исполнения бюджета  Козловского  городского  поселения  за  июнь   2019  года</t>
  </si>
  <si>
    <t>Фактическое исполнение за июнь   2019 года</t>
  </si>
  <si>
    <t>Анализ исполнения бюджета  Солдыбаевского сельского поселения за  июнь   2019 года</t>
  </si>
  <si>
    <t>Фактическое исполнение за июнь  2019 года</t>
  </si>
  <si>
    <t>Анализ исполнения бюджета  Тюрлеминского сельского поселения за  июнь   2019 года</t>
  </si>
  <si>
    <t>Фактическое исполнение за  июнь    2019 года</t>
  </si>
  <si>
    <t>Анализ исполнения бюджета  Янгильдинского сельского поселения за  июнь  2019 года</t>
  </si>
  <si>
    <t>Анализ   исполнения   бюджетов   поселений   за июнь  2019 года.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</si>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</sst>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8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" fontId="21" fillId="20" borderId="1">
      <alignment horizontal="right" vertical="top" shrinkToFit="1"/>
      <protection/>
    </xf>
    <xf numFmtId="4" fontId="21" fillId="0" borderId="1">
      <alignment horizontal="right" vertical="top" shrinkToFi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2" applyNumberFormat="0" applyAlignment="0" applyProtection="0"/>
    <xf numFmtId="0" fontId="44" fillId="28" borderId="3" applyNumberFormat="0" applyAlignment="0" applyProtection="0"/>
    <xf numFmtId="0" fontId="4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292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41" fontId="0" fillId="0" borderId="0" xfId="61" applyFill="1" applyAlignment="1">
      <alignment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3" xfId="61" applyNumberFormat="1" applyFill="1" applyBorder="1" applyAlignment="1">
      <alignment horizontal="center" wrapText="1"/>
    </xf>
    <xf numFmtId="41" fontId="0" fillId="0" borderId="11" xfId="61" applyFill="1" applyBorder="1" applyAlignment="1">
      <alignment wrapText="1"/>
    </xf>
    <xf numFmtId="41" fontId="0" fillId="0" borderId="13" xfId="61" applyFill="1" applyBorder="1" applyAlignment="1">
      <alignment horizontal="right" wrapText="1"/>
    </xf>
    <xf numFmtId="41" fontId="0" fillId="0" borderId="0" xfId="61" applyFill="1" applyAlignment="1">
      <alignment wrapText="1"/>
    </xf>
    <xf numFmtId="41" fontId="0" fillId="0" borderId="0" xfId="61" applyFill="1" applyAlignment="1">
      <alignment horizontal="right"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3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4" fontId="14" fillId="34" borderId="11" xfId="0" applyNumberFormat="1" applyFont="1" applyFill="1" applyBorder="1" applyAlignment="1">
      <alignment wrapText="1"/>
    </xf>
    <xf numFmtId="4" fontId="14" fillId="0" borderId="11" xfId="61" applyNumberFormat="1" applyFont="1" applyFill="1" applyBorder="1" applyAlignment="1">
      <alignment horizontal="right"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right"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4" xfId="61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14" fillId="0" borderId="12" xfId="0" applyFont="1" applyFill="1" applyBorder="1" applyAlignment="1">
      <alignment horizontal="left" wrapText="1"/>
    </xf>
    <xf numFmtId="2" fontId="14" fillId="0" borderId="11" xfId="57" applyNumberFormat="1" applyFont="1" applyFill="1" applyBorder="1" applyAlignment="1">
      <alignment wrapText="1"/>
    </xf>
    <xf numFmtId="2" fontId="14" fillId="0" borderId="13" xfId="61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4" fontId="14" fillId="0" borderId="11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2" fontId="15" fillId="0" borderId="11" xfId="57" applyNumberFormat="1" applyFont="1" applyFill="1" applyBorder="1" applyAlignment="1">
      <alignment wrapText="1"/>
    </xf>
    <xf numFmtId="2" fontId="15" fillId="0" borderId="13" xfId="61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2" fontId="16" fillId="0" borderId="11" xfId="57" applyNumberFormat="1" applyFont="1" applyFill="1" applyBorder="1" applyAlignment="1">
      <alignment wrapText="1"/>
    </xf>
    <xf numFmtId="2" fontId="16" fillId="0" borderId="13" xfId="61" applyNumberFormat="1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right" wrapText="1"/>
    </xf>
    <xf numFmtId="4" fontId="18" fillId="0" borderId="11" xfId="0" applyNumberFormat="1" applyFont="1" applyFill="1" applyBorder="1" applyAlignment="1">
      <alignment horizontal="right" wrapText="1"/>
    </xf>
    <xf numFmtId="4" fontId="19" fillId="0" borderId="11" xfId="61" applyNumberFormat="1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20" fillId="0" borderId="25" xfId="0" applyFont="1" applyFill="1" applyBorder="1" applyAlignment="1">
      <alignment wrapText="1"/>
    </xf>
    <xf numFmtId="0" fontId="14" fillId="0" borderId="35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4" fontId="22" fillId="0" borderId="1" xfId="34" applyFont="1" applyAlignment="1" applyProtection="1">
      <alignment horizontal="right" shrinkToFit="1"/>
      <protection/>
    </xf>
    <xf numFmtId="2" fontId="22" fillId="0" borderId="1" xfId="33" applyNumberFormat="1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Protection="1">
      <alignment horizontal="right" vertical="top" shrinkToFit="1"/>
      <protection/>
    </xf>
    <xf numFmtId="4" fontId="22" fillId="0" borderId="1" xfId="34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2" fontId="23" fillId="34" borderId="11" xfId="0" applyNumberFormat="1" applyFont="1" applyFill="1" applyBorder="1" applyAlignment="1">
      <alignment wrapText="1"/>
    </xf>
    <xf numFmtId="4" fontId="23" fillId="0" borderId="11" xfId="61" applyNumberFormat="1" applyFont="1" applyFill="1" applyBorder="1" applyAlignment="1">
      <alignment horizontal="right" wrapText="1"/>
    </xf>
    <xf numFmtId="2" fontId="22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0" fontId="11" fillId="0" borderId="21" xfId="0" applyFon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2" fontId="14" fillId="0" borderId="0" xfId="0" applyNumberFormat="1" applyFont="1" applyFill="1" applyAlignment="1">
      <alignment horizontal="center" wrapText="1"/>
    </xf>
    <xf numFmtId="2" fontId="9" fillId="0" borderId="0" xfId="61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view="pageBreakPreview" zoomScaleNormal="75" zoomScaleSheetLayoutView="100" zoomScalePageLayoutView="0" workbookViewId="0" topLeftCell="A1">
      <selection activeCell="C57" sqref="C57"/>
    </sheetView>
  </sheetViews>
  <sheetFormatPr defaultColWidth="9.00390625" defaultRowHeight="12.75"/>
  <cols>
    <col min="1" max="1" width="106.00390625" style="4" customWidth="1"/>
    <col min="2" max="2" width="12.625" style="4" customWidth="1"/>
    <col min="3" max="3" width="16.875" style="5" customWidth="1"/>
    <col min="4" max="4" width="13.375" style="4" customWidth="1"/>
    <col min="5" max="5" width="14.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88" t="s">
        <v>295</v>
      </c>
      <c r="B1" s="288"/>
      <c r="C1" s="288"/>
      <c r="D1" s="288"/>
      <c r="E1" s="288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279</v>
      </c>
      <c r="C3" s="32" t="s">
        <v>296</v>
      </c>
      <c r="D3" s="19" t="s">
        <v>280</v>
      </c>
      <c r="E3" s="36" t="s">
        <v>281</v>
      </c>
    </row>
    <row r="4" spans="1:5" s="63" customFormat="1" ht="10.5" customHeight="1">
      <c r="A4" s="59">
        <v>1</v>
      </c>
      <c r="B4" s="82">
        <v>2</v>
      </c>
      <c r="C4" s="60">
        <v>3</v>
      </c>
      <c r="D4" s="61">
        <v>4</v>
      </c>
      <c r="E4" s="62">
        <v>5</v>
      </c>
    </row>
    <row r="5" spans="1:5" s="66" customFormat="1" ht="12.75">
      <c r="A5" s="22" t="s">
        <v>2</v>
      </c>
      <c r="B5" s="11"/>
      <c r="C5" s="64"/>
      <c r="D5" s="31"/>
      <c r="E5" s="65"/>
    </row>
    <row r="6" spans="1:5" s="9" customFormat="1" ht="12.75" customHeight="1" hidden="1">
      <c r="A6" s="67" t="s">
        <v>25</v>
      </c>
      <c r="B6" s="68"/>
      <c r="C6" s="68" t="e">
        <f>SUM(C7,C11,C16,C19,#REF!,#REF!,C10,)</f>
        <v>#REF!</v>
      </c>
      <c r="D6" s="69" t="e">
        <f>IF(#REF!=0,"   ",C6/#REF!)</f>
        <v>#REF!</v>
      </c>
      <c r="E6" s="70" t="e">
        <f>C6-#REF!</f>
        <v>#REF!</v>
      </c>
    </row>
    <row r="7" spans="1:5" s="74" customFormat="1" ht="12.75">
      <c r="A7" s="71" t="s">
        <v>45</v>
      </c>
      <c r="B7" s="237">
        <f>SUM(B9)</f>
        <v>150500</v>
      </c>
      <c r="C7" s="237">
        <f>C9</f>
        <v>62148.28</v>
      </c>
      <c r="D7" s="72">
        <f>IF(B7=0,"   ",C7/B7*100)</f>
        <v>41.29453820598006</v>
      </c>
      <c r="E7" s="73">
        <f>C7-B7</f>
        <v>-88351.72</v>
      </c>
    </row>
    <row r="8" spans="1:5" s="66" customFormat="1" ht="12.75" customHeight="1" hidden="1">
      <c r="A8" s="41" t="s">
        <v>3</v>
      </c>
      <c r="B8" s="238">
        <v>387940</v>
      </c>
      <c r="C8" s="239">
        <v>217766</v>
      </c>
      <c r="D8" s="72" t="e">
        <f>IF(#REF!=0,"   ",C8/#REF!)</f>
        <v>#REF!</v>
      </c>
      <c r="E8" s="73" t="e">
        <f>C8-#REF!</f>
        <v>#REF!</v>
      </c>
    </row>
    <row r="9" spans="1:5" s="66" customFormat="1" ht="12.75">
      <c r="A9" s="41" t="s">
        <v>113</v>
      </c>
      <c r="B9" s="238">
        <v>150500</v>
      </c>
      <c r="C9" s="272">
        <v>62148.28</v>
      </c>
      <c r="D9" s="72">
        <f>IF(B9=0,"   ",C9/B9*100)</f>
        <v>41.29453820598006</v>
      </c>
      <c r="E9" s="73">
        <f>C9-B9</f>
        <v>-88351.72</v>
      </c>
    </row>
    <row r="10" spans="1:5" s="66" customFormat="1" ht="12.75" customHeight="1" hidden="1">
      <c r="A10" s="41" t="s">
        <v>24</v>
      </c>
      <c r="B10" s="238"/>
      <c r="C10" s="239">
        <v>175</v>
      </c>
      <c r="D10" s="72"/>
      <c r="E10" s="73"/>
    </row>
    <row r="11" spans="1:5" s="74" customFormat="1" ht="12.75" customHeight="1" hidden="1">
      <c r="A11" s="41" t="s">
        <v>4</v>
      </c>
      <c r="B11" s="238">
        <f>SUM(B12:B13)</f>
        <v>1848003</v>
      </c>
      <c r="C11" s="238">
        <f>SUM(C12:C13)</f>
        <v>1704024</v>
      </c>
      <c r="D11" s="72" t="e">
        <f>IF(#REF!=0,"   ",C11/#REF!)</f>
        <v>#REF!</v>
      </c>
      <c r="E11" s="73" t="e">
        <f>C11-#REF!</f>
        <v>#REF!</v>
      </c>
    </row>
    <row r="12" spans="1:5" s="66" customFormat="1" ht="12.75" customHeight="1" hidden="1">
      <c r="A12" s="41" t="s">
        <v>5</v>
      </c>
      <c r="B12" s="238">
        <v>17853</v>
      </c>
      <c r="C12" s="239">
        <v>13730</v>
      </c>
      <c r="D12" s="72" t="e">
        <f>IF(#REF!=0,"   ",C12/#REF!)</f>
        <v>#REF!</v>
      </c>
      <c r="E12" s="73" t="e">
        <f>C12-#REF!</f>
        <v>#REF!</v>
      </c>
    </row>
    <row r="13" spans="1:5" s="66" customFormat="1" ht="12.75" customHeight="1" hidden="1">
      <c r="A13" s="41" t="s">
        <v>6</v>
      </c>
      <c r="B13" s="238">
        <v>1830150</v>
      </c>
      <c r="C13" s="239">
        <v>1690294</v>
      </c>
      <c r="D13" s="72" t="e">
        <f>IF(#REF!=0,"   ",C13/#REF!)</f>
        <v>#REF!</v>
      </c>
      <c r="E13" s="73" t="e">
        <f>C13-#REF!</f>
        <v>#REF!</v>
      </c>
    </row>
    <row r="14" spans="1:5" s="66" customFormat="1" ht="12.75" customHeight="1">
      <c r="A14" s="71" t="s">
        <v>142</v>
      </c>
      <c r="B14" s="237">
        <f>SUM(B15)</f>
        <v>529600</v>
      </c>
      <c r="C14" s="237">
        <f>SUM(C15)</f>
        <v>294208.48</v>
      </c>
      <c r="D14" s="72">
        <f>IF(B14=0,"   ",C14/B14*100)</f>
        <v>55.55296072507553</v>
      </c>
      <c r="E14" s="73">
        <f>C14-B14</f>
        <v>-235391.52000000002</v>
      </c>
    </row>
    <row r="15" spans="1:5" s="66" customFormat="1" ht="15.75" customHeight="1">
      <c r="A15" s="41" t="s">
        <v>143</v>
      </c>
      <c r="B15" s="238">
        <v>529600</v>
      </c>
      <c r="C15" s="272">
        <v>294208.48</v>
      </c>
      <c r="D15" s="72">
        <f>IF(B15=0,"   ",C15/B15*100)</f>
        <v>55.55296072507553</v>
      </c>
      <c r="E15" s="73">
        <f>C15-B15</f>
        <v>-235391.52000000002</v>
      </c>
    </row>
    <row r="16" spans="1:5" s="74" customFormat="1" ht="17.25" customHeight="1">
      <c r="A16" s="41" t="s">
        <v>7</v>
      </c>
      <c r="B16" s="237">
        <f>SUM(B18)</f>
        <v>23600</v>
      </c>
      <c r="C16" s="238">
        <f>SUM(C18:C18)</f>
        <v>3190.82</v>
      </c>
      <c r="D16" s="72">
        <f>IF(B16=0,"   ",C16/B16*100)</f>
        <v>13.52042372881356</v>
      </c>
      <c r="E16" s="73">
        <f>C16-B16</f>
        <v>-20409.18</v>
      </c>
    </row>
    <row r="17" spans="1:5" s="66" customFormat="1" ht="12.75" customHeight="1" hidden="1">
      <c r="A17" s="41" t="s">
        <v>8</v>
      </c>
      <c r="B17" s="238">
        <v>103725</v>
      </c>
      <c r="C17" s="239">
        <v>92515</v>
      </c>
      <c r="D17" s="72" t="e">
        <f>IF(#REF!=0,"   ",C17/#REF!)</f>
        <v>#REF!</v>
      </c>
      <c r="E17" s="73" t="e">
        <f>C17-#REF!</f>
        <v>#REF!</v>
      </c>
    </row>
    <row r="18" spans="1:5" s="66" customFormat="1" ht="17.25" customHeight="1">
      <c r="A18" s="41" t="s">
        <v>114</v>
      </c>
      <c r="B18" s="238">
        <v>23600</v>
      </c>
      <c r="C18" s="272">
        <v>3190.82</v>
      </c>
      <c r="D18" s="72">
        <f aca="true" t="shared" si="0" ref="D18:D35">IF(B18=0,"   ",C18/B18*100)</f>
        <v>13.52042372881356</v>
      </c>
      <c r="E18" s="73">
        <f aca="true" t="shared" si="1" ref="E18:E35">C18-B18</f>
        <v>-20409.18</v>
      </c>
    </row>
    <row r="19" spans="1:5" s="66" customFormat="1" ht="18" customHeight="1">
      <c r="A19" s="41" t="s">
        <v>9</v>
      </c>
      <c r="B19" s="238">
        <f>SUM(B20:B21)</f>
        <v>700000</v>
      </c>
      <c r="C19" s="238">
        <f>SUM(C20:C21)</f>
        <v>255983.40999999997</v>
      </c>
      <c r="D19" s="72">
        <f t="shared" si="0"/>
        <v>36.56905857142857</v>
      </c>
      <c r="E19" s="73">
        <f t="shared" si="1"/>
        <v>-444016.59</v>
      </c>
    </row>
    <row r="20" spans="1:5" s="66" customFormat="1" ht="12.75">
      <c r="A20" s="41" t="s">
        <v>115</v>
      </c>
      <c r="B20" s="238">
        <v>244000</v>
      </c>
      <c r="C20" s="272">
        <v>137721.24</v>
      </c>
      <c r="D20" s="72">
        <f t="shared" si="0"/>
        <v>56.44313114754098</v>
      </c>
      <c r="E20" s="73">
        <f t="shared" si="1"/>
        <v>-106278.76000000001</v>
      </c>
    </row>
    <row r="21" spans="1:5" s="66" customFormat="1" ht="16.5" customHeight="1">
      <c r="A21" s="41" t="s">
        <v>171</v>
      </c>
      <c r="B21" s="238">
        <f>SUM(B22:B23)</f>
        <v>456000</v>
      </c>
      <c r="C21" s="238">
        <f>SUM(C22:C23)</f>
        <v>118262.17</v>
      </c>
      <c r="D21" s="72">
        <f t="shared" si="0"/>
        <v>25.93468640350877</v>
      </c>
      <c r="E21" s="73">
        <f t="shared" si="1"/>
        <v>-337737.83</v>
      </c>
    </row>
    <row r="22" spans="1:5" s="66" customFormat="1" ht="12.75">
      <c r="A22" s="41" t="s">
        <v>172</v>
      </c>
      <c r="B22" s="238">
        <v>199000</v>
      </c>
      <c r="C22" s="272">
        <v>105743.59</v>
      </c>
      <c r="D22" s="72">
        <f t="shared" si="0"/>
        <v>53.1374824120603</v>
      </c>
      <c r="E22" s="73">
        <f t="shared" si="1"/>
        <v>-93256.41</v>
      </c>
    </row>
    <row r="23" spans="1:5" s="66" customFormat="1" ht="12.75">
      <c r="A23" s="41" t="s">
        <v>173</v>
      </c>
      <c r="B23" s="238">
        <v>257000</v>
      </c>
      <c r="C23" s="272">
        <v>12518.58</v>
      </c>
      <c r="D23" s="72">
        <f t="shared" si="0"/>
        <v>4.87104280155642</v>
      </c>
      <c r="E23" s="73">
        <f t="shared" si="1"/>
        <v>-244481.42</v>
      </c>
    </row>
    <row r="24" spans="1:5" s="66" customFormat="1" ht="12.75">
      <c r="A24" s="41" t="s">
        <v>225</v>
      </c>
      <c r="B24" s="238">
        <v>0</v>
      </c>
      <c r="C24" s="272">
        <v>0</v>
      </c>
      <c r="D24" s="72" t="str">
        <f t="shared" si="0"/>
        <v>   </v>
      </c>
      <c r="E24" s="73">
        <f t="shared" si="1"/>
        <v>0</v>
      </c>
    </row>
    <row r="25" spans="1:5" s="66" customFormat="1" ht="19.5" customHeight="1">
      <c r="A25" s="41" t="s">
        <v>88</v>
      </c>
      <c r="B25" s="238">
        <v>0</v>
      </c>
      <c r="C25" s="238">
        <v>0</v>
      </c>
      <c r="D25" s="72" t="str">
        <f t="shared" si="0"/>
        <v>   </v>
      </c>
      <c r="E25" s="73">
        <f t="shared" si="1"/>
        <v>0</v>
      </c>
    </row>
    <row r="26" spans="1:5" s="66" customFormat="1" ht="24.75" customHeight="1">
      <c r="A26" s="41" t="s">
        <v>28</v>
      </c>
      <c r="B26" s="238">
        <f>SUM(B27:B29)</f>
        <v>290700</v>
      </c>
      <c r="C26" s="238">
        <f>SUM(C27:C29)</f>
        <v>158518.89</v>
      </c>
      <c r="D26" s="72">
        <f t="shared" si="0"/>
        <v>54.53006191950465</v>
      </c>
      <c r="E26" s="73">
        <f t="shared" si="1"/>
        <v>-132181.11</v>
      </c>
    </row>
    <row r="27" spans="1:5" s="66" customFormat="1" ht="12.75">
      <c r="A27" s="41" t="s">
        <v>161</v>
      </c>
      <c r="B27" s="238">
        <v>281000</v>
      </c>
      <c r="C27" s="272">
        <v>158518.89</v>
      </c>
      <c r="D27" s="72">
        <f t="shared" si="0"/>
        <v>56.41241637010677</v>
      </c>
      <c r="E27" s="73">
        <f t="shared" si="1"/>
        <v>-122481.10999999999</v>
      </c>
    </row>
    <row r="28" spans="1:5" s="66" customFormat="1" ht="15.75" customHeight="1">
      <c r="A28" s="41" t="s">
        <v>30</v>
      </c>
      <c r="B28" s="238">
        <v>0</v>
      </c>
      <c r="C28" s="239">
        <v>0</v>
      </c>
      <c r="D28" s="72" t="str">
        <f t="shared" si="0"/>
        <v>   </v>
      </c>
      <c r="E28" s="73">
        <f t="shared" si="1"/>
        <v>0</v>
      </c>
    </row>
    <row r="29" spans="1:5" s="66" customFormat="1" ht="44.25" customHeight="1">
      <c r="A29" s="16" t="s">
        <v>265</v>
      </c>
      <c r="B29" s="31">
        <v>9700</v>
      </c>
      <c r="C29" s="281">
        <v>0</v>
      </c>
      <c r="D29" s="72">
        <f t="shared" si="0"/>
        <v>0</v>
      </c>
      <c r="E29" s="73">
        <f t="shared" si="1"/>
        <v>-9700</v>
      </c>
    </row>
    <row r="30" spans="1:5" s="66" customFormat="1" ht="18.75" customHeight="1">
      <c r="A30" s="41" t="s">
        <v>92</v>
      </c>
      <c r="B30" s="237">
        <v>0</v>
      </c>
      <c r="C30" s="239">
        <v>14434.08</v>
      </c>
      <c r="D30" s="72" t="str">
        <f t="shared" si="0"/>
        <v>   </v>
      </c>
      <c r="E30" s="73">
        <f t="shared" si="1"/>
        <v>14434.08</v>
      </c>
    </row>
    <row r="31" spans="1:5" s="66" customFormat="1" ht="16.5" customHeight="1">
      <c r="A31" s="41" t="s">
        <v>78</v>
      </c>
      <c r="B31" s="237">
        <f>B32+B33</f>
        <v>0</v>
      </c>
      <c r="C31" s="237">
        <f>C32+C33</f>
        <v>0</v>
      </c>
      <c r="D31" s="72" t="str">
        <f t="shared" si="0"/>
        <v>   </v>
      </c>
      <c r="E31" s="73">
        <f t="shared" si="1"/>
        <v>0</v>
      </c>
    </row>
    <row r="32" spans="1:5" s="66" customFormat="1" ht="16.5" customHeight="1">
      <c r="A32" s="41" t="s">
        <v>139</v>
      </c>
      <c r="B32" s="237">
        <v>0</v>
      </c>
      <c r="C32" s="272">
        <v>0</v>
      </c>
      <c r="D32" s="72" t="str">
        <f t="shared" si="0"/>
        <v>   </v>
      </c>
      <c r="E32" s="73">
        <f t="shared" si="1"/>
        <v>0</v>
      </c>
    </row>
    <row r="33" spans="1:5" s="66" customFormat="1" ht="27.75" customHeight="1">
      <c r="A33" s="41" t="s">
        <v>236</v>
      </c>
      <c r="B33" s="238">
        <v>0</v>
      </c>
      <c r="C33" s="240">
        <v>0</v>
      </c>
      <c r="D33" s="72" t="str">
        <f t="shared" si="0"/>
        <v>   </v>
      </c>
      <c r="E33" s="73">
        <f t="shared" si="1"/>
        <v>0</v>
      </c>
    </row>
    <row r="34" spans="1:5" s="66" customFormat="1" ht="15.75" customHeight="1">
      <c r="A34" s="16" t="s">
        <v>31</v>
      </c>
      <c r="B34" s="238">
        <v>0</v>
      </c>
      <c r="C34" s="240">
        <v>0</v>
      </c>
      <c r="D34" s="72" t="str">
        <f t="shared" si="0"/>
        <v>   </v>
      </c>
      <c r="E34" s="73">
        <f t="shared" si="1"/>
        <v>0</v>
      </c>
    </row>
    <row r="35" spans="1:5" s="66" customFormat="1" ht="15" customHeight="1">
      <c r="A35" s="41" t="s">
        <v>32</v>
      </c>
      <c r="B35" s="238">
        <f>B38+B39</f>
        <v>0</v>
      </c>
      <c r="C35" s="238">
        <f>SUM(C38:C39)</f>
        <v>0</v>
      </c>
      <c r="D35" s="72" t="str">
        <f t="shared" si="0"/>
        <v>   </v>
      </c>
      <c r="E35" s="73">
        <f t="shared" si="1"/>
        <v>0</v>
      </c>
    </row>
    <row r="36" spans="1:5" s="66" customFormat="1" ht="12.75" customHeight="1" hidden="1">
      <c r="A36" s="76" t="s">
        <v>33</v>
      </c>
      <c r="B36" s="238"/>
      <c r="C36" s="241"/>
      <c r="D36" s="72" t="e">
        <f>IF(#REF!=0,"   ",C36/#REF!)</f>
        <v>#REF!</v>
      </c>
      <c r="E36" s="73" t="e">
        <f>C36-#REF!</f>
        <v>#REF!</v>
      </c>
    </row>
    <row r="37" spans="1:5" s="9" customFormat="1" ht="12.75" customHeight="1" hidden="1">
      <c r="A37" s="76" t="s">
        <v>16</v>
      </c>
      <c r="B37" s="242" t="e">
        <f>SUM(B44,#REF!,#REF!,#REF!)</f>
        <v>#REF!</v>
      </c>
      <c r="C37" s="243" t="e">
        <f>SUM(C44,#REF!,#REF!,#REF!)</f>
        <v>#REF!</v>
      </c>
      <c r="D37" s="72" t="e">
        <f>IF(#REF!=0,"   ",C37/#REF!)</f>
        <v>#REF!</v>
      </c>
      <c r="E37" s="73" t="e">
        <f>C37-#REF!</f>
        <v>#REF!</v>
      </c>
    </row>
    <row r="38" spans="1:5" s="9" customFormat="1" ht="12.75">
      <c r="A38" s="41" t="s">
        <v>138</v>
      </c>
      <c r="B38" s="244">
        <v>0</v>
      </c>
      <c r="C38" s="237">
        <v>0</v>
      </c>
      <c r="D38" s="72" t="str">
        <f>IF(B38=0,"   ",C38/B38*100)</f>
        <v>   </v>
      </c>
      <c r="E38" s="73">
        <f>C38-B38</f>
        <v>0</v>
      </c>
    </row>
    <row r="39" spans="1:5" s="9" customFormat="1" ht="15" customHeight="1">
      <c r="A39" s="41" t="s">
        <v>109</v>
      </c>
      <c r="B39" s="238">
        <v>0</v>
      </c>
      <c r="C39" s="237">
        <v>0</v>
      </c>
      <c r="D39" s="72" t="str">
        <f>IF(B39=0,"   ",C39/B39*100)</f>
        <v>   </v>
      </c>
      <c r="E39" s="73">
        <f>C39-B39</f>
        <v>0</v>
      </c>
    </row>
    <row r="40" spans="1:5" s="9" customFormat="1" ht="12.75" customHeight="1" hidden="1">
      <c r="A40" s="41" t="s">
        <v>46</v>
      </c>
      <c r="B40" s="242"/>
      <c r="C40" s="237">
        <v>0</v>
      </c>
      <c r="D40" s="72" t="e">
        <f>IF(#REF!=0,"   ",C40/#REF!)</f>
        <v>#REF!</v>
      </c>
      <c r="E40" s="73" t="e">
        <f>C40-#REF!</f>
        <v>#REF!</v>
      </c>
    </row>
    <row r="41" spans="1:5" s="9" customFormat="1" ht="0.75" customHeight="1" hidden="1">
      <c r="A41" s="96" t="s">
        <v>47</v>
      </c>
      <c r="B41" s="245">
        <v>1250</v>
      </c>
      <c r="C41" s="246"/>
      <c r="D41" s="98" t="e">
        <f>IF(#REF!=0,"   ",C41/#REF!)</f>
        <v>#REF!</v>
      </c>
      <c r="E41" s="99" t="e">
        <f>C41-#REF!</f>
        <v>#REF!</v>
      </c>
    </row>
    <row r="42" spans="1:5" s="9" customFormat="1" ht="22.5" customHeight="1">
      <c r="A42" s="202" t="s">
        <v>10</v>
      </c>
      <c r="B42" s="247">
        <f>B7+B16+B19+B25+B26+B30+B31+B35+B14+B34+B24</f>
        <v>1694400</v>
      </c>
      <c r="C42" s="243">
        <f>C7+C16+C19+C25+C26+C30+C31+C35+C14+C34+C24</f>
        <v>788483.96</v>
      </c>
      <c r="D42" s="149">
        <f aca="true" t="shared" si="2" ref="D42:D56">IF(B42=0,"   ",C42/B42*100)</f>
        <v>46.53470018885741</v>
      </c>
      <c r="E42" s="203">
        <f aca="true" t="shared" si="3" ref="E42:E56">C42-B42</f>
        <v>-905916.04</v>
      </c>
    </row>
    <row r="43" spans="1:5" s="9" customFormat="1" ht="18.75" customHeight="1">
      <c r="A43" s="191" t="s">
        <v>145</v>
      </c>
      <c r="B43" s="248">
        <f>SUM(B44:B47,B50:B53,B56)</f>
        <v>3023800</v>
      </c>
      <c r="C43" s="249">
        <f>SUM(C44:C47,C50:C53,C56)</f>
        <v>1339176.4900000002</v>
      </c>
      <c r="D43" s="72">
        <f t="shared" si="2"/>
        <v>44.2878659302864</v>
      </c>
      <c r="E43" s="75">
        <f t="shared" si="3"/>
        <v>-1684623.5099999998</v>
      </c>
    </row>
    <row r="44" spans="1:5" s="66" customFormat="1" ht="19.5" customHeight="1">
      <c r="A44" s="100" t="s">
        <v>34</v>
      </c>
      <c r="B44" s="249">
        <v>753500</v>
      </c>
      <c r="C44" s="272">
        <v>376800</v>
      </c>
      <c r="D44" s="86">
        <f t="shared" si="2"/>
        <v>50.00663570006636</v>
      </c>
      <c r="E44" s="87">
        <f t="shared" si="3"/>
        <v>-376700</v>
      </c>
    </row>
    <row r="45" spans="1:5" s="66" customFormat="1" ht="19.5" customHeight="1">
      <c r="A45" s="17" t="s">
        <v>270</v>
      </c>
      <c r="B45" s="249">
        <v>143300</v>
      </c>
      <c r="C45" s="272">
        <v>143300</v>
      </c>
      <c r="D45" s="86">
        <f>IF(B45=0,"   ",C45/B45*100)</f>
        <v>100</v>
      </c>
      <c r="E45" s="87">
        <f>C45-B45</f>
        <v>0</v>
      </c>
    </row>
    <row r="46" spans="1:5" s="66" customFormat="1" ht="30" customHeight="1">
      <c r="A46" s="117" t="s">
        <v>51</v>
      </c>
      <c r="B46" s="283">
        <v>90000</v>
      </c>
      <c r="C46" s="281">
        <v>41044</v>
      </c>
      <c r="D46" s="118">
        <f t="shared" si="2"/>
        <v>45.60444444444444</v>
      </c>
      <c r="E46" s="119">
        <f t="shared" si="3"/>
        <v>-48956</v>
      </c>
    </row>
    <row r="47" spans="1:5" s="66" customFormat="1" ht="30" customHeight="1">
      <c r="A47" s="117" t="s">
        <v>155</v>
      </c>
      <c r="B47" s="283">
        <f>SUM(B48:B49)</f>
        <v>200</v>
      </c>
      <c r="C47" s="283">
        <f>SUM(C48:C49)</f>
        <v>200</v>
      </c>
      <c r="D47" s="118">
        <f t="shared" si="2"/>
        <v>100</v>
      </c>
      <c r="E47" s="119">
        <f t="shared" si="3"/>
        <v>0</v>
      </c>
    </row>
    <row r="48" spans="1:5" s="66" customFormat="1" ht="18" customHeight="1">
      <c r="A48" s="117" t="s">
        <v>174</v>
      </c>
      <c r="B48" s="283">
        <v>200</v>
      </c>
      <c r="C48" s="283">
        <v>200</v>
      </c>
      <c r="D48" s="118">
        <f t="shared" si="2"/>
        <v>100</v>
      </c>
      <c r="E48" s="119">
        <f t="shared" si="3"/>
        <v>0</v>
      </c>
    </row>
    <row r="49" spans="1:5" s="66" customFormat="1" ht="30" customHeight="1">
      <c r="A49" s="117" t="s">
        <v>175</v>
      </c>
      <c r="B49" s="283">
        <v>0</v>
      </c>
      <c r="C49" s="283">
        <v>0</v>
      </c>
      <c r="D49" s="118" t="str">
        <f t="shared" si="2"/>
        <v>   </v>
      </c>
      <c r="E49" s="119">
        <f t="shared" si="3"/>
        <v>0</v>
      </c>
    </row>
    <row r="50" spans="1:5" s="66" customFormat="1" ht="40.5" customHeight="1">
      <c r="A50" s="16" t="s">
        <v>104</v>
      </c>
      <c r="B50" s="283">
        <v>0</v>
      </c>
      <c r="C50" s="283">
        <v>0</v>
      </c>
      <c r="D50" s="118" t="str">
        <f t="shared" si="2"/>
        <v>   </v>
      </c>
      <c r="E50" s="119">
        <f t="shared" si="3"/>
        <v>0</v>
      </c>
    </row>
    <row r="51" spans="1:5" s="66" customFormat="1" ht="18.75" customHeight="1">
      <c r="A51" s="16" t="s">
        <v>182</v>
      </c>
      <c r="B51" s="250">
        <v>0</v>
      </c>
      <c r="C51" s="250">
        <v>0</v>
      </c>
      <c r="D51" s="118" t="str">
        <f t="shared" si="2"/>
        <v>   </v>
      </c>
      <c r="E51" s="119">
        <f t="shared" si="3"/>
        <v>0</v>
      </c>
    </row>
    <row r="52" spans="1:5" s="66" customFormat="1" ht="51" customHeight="1">
      <c r="A52" s="16" t="s">
        <v>291</v>
      </c>
      <c r="B52" s="283">
        <v>1376200</v>
      </c>
      <c r="C52" s="283">
        <v>194206</v>
      </c>
      <c r="D52" s="118">
        <f t="shared" si="2"/>
        <v>14.111757012062201</v>
      </c>
      <c r="E52" s="119">
        <f t="shared" si="3"/>
        <v>-1181994</v>
      </c>
    </row>
    <row r="53" spans="1:5" s="66" customFormat="1" ht="18" customHeight="1">
      <c r="A53" s="41" t="s">
        <v>54</v>
      </c>
      <c r="B53" s="238">
        <f>B55+B54</f>
        <v>526100</v>
      </c>
      <c r="C53" s="238">
        <f>C55+C54</f>
        <v>471442.14</v>
      </c>
      <c r="D53" s="72">
        <f t="shared" si="2"/>
        <v>89.61074700627258</v>
      </c>
      <c r="E53" s="73">
        <f t="shared" si="3"/>
        <v>-54657.859999999986</v>
      </c>
    </row>
    <row r="54" spans="1:5" s="66" customFormat="1" ht="18" customHeight="1">
      <c r="A54" s="53" t="s">
        <v>212</v>
      </c>
      <c r="B54" s="238">
        <v>526100</v>
      </c>
      <c r="C54" s="238">
        <v>471442.14</v>
      </c>
      <c r="D54" s="72">
        <f t="shared" si="2"/>
        <v>89.61074700627258</v>
      </c>
      <c r="E54" s="73">
        <f t="shared" si="3"/>
        <v>-54657.859999999986</v>
      </c>
    </row>
    <row r="55" spans="1:5" s="66" customFormat="1" ht="20.25" customHeight="1">
      <c r="A55" s="53" t="s">
        <v>110</v>
      </c>
      <c r="B55" s="238">
        <v>0</v>
      </c>
      <c r="C55" s="238">
        <v>0</v>
      </c>
      <c r="D55" s="72" t="str">
        <f t="shared" si="2"/>
        <v>   </v>
      </c>
      <c r="E55" s="73">
        <f t="shared" si="3"/>
        <v>0</v>
      </c>
    </row>
    <row r="56" spans="1:5" s="66" customFormat="1" ht="24.75" customHeight="1">
      <c r="A56" s="16" t="s">
        <v>228</v>
      </c>
      <c r="B56" s="238">
        <v>134500</v>
      </c>
      <c r="C56" s="238">
        <v>112184.35</v>
      </c>
      <c r="D56" s="72">
        <f t="shared" si="2"/>
        <v>83.40843866171004</v>
      </c>
      <c r="E56" s="73">
        <f t="shared" si="3"/>
        <v>-22315.649999999994</v>
      </c>
    </row>
    <row r="57" spans="1:5" s="66" customFormat="1" ht="27" customHeight="1">
      <c r="A57" s="30" t="s">
        <v>11</v>
      </c>
      <c r="B57" s="159">
        <f>B42+B43</f>
        <v>4718200</v>
      </c>
      <c r="C57" s="43">
        <f>C42+C43</f>
        <v>2127660.45</v>
      </c>
      <c r="D57" s="149">
        <f aca="true" t="shared" si="4" ref="D57:D83">IF(B57=0,"   ",C57/B57*100)</f>
        <v>45.09474905684371</v>
      </c>
      <c r="E57" s="150">
        <f aca="true" t="shared" si="5" ref="E57:E83">C57-B57</f>
        <v>-2590539.55</v>
      </c>
    </row>
    <row r="58" spans="1:5" s="8" customFormat="1" ht="13.5" thickBot="1">
      <c r="A58" s="114" t="s">
        <v>12</v>
      </c>
      <c r="B58" s="115"/>
      <c r="C58" s="116"/>
      <c r="D58" s="98"/>
      <c r="E58" s="99"/>
    </row>
    <row r="59" spans="1:5" s="66" customFormat="1" ht="18.75" customHeight="1" thickBot="1">
      <c r="A59" s="106" t="s">
        <v>35</v>
      </c>
      <c r="B59" s="107">
        <f>SUM(B60,B62:B63)</f>
        <v>1107300</v>
      </c>
      <c r="C59" s="107">
        <f>SUM(C60,C62:C63)</f>
        <v>486249.08</v>
      </c>
      <c r="D59" s="101">
        <f t="shared" si="4"/>
        <v>43.91303892350763</v>
      </c>
      <c r="E59" s="102">
        <f t="shared" si="5"/>
        <v>-621050.9199999999</v>
      </c>
    </row>
    <row r="60" spans="1:5" s="66" customFormat="1" ht="17.25" customHeight="1" thickBot="1">
      <c r="A60" s="104" t="s">
        <v>36</v>
      </c>
      <c r="B60" s="105">
        <v>1106800</v>
      </c>
      <c r="C60" s="107">
        <v>486249.08</v>
      </c>
      <c r="D60" s="86">
        <f t="shared" si="4"/>
        <v>43.93287676183593</v>
      </c>
      <c r="E60" s="87">
        <f t="shared" si="5"/>
        <v>-620550.9199999999</v>
      </c>
    </row>
    <row r="61" spans="1:5" s="66" customFormat="1" ht="18" customHeight="1">
      <c r="A61" s="41" t="s">
        <v>121</v>
      </c>
      <c r="B61" s="31">
        <v>737788</v>
      </c>
      <c r="C61" s="77">
        <v>336615.45</v>
      </c>
      <c r="D61" s="72">
        <f t="shared" si="4"/>
        <v>45.62495594940552</v>
      </c>
      <c r="E61" s="73">
        <f t="shared" si="5"/>
        <v>-401172.55</v>
      </c>
    </row>
    <row r="62" spans="1:5" s="66" customFormat="1" ht="15.75" customHeight="1">
      <c r="A62" s="41" t="s">
        <v>96</v>
      </c>
      <c r="B62" s="31">
        <v>500</v>
      </c>
      <c r="C62" s="77">
        <v>0</v>
      </c>
      <c r="D62" s="72">
        <f t="shared" si="4"/>
        <v>0</v>
      </c>
      <c r="E62" s="73">
        <f t="shared" si="5"/>
        <v>-500</v>
      </c>
    </row>
    <row r="63" spans="1:5" s="66" customFormat="1" ht="12.75">
      <c r="A63" s="41" t="s">
        <v>52</v>
      </c>
      <c r="B63" s="31">
        <f>SUM(B64,B65)</f>
        <v>0</v>
      </c>
      <c r="C63" s="31">
        <f>SUM(C64,C65)</f>
        <v>0</v>
      </c>
      <c r="D63" s="72" t="str">
        <f t="shared" si="4"/>
        <v>   </v>
      </c>
      <c r="E63" s="73">
        <f t="shared" si="5"/>
        <v>0</v>
      </c>
    </row>
    <row r="64" spans="1:5" s="66" customFormat="1" ht="28.5" customHeight="1">
      <c r="A64" s="113" t="s">
        <v>164</v>
      </c>
      <c r="B64" s="31">
        <v>0</v>
      </c>
      <c r="C64" s="75">
        <v>0</v>
      </c>
      <c r="D64" s="72" t="str">
        <f t="shared" si="4"/>
        <v>   </v>
      </c>
      <c r="E64" s="75">
        <f t="shared" si="5"/>
        <v>0</v>
      </c>
    </row>
    <row r="65" spans="1:5" s="66" customFormat="1" ht="17.25" customHeight="1" thickBot="1">
      <c r="A65" s="224" t="s">
        <v>260</v>
      </c>
      <c r="B65" s="31">
        <v>0</v>
      </c>
      <c r="C65" s="75">
        <v>0</v>
      </c>
      <c r="D65" s="72" t="str">
        <f t="shared" si="4"/>
        <v>   </v>
      </c>
      <c r="E65" s="75">
        <f t="shared" si="5"/>
        <v>0</v>
      </c>
    </row>
    <row r="66" spans="1:5" s="66" customFormat="1" ht="13.5" thickBot="1">
      <c r="A66" s="106" t="s">
        <v>49</v>
      </c>
      <c r="B66" s="230">
        <f>SUM(B67)</f>
        <v>90000</v>
      </c>
      <c r="C66" s="230">
        <f>SUM(C67)</f>
        <v>34144.88</v>
      </c>
      <c r="D66" s="231">
        <f t="shared" si="4"/>
        <v>37.93875555555555</v>
      </c>
      <c r="E66" s="232">
        <f t="shared" si="5"/>
        <v>-55855.12</v>
      </c>
    </row>
    <row r="67" spans="1:5" s="66" customFormat="1" ht="20.25" customHeight="1" thickBot="1">
      <c r="A67" s="83" t="s">
        <v>108</v>
      </c>
      <c r="B67" s="108">
        <v>90000</v>
      </c>
      <c r="C67" s="85">
        <v>34144.88</v>
      </c>
      <c r="D67" s="110">
        <f t="shared" si="4"/>
        <v>37.93875555555555</v>
      </c>
      <c r="E67" s="111">
        <f t="shared" si="5"/>
        <v>-55855.12</v>
      </c>
    </row>
    <row r="68" spans="1:5" s="66" customFormat="1" ht="13.5" thickBot="1">
      <c r="A68" s="106" t="s">
        <v>37</v>
      </c>
      <c r="B68" s="107">
        <f>SUM(B69)</f>
        <v>20400</v>
      </c>
      <c r="C68" s="107">
        <f>SUM(C69)</f>
        <v>400</v>
      </c>
      <c r="D68" s="101">
        <f t="shared" si="4"/>
        <v>1.9607843137254901</v>
      </c>
      <c r="E68" s="102">
        <f t="shared" si="5"/>
        <v>-20000</v>
      </c>
    </row>
    <row r="69" spans="1:5" s="66" customFormat="1" ht="13.5" thickBot="1">
      <c r="A69" s="83" t="s">
        <v>130</v>
      </c>
      <c r="B69" s="108">
        <v>20400</v>
      </c>
      <c r="C69" s="85">
        <v>400</v>
      </c>
      <c r="D69" s="110">
        <f t="shared" si="4"/>
        <v>1.9607843137254901</v>
      </c>
      <c r="E69" s="111">
        <f t="shared" si="5"/>
        <v>-20000</v>
      </c>
    </row>
    <row r="70" spans="1:5" s="66" customFormat="1" ht="13.5" thickBot="1">
      <c r="A70" s="106" t="s">
        <v>38</v>
      </c>
      <c r="B70" s="107">
        <f>B71+B74+B84</f>
        <v>1905800</v>
      </c>
      <c r="C70" s="107">
        <f>C71+C74+C84</f>
        <v>270000</v>
      </c>
      <c r="D70" s="101">
        <f t="shared" si="4"/>
        <v>14.167278833035995</v>
      </c>
      <c r="E70" s="102">
        <f t="shared" si="5"/>
        <v>-1635800</v>
      </c>
    </row>
    <row r="71" spans="1:5" s="66" customFormat="1" ht="19.5" customHeight="1" thickBot="1">
      <c r="A71" s="83" t="s">
        <v>176</v>
      </c>
      <c r="B71" s="107">
        <f>SUM(B72+B73)</f>
        <v>0</v>
      </c>
      <c r="C71" s="107">
        <f>SUM(C72+C73)</f>
        <v>0</v>
      </c>
      <c r="D71" s="101" t="str">
        <f>IF(B71=0,"   ",C71/B71*100)</f>
        <v>   </v>
      </c>
      <c r="E71" s="102">
        <f>C71-B71</f>
        <v>0</v>
      </c>
    </row>
    <row r="72" spans="1:5" s="66" customFormat="1" ht="17.25" customHeight="1" thickBot="1">
      <c r="A72" s="156" t="s">
        <v>177</v>
      </c>
      <c r="B72" s="108">
        <v>0</v>
      </c>
      <c r="C72" s="107">
        <v>0</v>
      </c>
      <c r="D72" s="101" t="str">
        <f>IF(B72=0,"   ",C72/B72*100)</f>
        <v>   </v>
      </c>
      <c r="E72" s="102">
        <f>C72-B72</f>
        <v>0</v>
      </c>
    </row>
    <row r="73" spans="1:5" s="66" customFormat="1" ht="17.25" customHeight="1" thickBot="1">
      <c r="A73" s="156" t="s">
        <v>213</v>
      </c>
      <c r="B73" s="108">
        <v>0</v>
      </c>
      <c r="C73" s="107">
        <v>0</v>
      </c>
      <c r="D73" s="101"/>
      <c r="E73" s="102"/>
    </row>
    <row r="74" spans="1:5" s="66" customFormat="1" ht="18.75" customHeight="1">
      <c r="A74" s="156" t="s">
        <v>134</v>
      </c>
      <c r="B74" s="105">
        <f>SUM(B75,B79:B83)</f>
        <v>1905800</v>
      </c>
      <c r="C74" s="105">
        <f>SUM(C75,C79:C83)</f>
        <v>270000</v>
      </c>
      <c r="D74" s="86">
        <f t="shared" si="4"/>
        <v>14.167278833035995</v>
      </c>
      <c r="E74" s="87">
        <f t="shared" si="5"/>
        <v>-1635800</v>
      </c>
    </row>
    <row r="75" spans="1:5" s="66" customFormat="1" ht="18.75" customHeight="1">
      <c r="A75" s="113" t="s">
        <v>237</v>
      </c>
      <c r="B75" s="126">
        <f>SUM(B76+B77+B78)</f>
        <v>0</v>
      </c>
      <c r="C75" s="126">
        <f>SUM(C76+C77+C78)</f>
        <v>0</v>
      </c>
      <c r="D75" s="86" t="str">
        <f>IF(B75=0,"   ",C75/B75*100)</f>
        <v>   </v>
      </c>
      <c r="E75" s="87">
        <f>C75-B75</f>
        <v>0</v>
      </c>
    </row>
    <row r="76" spans="1:5" s="66" customFormat="1" ht="33" customHeight="1">
      <c r="A76" s="113" t="s">
        <v>211</v>
      </c>
      <c r="B76" s="105">
        <v>0</v>
      </c>
      <c r="C76" s="105">
        <v>0</v>
      </c>
      <c r="D76" s="86" t="str">
        <f>IF(B76=0,"   ",C76/B76*100)</f>
        <v>   </v>
      </c>
      <c r="E76" s="87">
        <f>C76-B76</f>
        <v>0</v>
      </c>
    </row>
    <row r="77" spans="1:5" s="66" customFormat="1" ht="26.25" customHeight="1">
      <c r="A77" s="113" t="s">
        <v>238</v>
      </c>
      <c r="B77" s="105">
        <v>0</v>
      </c>
      <c r="C77" s="105">
        <v>0</v>
      </c>
      <c r="D77" s="86" t="str">
        <f>IF(B77=0,"   ",C77/B77*100)</f>
        <v>   </v>
      </c>
      <c r="E77" s="87">
        <f>C77-B77</f>
        <v>0</v>
      </c>
    </row>
    <row r="78" spans="1:5" s="66" customFormat="1" ht="28.5" customHeight="1">
      <c r="A78" s="113" t="s">
        <v>251</v>
      </c>
      <c r="B78" s="105">
        <v>0</v>
      </c>
      <c r="C78" s="105">
        <v>0</v>
      </c>
      <c r="D78" s="86" t="str">
        <f>IF(B78=0,"   ",C78/B78*100)</f>
        <v>   </v>
      </c>
      <c r="E78" s="87">
        <f>C78-B78</f>
        <v>0</v>
      </c>
    </row>
    <row r="79" spans="1:5" s="66" customFormat="1" ht="12" customHeight="1">
      <c r="A79" s="83" t="s">
        <v>158</v>
      </c>
      <c r="B79" s="31">
        <v>0</v>
      </c>
      <c r="C79" s="31">
        <v>0</v>
      </c>
      <c r="D79" s="86" t="str">
        <f t="shared" si="4"/>
        <v>   </v>
      </c>
      <c r="E79" s="87">
        <f t="shared" si="5"/>
        <v>0</v>
      </c>
    </row>
    <row r="80" spans="1:5" s="66" customFormat="1" ht="14.25" customHeight="1">
      <c r="A80" s="83" t="s">
        <v>154</v>
      </c>
      <c r="B80" s="31">
        <v>0</v>
      </c>
      <c r="C80" s="31">
        <v>0</v>
      </c>
      <c r="D80" s="86" t="str">
        <f t="shared" si="4"/>
        <v>   </v>
      </c>
      <c r="E80" s="87">
        <f t="shared" si="5"/>
        <v>0</v>
      </c>
    </row>
    <row r="81" spans="1:5" s="66" customFormat="1" ht="19.5" customHeight="1">
      <c r="A81" s="83" t="s">
        <v>156</v>
      </c>
      <c r="B81" s="31">
        <v>0</v>
      </c>
      <c r="C81" s="31">
        <v>0</v>
      </c>
      <c r="D81" s="86" t="str">
        <f t="shared" si="4"/>
        <v>   </v>
      </c>
      <c r="E81" s="158">
        <f t="shared" si="5"/>
        <v>0</v>
      </c>
    </row>
    <row r="82" spans="1:5" s="66" customFormat="1" ht="25.5">
      <c r="A82" s="78" t="s">
        <v>135</v>
      </c>
      <c r="B82" s="31">
        <v>1376200</v>
      </c>
      <c r="C82" s="31">
        <v>194206</v>
      </c>
      <c r="D82" s="72">
        <f t="shared" si="4"/>
        <v>14.111757012062201</v>
      </c>
      <c r="E82" s="75">
        <f t="shared" si="5"/>
        <v>-1181994</v>
      </c>
    </row>
    <row r="83" spans="1:5" s="66" customFormat="1" ht="25.5">
      <c r="A83" s="78" t="s">
        <v>136</v>
      </c>
      <c r="B83" s="31">
        <v>529600</v>
      </c>
      <c r="C83" s="31">
        <v>75794</v>
      </c>
      <c r="D83" s="72">
        <f t="shared" si="4"/>
        <v>14.311555891238669</v>
      </c>
      <c r="E83" s="75">
        <f t="shared" si="5"/>
        <v>-453806</v>
      </c>
    </row>
    <row r="84" spans="1:5" s="66" customFormat="1" ht="12.75">
      <c r="A84" s="104" t="s">
        <v>199</v>
      </c>
      <c r="B84" s="31">
        <f>SUM(B85+B86)</f>
        <v>0</v>
      </c>
      <c r="C84" s="31">
        <f>SUM(C85+C86)</f>
        <v>0</v>
      </c>
      <c r="D84" s="72" t="str">
        <f>IF(B84=0,"   ",C84/B84*100)</f>
        <v>   </v>
      </c>
      <c r="E84" s="75">
        <f>C84-B84</f>
        <v>0</v>
      </c>
    </row>
    <row r="85" spans="1:5" s="66" customFormat="1" ht="25.5">
      <c r="A85" s="83" t="s">
        <v>200</v>
      </c>
      <c r="B85" s="31">
        <v>0</v>
      </c>
      <c r="C85" s="31">
        <v>0</v>
      </c>
      <c r="D85" s="72" t="str">
        <f>IF(B85=0,"   ",C85/B85*100)</f>
        <v>   </v>
      </c>
      <c r="E85" s="75">
        <f>C85-B85</f>
        <v>0</v>
      </c>
    </row>
    <row r="86" spans="1:5" s="66" customFormat="1" ht="26.25" thickBot="1">
      <c r="A86" s="83" t="s">
        <v>254</v>
      </c>
      <c r="B86" s="31">
        <v>0</v>
      </c>
      <c r="C86" s="31">
        <v>0</v>
      </c>
      <c r="D86" s="72" t="str">
        <f>IF(B86=0,"   ",C86/B86*100)</f>
        <v>   </v>
      </c>
      <c r="E86" s="75">
        <f>C86-B86</f>
        <v>0</v>
      </c>
    </row>
    <row r="87" spans="1:5" s="66" customFormat="1" ht="13.5" thickBot="1">
      <c r="A87" s="106" t="s">
        <v>13</v>
      </c>
      <c r="B87" s="31">
        <f>B99+B90+B92</f>
        <v>1125700</v>
      </c>
      <c r="C87" s="31">
        <f>C99+C90+C92</f>
        <v>889271.39</v>
      </c>
      <c r="D87" s="72">
        <f>IF(B87=0,"   ",C87/B87*100)</f>
        <v>78.99719196944123</v>
      </c>
      <c r="E87" s="75">
        <f>C87-B87</f>
        <v>-236428.61</v>
      </c>
    </row>
    <row r="88" spans="1:5" s="66" customFormat="1" ht="12.75" customHeight="1" hidden="1">
      <c r="A88" s="104" t="s">
        <v>40</v>
      </c>
      <c r="B88" s="105" t="e">
        <f>SUM(#REF!,B99,#REF!)</f>
        <v>#REF!</v>
      </c>
      <c r="C88" s="105" t="e">
        <f>SUM(#REF!,C99,#REF!)</f>
        <v>#REF!</v>
      </c>
      <c r="D88" s="86" t="e">
        <f>IF(#REF!=0,"   ",C88/#REF!)</f>
        <v>#REF!</v>
      </c>
      <c r="E88" s="87" t="e">
        <f>C88-#REF!</f>
        <v>#REF!</v>
      </c>
    </row>
    <row r="89" spans="1:5" s="66" customFormat="1" ht="12.75" customHeight="1" hidden="1">
      <c r="A89" s="41" t="s">
        <v>18</v>
      </c>
      <c r="B89" s="31">
        <v>851563</v>
      </c>
      <c r="C89" s="75">
        <v>851563</v>
      </c>
      <c r="D89" s="72" t="e">
        <f>IF(#REF!=0,"   ",C89/#REF!)</f>
        <v>#REF!</v>
      </c>
      <c r="E89" s="73" t="e">
        <f>C89-#REF!</f>
        <v>#REF!</v>
      </c>
    </row>
    <row r="90" spans="1:5" s="66" customFormat="1" ht="12.75" customHeight="1">
      <c r="A90" s="41" t="s">
        <v>165</v>
      </c>
      <c r="B90" s="31">
        <f>SUM(B91)</f>
        <v>0</v>
      </c>
      <c r="C90" s="31">
        <f>SUM(C91)</f>
        <v>0</v>
      </c>
      <c r="D90" s="72" t="str">
        <f aca="true" t="shared" si="6" ref="D90:D95">IF(B90=0,"   ",C90/B90*100)</f>
        <v>   </v>
      </c>
      <c r="E90" s="75">
        <f aca="true" t="shared" si="7" ref="E90:E98">C90-B90</f>
        <v>0</v>
      </c>
    </row>
    <row r="91" spans="1:5" s="66" customFormat="1" ht="12.75" customHeight="1">
      <c r="A91" s="41" t="s">
        <v>166</v>
      </c>
      <c r="B91" s="31">
        <v>0</v>
      </c>
      <c r="C91" s="31">
        <v>0</v>
      </c>
      <c r="D91" s="72" t="str">
        <f t="shared" si="6"/>
        <v>   </v>
      </c>
      <c r="E91" s="75">
        <f t="shared" si="7"/>
        <v>0</v>
      </c>
    </row>
    <row r="92" spans="1:5" s="66" customFormat="1" ht="12.75" customHeight="1">
      <c r="A92" s="41" t="s">
        <v>157</v>
      </c>
      <c r="B92" s="31">
        <f>SUM(B93+B94)</f>
        <v>552050</v>
      </c>
      <c r="C92" s="31">
        <f>SUM(C93+C94)</f>
        <v>516166.75</v>
      </c>
      <c r="D92" s="72">
        <f t="shared" si="6"/>
        <v>93.5</v>
      </c>
      <c r="E92" s="75">
        <f t="shared" si="7"/>
        <v>-35883.25</v>
      </c>
    </row>
    <row r="93" spans="1:5" s="66" customFormat="1" ht="12.75" customHeight="1">
      <c r="A93" s="16" t="s">
        <v>168</v>
      </c>
      <c r="B93" s="31">
        <v>0</v>
      </c>
      <c r="C93" s="31">
        <v>0</v>
      </c>
      <c r="D93" s="72" t="str">
        <f t="shared" si="6"/>
        <v>   </v>
      </c>
      <c r="E93" s="75">
        <f t="shared" si="7"/>
        <v>0</v>
      </c>
    </row>
    <row r="94" spans="1:5" s="66" customFormat="1" ht="18.75" customHeight="1">
      <c r="A94" s="113" t="s">
        <v>237</v>
      </c>
      <c r="B94" s="126">
        <f>SUM(B95+B96+B97)</f>
        <v>552050</v>
      </c>
      <c r="C94" s="126">
        <f>SUM(C95+C96+C97)</f>
        <v>516166.75</v>
      </c>
      <c r="D94" s="72">
        <f t="shared" si="6"/>
        <v>93.5</v>
      </c>
      <c r="E94" s="75">
        <f t="shared" si="7"/>
        <v>-35883.25</v>
      </c>
    </row>
    <row r="95" spans="1:5" s="66" customFormat="1" ht="22.5" customHeight="1">
      <c r="A95" s="113" t="s">
        <v>211</v>
      </c>
      <c r="B95" s="31">
        <v>331230</v>
      </c>
      <c r="C95" s="31">
        <v>309700.05</v>
      </c>
      <c r="D95" s="72">
        <f t="shared" si="6"/>
        <v>93.5</v>
      </c>
      <c r="E95" s="75">
        <f t="shared" si="7"/>
        <v>-21529.95000000001</v>
      </c>
    </row>
    <row r="96" spans="1:5" s="66" customFormat="1" ht="27" customHeight="1">
      <c r="A96" s="113" t="s">
        <v>238</v>
      </c>
      <c r="B96" s="31">
        <v>120820</v>
      </c>
      <c r="C96" s="31">
        <v>112966.7</v>
      </c>
      <c r="D96" s="72"/>
      <c r="E96" s="75">
        <f t="shared" si="7"/>
        <v>-7853.300000000003</v>
      </c>
    </row>
    <row r="97" spans="1:5" s="66" customFormat="1" ht="28.5" customHeight="1">
      <c r="A97" s="113" t="s">
        <v>251</v>
      </c>
      <c r="B97" s="31">
        <v>100000</v>
      </c>
      <c r="C97" s="31">
        <v>93500</v>
      </c>
      <c r="D97" s="72">
        <f>IF(B97=0,"   ",C97/B97*100)</f>
        <v>93.5</v>
      </c>
      <c r="E97" s="75">
        <f t="shared" si="7"/>
        <v>-6500</v>
      </c>
    </row>
    <row r="98" spans="1:5" s="66" customFormat="1" ht="12.75" customHeight="1">
      <c r="A98" s="16" t="s">
        <v>226</v>
      </c>
      <c r="B98" s="31">
        <v>0</v>
      </c>
      <c r="C98" s="31">
        <v>0</v>
      </c>
      <c r="D98" s="72" t="str">
        <f>IF(B98=0,"   ",C98/B98*100)</f>
        <v>   </v>
      </c>
      <c r="E98" s="205">
        <f t="shared" si="7"/>
        <v>0</v>
      </c>
    </row>
    <row r="99" spans="1:5" s="66" customFormat="1" ht="12.75">
      <c r="A99" s="41" t="s">
        <v>58</v>
      </c>
      <c r="B99" s="31">
        <f>SUM(B100:B103)</f>
        <v>573650</v>
      </c>
      <c r="C99" s="31">
        <f>SUM(C100:C103)</f>
        <v>373104.64</v>
      </c>
      <c r="D99" s="72">
        <f aca="true" t="shared" si="8" ref="D99:D111">IF(B99=0,"   ",C99/B99*100)</f>
        <v>65.0404671838229</v>
      </c>
      <c r="E99" s="73">
        <f aca="true" t="shared" si="9" ref="E99:E111">C99-B99</f>
        <v>-200545.36</v>
      </c>
    </row>
    <row r="100" spans="1:5" s="66" customFormat="1" ht="15" customHeight="1">
      <c r="A100" s="41" t="s">
        <v>56</v>
      </c>
      <c r="B100" s="31">
        <v>190000</v>
      </c>
      <c r="C100" s="75">
        <v>94755.85</v>
      </c>
      <c r="D100" s="72">
        <f t="shared" si="8"/>
        <v>49.871500000000005</v>
      </c>
      <c r="E100" s="73">
        <f t="shared" si="9"/>
        <v>-95244.15</v>
      </c>
    </row>
    <row r="101" spans="1:5" s="66" customFormat="1" ht="32.25" customHeight="1">
      <c r="A101" s="113" t="s">
        <v>178</v>
      </c>
      <c r="B101" s="97">
        <v>0</v>
      </c>
      <c r="C101" s="80">
        <v>0</v>
      </c>
      <c r="D101" s="98" t="str">
        <f t="shared" si="8"/>
        <v>   </v>
      </c>
      <c r="E101" s="99">
        <f t="shared" si="9"/>
        <v>0</v>
      </c>
    </row>
    <row r="102" spans="1:5" s="66" customFormat="1" ht="17.25" customHeight="1">
      <c r="A102" s="78" t="s">
        <v>57</v>
      </c>
      <c r="B102" s="97">
        <v>58800</v>
      </c>
      <c r="C102" s="103">
        <v>8723.29</v>
      </c>
      <c r="D102" s="98">
        <f t="shared" si="8"/>
        <v>14.835527210884356</v>
      </c>
      <c r="E102" s="99">
        <f t="shared" si="9"/>
        <v>-50076.71</v>
      </c>
    </row>
    <row r="103" spans="1:5" s="66" customFormat="1" ht="17.25" customHeight="1">
      <c r="A103" s="113" t="s">
        <v>237</v>
      </c>
      <c r="B103" s="126">
        <f>SUM(B104+B105+B106)</f>
        <v>324850</v>
      </c>
      <c r="C103" s="126">
        <f>SUM(C104+C105+C106)</f>
        <v>269625.5</v>
      </c>
      <c r="D103" s="72">
        <f t="shared" si="8"/>
        <v>83</v>
      </c>
      <c r="E103" s="75">
        <f t="shared" si="9"/>
        <v>-55224.5</v>
      </c>
    </row>
    <row r="104" spans="1:5" s="66" customFormat="1" ht="27.75" customHeight="1">
      <c r="A104" s="113" t="s">
        <v>211</v>
      </c>
      <c r="B104" s="31">
        <v>194870</v>
      </c>
      <c r="C104" s="77">
        <v>161742.09</v>
      </c>
      <c r="D104" s="72">
        <f t="shared" si="8"/>
        <v>82.99999486837379</v>
      </c>
      <c r="E104" s="75">
        <f t="shared" si="9"/>
        <v>-33127.91</v>
      </c>
    </row>
    <row r="105" spans="1:5" s="66" customFormat="1" ht="27.75" customHeight="1">
      <c r="A105" s="113" t="s">
        <v>238</v>
      </c>
      <c r="B105" s="31">
        <v>95480</v>
      </c>
      <c r="C105" s="77">
        <v>79248.41</v>
      </c>
      <c r="D105" s="72"/>
      <c r="E105" s="75"/>
    </row>
    <row r="106" spans="1:5" s="66" customFormat="1" ht="27" customHeight="1" thickBot="1">
      <c r="A106" s="113" t="s">
        <v>251</v>
      </c>
      <c r="B106" s="31">
        <v>34500</v>
      </c>
      <c r="C106" s="77">
        <v>28635</v>
      </c>
      <c r="D106" s="72">
        <f t="shared" si="8"/>
        <v>83</v>
      </c>
      <c r="E106" s="75">
        <f t="shared" si="9"/>
        <v>-5865</v>
      </c>
    </row>
    <row r="107" spans="1:5" s="66" customFormat="1" ht="15" customHeight="1" thickBot="1">
      <c r="A107" s="106" t="s">
        <v>17</v>
      </c>
      <c r="B107" s="230">
        <v>8000</v>
      </c>
      <c r="C107" s="230">
        <v>0</v>
      </c>
      <c r="D107" s="231">
        <f t="shared" si="8"/>
        <v>0</v>
      </c>
      <c r="E107" s="232">
        <f t="shared" si="9"/>
        <v>-8000</v>
      </c>
    </row>
    <row r="108" spans="1:5" s="66" customFormat="1" ht="13.5" thickBot="1">
      <c r="A108" s="106" t="s">
        <v>41</v>
      </c>
      <c r="B108" s="192">
        <f>SUM(B109)</f>
        <v>519000</v>
      </c>
      <c r="C108" s="107">
        <f>SUM(C109)</f>
        <v>204300</v>
      </c>
      <c r="D108" s="101">
        <f t="shared" si="8"/>
        <v>39.36416184971098</v>
      </c>
      <c r="E108" s="102">
        <f t="shared" si="9"/>
        <v>-314700</v>
      </c>
    </row>
    <row r="109" spans="1:5" s="66" customFormat="1" ht="13.5" thickBot="1">
      <c r="A109" s="104" t="s">
        <v>42</v>
      </c>
      <c r="B109" s="105">
        <v>519000</v>
      </c>
      <c r="C109" s="112">
        <v>204300</v>
      </c>
      <c r="D109" s="86">
        <f t="shared" si="8"/>
        <v>39.36416184971098</v>
      </c>
      <c r="E109" s="87">
        <f t="shared" si="9"/>
        <v>-314700</v>
      </c>
    </row>
    <row r="110" spans="1:5" s="66" customFormat="1" ht="19.5" customHeight="1" thickBot="1">
      <c r="A110" s="106" t="s">
        <v>125</v>
      </c>
      <c r="B110" s="192">
        <f>SUM(B111)</f>
        <v>15000</v>
      </c>
      <c r="C110" s="192">
        <f>SUM(C111)</f>
        <v>0</v>
      </c>
      <c r="D110" s="101">
        <f t="shared" si="8"/>
        <v>0</v>
      </c>
      <c r="E110" s="102">
        <f t="shared" si="9"/>
        <v>-15000</v>
      </c>
    </row>
    <row r="111" spans="1:5" s="66" customFormat="1" ht="16.5" customHeight="1">
      <c r="A111" s="83" t="s">
        <v>43</v>
      </c>
      <c r="B111" s="108">
        <v>15000</v>
      </c>
      <c r="C111" s="109">
        <v>0</v>
      </c>
      <c r="D111" s="110">
        <f t="shared" si="8"/>
        <v>0</v>
      </c>
      <c r="E111" s="111">
        <f t="shared" si="9"/>
        <v>-15000</v>
      </c>
    </row>
    <row r="112" spans="1:5" s="66" customFormat="1" ht="16.5" customHeight="1">
      <c r="A112" s="30" t="s">
        <v>15</v>
      </c>
      <c r="B112" s="159">
        <f>SUM(B59,B66,B68,B70,B87,B107,B108,B110,)</f>
        <v>4791200</v>
      </c>
      <c r="C112" s="159">
        <f>SUM(C59,C66,C68,C70,C87,C107,C108,C110,)</f>
        <v>1884365.35</v>
      </c>
      <c r="D112" s="149">
        <f>IF(B112=0,"   ",C112/B112*100)</f>
        <v>39.32971593755218</v>
      </c>
      <c r="E112" s="150">
        <f>C112-B112</f>
        <v>-2906834.65</v>
      </c>
    </row>
    <row r="113" spans="1:5" s="66" customFormat="1" ht="12.75" customHeight="1" hidden="1">
      <c r="A113" s="83" t="s">
        <v>21</v>
      </c>
      <c r="B113" s="84"/>
      <c r="C113" s="85"/>
      <c r="D113" s="86" t="e">
        <f>IF(#REF!=0,"   ",C113/#REF!)</f>
        <v>#REF!</v>
      </c>
      <c r="E113" s="87" t="e">
        <f>C113-#REF!</f>
        <v>#REF!</v>
      </c>
    </row>
    <row r="114" spans="1:5" s="66" customFormat="1" ht="12.75" customHeight="1" hidden="1">
      <c r="A114" s="78" t="s">
        <v>22</v>
      </c>
      <c r="B114" s="79">
        <v>1122919</v>
      </c>
      <c r="C114" s="80">
        <v>815256</v>
      </c>
      <c r="D114" s="72" t="e">
        <f>IF(#REF!=0,"   ",C114/#REF!)</f>
        <v>#REF!</v>
      </c>
      <c r="E114" s="73" t="e">
        <f>C114-#REF!</f>
        <v>#REF!</v>
      </c>
    </row>
    <row r="115" spans="1:5" s="66" customFormat="1" ht="13.5" customHeight="1" hidden="1" thickBot="1">
      <c r="A115" s="78" t="s">
        <v>23</v>
      </c>
      <c r="B115" s="79">
        <v>1700000</v>
      </c>
      <c r="C115" s="103">
        <v>1700000</v>
      </c>
      <c r="D115" s="98" t="e">
        <f>IF(#REF!=0,"   ",C115/#REF!)</f>
        <v>#REF!</v>
      </c>
      <c r="E115" s="99" t="e">
        <f>C115-#REF!</f>
        <v>#REF!</v>
      </c>
    </row>
    <row r="116" spans="1:5" s="66" customFormat="1" ht="23.25" customHeight="1">
      <c r="A116" s="88" t="s">
        <v>262</v>
      </c>
      <c r="B116" s="88"/>
      <c r="C116" s="287"/>
      <c r="D116" s="287"/>
      <c r="E116" s="287"/>
    </row>
    <row r="117" spans="1:5" s="66" customFormat="1" ht="12" customHeight="1">
      <c r="A117" s="88" t="s">
        <v>163</v>
      </c>
      <c r="B117" s="88"/>
      <c r="C117" s="89" t="s">
        <v>268</v>
      </c>
      <c r="D117" s="90"/>
      <c r="E117" s="91"/>
    </row>
    <row r="118" spans="3:5" s="7" customFormat="1" ht="12.75">
      <c r="C118" s="6"/>
      <c r="E118" s="2"/>
    </row>
    <row r="119" spans="3:5" s="7" customFormat="1" ht="12.75">
      <c r="C119" s="6"/>
      <c r="E119" s="2"/>
    </row>
    <row r="120" spans="3:5" s="7" customFormat="1" ht="12.75">
      <c r="C120" s="6"/>
      <c r="E120" s="2"/>
    </row>
    <row r="121" spans="3:5" s="7" customFormat="1" ht="12.75">
      <c r="C121" s="6"/>
      <c r="E121" s="2"/>
    </row>
    <row r="122" spans="3:5" s="7" customFormat="1" ht="12.75">
      <c r="C122" s="6"/>
      <c r="E122" s="2"/>
    </row>
    <row r="123" spans="3:5" s="7" customFormat="1" ht="12.75">
      <c r="C123" s="6"/>
      <c r="E123" s="2"/>
    </row>
    <row r="124" spans="3:5" s="7" customFormat="1" ht="12.75">
      <c r="C124" s="6"/>
      <c r="E124" s="2"/>
    </row>
    <row r="125" spans="3:5" s="7" customFormat="1" ht="12.75">
      <c r="C125" s="6"/>
      <c r="E125" s="2"/>
    </row>
    <row r="126" spans="3:5" s="7" customFormat="1" ht="12.75">
      <c r="C126" s="6"/>
      <c r="E126" s="2"/>
    </row>
    <row r="127" spans="3:5" s="7" customFormat="1" ht="12.75">
      <c r="C127" s="6"/>
      <c r="E127" s="2"/>
    </row>
  </sheetData>
  <sheetProtection/>
  <mergeCells count="2">
    <mergeCell ref="C116:E116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PageLayoutView="0" workbookViewId="0" topLeftCell="A39">
      <selection activeCell="C86" sqref="C86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625" style="0" customWidth="1"/>
    <col min="5" max="5" width="19.25390625" style="0" customWidth="1"/>
  </cols>
  <sheetData>
    <row r="1" spans="1:5" ht="18">
      <c r="A1" s="289" t="s">
        <v>310</v>
      </c>
      <c r="B1" s="289"/>
      <c r="C1" s="289"/>
      <c r="D1" s="289"/>
      <c r="E1" s="289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279</v>
      </c>
      <c r="C4" s="32" t="s">
        <v>296</v>
      </c>
      <c r="D4" s="19" t="s">
        <v>280</v>
      </c>
      <c r="E4" s="36" t="s">
        <v>281</v>
      </c>
    </row>
    <row r="5" spans="1:5" ht="12.75">
      <c r="A5" s="13">
        <v>1</v>
      </c>
      <c r="B5" s="81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57">
        <f>SUM(B8)</f>
        <v>32100</v>
      </c>
      <c r="C7" s="157">
        <f>SUM(C8)</f>
        <v>12268.7</v>
      </c>
      <c r="D7" s="26">
        <f aca="true" t="shared" si="0" ref="D7:D85">IF(B7=0,"   ",C7/B7*100)</f>
        <v>38.220249221183806</v>
      </c>
      <c r="E7" s="42">
        <f aca="true" t="shared" si="1" ref="E7:E86">C7-B7</f>
        <v>-19831.3</v>
      </c>
    </row>
    <row r="8" spans="1:5" ht="12.75">
      <c r="A8" s="16" t="s">
        <v>44</v>
      </c>
      <c r="B8" s="92">
        <v>32100</v>
      </c>
      <c r="C8" s="277">
        <v>12268.7</v>
      </c>
      <c r="D8" s="26">
        <f t="shared" si="0"/>
        <v>38.220249221183806</v>
      </c>
      <c r="E8" s="42">
        <f t="shared" si="1"/>
        <v>-19831.3</v>
      </c>
    </row>
    <row r="9" spans="1:5" ht="16.5" customHeight="1">
      <c r="A9" s="71" t="s">
        <v>142</v>
      </c>
      <c r="B9" s="234">
        <f>SUM(B10)</f>
        <v>369400</v>
      </c>
      <c r="C9" s="234">
        <f>SUM(C10)</f>
        <v>205204.24</v>
      </c>
      <c r="D9" s="26">
        <f t="shared" si="0"/>
        <v>55.55068760151597</v>
      </c>
      <c r="E9" s="42">
        <f t="shared" si="1"/>
        <v>-164195.76</v>
      </c>
    </row>
    <row r="10" spans="1:5" ht="12.75">
      <c r="A10" s="41" t="s">
        <v>143</v>
      </c>
      <c r="B10" s="235">
        <v>369400</v>
      </c>
      <c r="C10" s="277">
        <v>205204.24</v>
      </c>
      <c r="D10" s="26">
        <f t="shared" si="0"/>
        <v>55.55068760151597</v>
      </c>
      <c r="E10" s="42">
        <f t="shared" si="1"/>
        <v>-164195.76</v>
      </c>
    </row>
    <row r="11" spans="1:5" ht="16.5" customHeight="1">
      <c r="A11" s="16" t="s">
        <v>7</v>
      </c>
      <c r="B11" s="235">
        <f>SUM(B12:B12)</f>
        <v>0</v>
      </c>
      <c r="C11" s="235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5" customHeight="1">
      <c r="A12" s="16" t="s">
        <v>26</v>
      </c>
      <c r="B12" s="235">
        <v>0</v>
      </c>
      <c r="C12" s="236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5">
        <f>SUM(B14:B15)</f>
        <v>251000</v>
      </c>
      <c r="C13" s="235">
        <f>SUM(C14:C15)</f>
        <v>91105.4</v>
      </c>
      <c r="D13" s="26">
        <f t="shared" si="0"/>
        <v>36.296972111553785</v>
      </c>
      <c r="E13" s="42">
        <f t="shared" si="1"/>
        <v>-159894.6</v>
      </c>
    </row>
    <row r="14" spans="1:5" ht="15" customHeight="1">
      <c r="A14" s="16" t="s">
        <v>112</v>
      </c>
      <c r="B14" s="235">
        <v>27000</v>
      </c>
      <c r="C14" s="277">
        <v>159.2</v>
      </c>
      <c r="D14" s="26">
        <f t="shared" si="0"/>
        <v>0.5896296296296296</v>
      </c>
      <c r="E14" s="42">
        <f t="shared" si="1"/>
        <v>-26840.8</v>
      </c>
    </row>
    <row r="15" spans="1:5" ht="15.75" customHeight="1">
      <c r="A15" s="41" t="s">
        <v>171</v>
      </c>
      <c r="B15" s="235">
        <f>SUM(B16:B17)</f>
        <v>224000</v>
      </c>
      <c r="C15" s="235">
        <f>SUM(C16:C17)</f>
        <v>90946.2</v>
      </c>
      <c r="D15" s="26">
        <f t="shared" si="0"/>
        <v>40.60098214285714</v>
      </c>
      <c r="E15" s="42">
        <f t="shared" si="1"/>
        <v>-133053.8</v>
      </c>
    </row>
    <row r="16" spans="1:5" ht="15.75" customHeight="1">
      <c r="A16" s="41" t="s">
        <v>172</v>
      </c>
      <c r="B16" s="235">
        <v>133000</v>
      </c>
      <c r="C16" s="277">
        <v>86952.25</v>
      </c>
      <c r="D16" s="26">
        <f t="shared" si="0"/>
        <v>65.37763157894737</v>
      </c>
      <c r="E16" s="42">
        <f t="shared" si="1"/>
        <v>-46047.75</v>
      </c>
    </row>
    <row r="17" spans="1:5" ht="15.75" customHeight="1">
      <c r="A17" s="41" t="s">
        <v>173</v>
      </c>
      <c r="B17" s="235">
        <v>91000</v>
      </c>
      <c r="C17" s="277">
        <v>3993.95</v>
      </c>
      <c r="D17" s="26">
        <f t="shared" si="0"/>
        <v>4.3889560439560436</v>
      </c>
      <c r="E17" s="42">
        <f t="shared" si="1"/>
        <v>-87006.05</v>
      </c>
    </row>
    <row r="18" spans="1:5" ht="15.75" customHeight="1">
      <c r="A18" s="41" t="s">
        <v>225</v>
      </c>
      <c r="B18" s="235">
        <v>0</v>
      </c>
      <c r="C18" s="236">
        <v>1600</v>
      </c>
      <c r="D18" s="26" t="str">
        <f t="shared" si="0"/>
        <v>   </v>
      </c>
      <c r="E18" s="42">
        <f t="shared" si="1"/>
        <v>1600</v>
      </c>
    </row>
    <row r="19" spans="1:5" ht="28.5" customHeight="1">
      <c r="A19" s="16" t="s">
        <v>89</v>
      </c>
      <c r="B19" s="235">
        <v>0</v>
      </c>
      <c r="C19" s="235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235">
        <f>SUM(B21,B22)</f>
        <v>250000</v>
      </c>
      <c r="C20" s="235">
        <f>SUM(C21,C22)</f>
        <v>94785.3</v>
      </c>
      <c r="D20" s="26">
        <f t="shared" si="0"/>
        <v>37.914120000000004</v>
      </c>
      <c r="E20" s="42">
        <f t="shared" si="1"/>
        <v>-155214.7</v>
      </c>
    </row>
    <row r="21" spans="1:5" ht="12.75">
      <c r="A21" s="16" t="s">
        <v>160</v>
      </c>
      <c r="B21" s="235">
        <v>0</v>
      </c>
      <c r="C21" s="236">
        <v>0</v>
      </c>
      <c r="D21" s="26" t="str">
        <f t="shared" si="0"/>
        <v>   </v>
      </c>
      <c r="E21" s="42">
        <f t="shared" si="1"/>
        <v>0</v>
      </c>
    </row>
    <row r="22" spans="1:5" ht="16.5" customHeight="1">
      <c r="A22" s="41" t="s">
        <v>161</v>
      </c>
      <c r="B22" s="235">
        <v>250000</v>
      </c>
      <c r="C22" s="236">
        <v>94785.3</v>
      </c>
      <c r="D22" s="26">
        <f t="shared" si="0"/>
        <v>37.914120000000004</v>
      </c>
      <c r="E22" s="42">
        <f t="shared" si="1"/>
        <v>-155214.7</v>
      </c>
    </row>
    <row r="23" spans="1:5" ht="17.25" customHeight="1">
      <c r="A23" s="39" t="s">
        <v>92</v>
      </c>
      <c r="B23" s="235">
        <v>0</v>
      </c>
      <c r="C23" s="236">
        <v>0</v>
      </c>
      <c r="D23" s="26" t="str">
        <f t="shared" si="0"/>
        <v>   </v>
      </c>
      <c r="E23" s="42">
        <f t="shared" si="1"/>
        <v>0</v>
      </c>
    </row>
    <row r="24" spans="1:5" ht="14.25" customHeight="1">
      <c r="A24" s="16" t="s">
        <v>78</v>
      </c>
      <c r="B24" s="235">
        <f>SUM(B25)</f>
        <v>0</v>
      </c>
      <c r="C24" s="235">
        <f>SUM(C25)</f>
        <v>0</v>
      </c>
      <c r="D24" s="26" t="str">
        <f t="shared" si="0"/>
        <v>   </v>
      </c>
      <c r="E24" s="42">
        <f t="shared" si="1"/>
        <v>0</v>
      </c>
    </row>
    <row r="25" spans="1:5" ht="27" customHeight="1">
      <c r="A25" s="16" t="s">
        <v>180</v>
      </c>
      <c r="B25" s="234">
        <v>0</v>
      </c>
      <c r="C25" s="236">
        <v>0</v>
      </c>
      <c r="D25" s="26" t="str">
        <f t="shared" si="0"/>
        <v>   </v>
      </c>
      <c r="E25" s="42">
        <f t="shared" si="1"/>
        <v>0</v>
      </c>
    </row>
    <row r="26" spans="1:5" ht="15.75" customHeight="1">
      <c r="A26" s="16" t="s">
        <v>32</v>
      </c>
      <c r="B26" s="235">
        <f>SUM(B28)</f>
        <v>0</v>
      </c>
      <c r="C26" s="235">
        <f>C28+C27</f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128</v>
      </c>
      <c r="B27" s="235">
        <v>0</v>
      </c>
      <c r="C27" s="235">
        <v>0</v>
      </c>
      <c r="D27" s="26"/>
      <c r="E27" s="42">
        <f t="shared" si="1"/>
        <v>0</v>
      </c>
    </row>
    <row r="28" spans="1:5" ht="17.25" customHeight="1">
      <c r="A28" s="16" t="s">
        <v>50</v>
      </c>
      <c r="B28" s="23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24" customHeight="1">
      <c r="A29" s="183" t="s">
        <v>10</v>
      </c>
      <c r="B29" s="185">
        <f>B7+B11+B13+B20+B23+B24+B26+B9+B19+B18</f>
        <v>902500</v>
      </c>
      <c r="C29" s="185">
        <f>C7+C11+C13+C20+C23+C24+C26+C9+C19+C18</f>
        <v>404963.64</v>
      </c>
      <c r="D29" s="26">
        <f t="shared" si="0"/>
        <v>44.871317451523545</v>
      </c>
      <c r="E29" s="42">
        <f t="shared" si="1"/>
        <v>-497536.36</v>
      </c>
    </row>
    <row r="30" spans="1:5" ht="21" customHeight="1">
      <c r="A30" s="191" t="s">
        <v>145</v>
      </c>
      <c r="B30" s="201">
        <f>SUM(B31:B34,B37,B38,B41+B42+B43)</f>
        <v>2138240</v>
      </c>
      <c r="C30" s="201">
        <f>SUM(C31:C34,C37,C38,C41+C42+C43)</f>
        <v>739275</v>
      </c>
      <c r="D30" s="149">
        <f t="shared" si="0"/>
        <v>34.573995435498354</v>
      </c>
      <c r="E30" s="150">
        <f t="shared" si="1"/>
        <v>-1398965</v>
      </c>
    </row>
    <row r="31" spans="1:5" ht="15.75" customHeight="1">
      <c r="A31" s="17" t="s">
        <v>34</v>
      </c>
      <c r="B31" s="169">
        <v>592500</v>
      </c>
      <c r="C31" s="277">
        <v>296500</v>
      </c>
      <c r="D31" s="26">
        <f t="shared" si="0"/>
        <v>50.04219409282701</v>
      </c>
      <c r="E31" s="42">
        <f t="shared" si="1"/>
        <v>-296000</v>
      </c>
    </row>
    <row r="32" spans="1:5" ht="15.75" customHeight="1">
      <c r="A32" s="17" t="s">
        <v>270</v>
      </c>
      <c r="B32" s="169">
        <v>35000</v>
      </c>
      <c r="C32" s="277">
        <v>35000</v>
      </c>
      <c r="D32" s="26">
        <f>IF(B32=0,"   ",C32/B32*100)</f>
        <v>100</v>
      </c>
      <c r="E32" s="42">
        <f>C32-B32</f>
        <v>0</v>
      </c>
    </row>
    <row r="33" spans="1:5" ht="26.25" customHeight="1">
      <c r="A33" s="142" t="s">
        <v>51</v>
      </c>
      <c r="B33" s="143">
        <v>89900</v>
      </c>
      <c r="C33" s="271">
        <v>48644</v>
      </c>
      <c r="D33" s="144">
        <f t="shared" si="0"/>
        <v>54.10901001112347</v>
      </c>
      <c r="E33" s="145">
        <f t="shared" si="1"/>
        <v>-41256</v>
      </c>
    </row>
    <row r="34" spans="1:5" ht="29.25" customHeight="1">
      <c r="A34" s="117" t="s">
        <v>155</v>
      </c>
      <c r="B34" s="235">
        <f>SUM(B35:B36)</f>
        <v>100</v>
      </c>
      <c r="C34" s="235">
        <f>SUM(C35:C36)</f>
        <v>0</v>
      </c>
      <c r="D34" s="26">
        <f t="shared" si="0"/>
        <v>0</v>
      </c>
      <c r="E34" s="42">
        <f t="shared" si="1"/>
        <v>-100</v>
      </c>
    </row>
    <row r="35" spans="1:5" ht="14.25" customHeight="1">
      <c r="A35" s="117" t="s">
        <v>174</v>
      </c>
      <c r="B35" s="235">
        <v>100</v>
      </c>
      <c r="C35" s="236">
        <v>0</v>
      </c>
      <c r="D35" s="26">
        <f>IF(B35=0,"   ",C35/B35*100)</f>
        <v>0</v>
      </c>
      <c r="E35" s="42">
        <f>C35-B35</f>
        <v>-100</v>
      </c>
    </row>
    <row r="36" spans="1:5" ht="29.25" customHeight="1">
      <c r="A36" s="117" t="s">
        <v>175</v>
      </c>
      <c r="B36" s="235">
        <v>0</v>
      </c>
      <c r="C36" s="236">
        <v>0</v>
      </c>
      <c r="D36" s="26" t="str">
        <f>IF(B36=0,"   ",C36/B36*100)</f>
        <v>   </v>
      </c>
      <c r="E36" s="42">
        <f>C36-B36</f>
        <v>0</v>
      </c>
    </row>
    <row r="37" spans="1:5" ht="54.75" customHeight="1">
      <c r="A37" s="16" t="s">
        <v>291</v>
      </c>
      <c r="B37" s="235">
        <v>958900</v>
      </c>
      <c r="C37" s="236">
        <v>77371</v>
      </c>
      <c r="D37" s="26">
        <f>IF(B37=0,"   ",C37/B37*100)</f>
        <v>8.068724580248201</v>
      </c>
      <c r="E37" s="42">
        <f>C37-B37</f>
        <v>-881529</v>
      </c>
    </row>
    <row r="38" spans="1:5" ht="18" customHeight="1">
      <c r="A38" s="16" t="s">
        <v>82</v>
      </c>
      <c r="B38" s="235">
        <f>B40+B39</f>
        <v>346400</v>
      </c>
      <c r="C38" s="235">
        <f>C40+C39</f>
        <v>211320</v>
      </c>
      <c r="D38" s="26">
        <f t="shared" si="0"/>
        <v>61.00461893764434</v>
      </c>
      <c r="E38" s="42">
        <f t="shared" si="1"/>
        <v>-135080</v>
      </c>
    </row>
    <row r="39" spans="1:5" ht="27" customHeight="1">
      <c r="A39" s="53" t="s">
        <v>212</v>
      </c>
      <c r="B39" s="235">
        <v>346400</v>
      </c>
      <c r="C39" s="235">
        <v>211320</v>
      </c>
      <c r="D39" s="26">
        <f>IF(B39=0,"   ",C39/B39*100)</f>
        <v>61.00461893764434</v>
      </c>
      <c r="E39" s="42">
        <f>C39-B39</f>
        <v>-135080</v>
      </c>
    </row>
    <row r="40" spans="1:5" ht="17.25" customHeight="1">
      <c r="A40" s="16" t="s">
        <v>110</v>
      </c>
      <c r="B40" s="235">
        <v>0</v>
      </c>
      <c r="C40" s="235">
        <v>0</v>
      </c>
      <c r="D40" s="26" t="str">
        <f t="shared" si="0"/>
        <v>   </v>
      </c>
      <c r="E40" s="42">
        <f t="shared" si="1"/>
        <v>0</v>
      </c>
    </row>
    <row r="41" spans="1:5" ht="17.25" customHeight="1">
      <c r="A41" s="16" t="s">
        <v>182</v>
      </c>
      <c r="B41" s="235">
        <v>0</v>
      </c>
      <c r="C41" s="235">
        <v>0</v>
      </c>
      <c r="D41" s="26" t="str">
        <f t="shared" si="0"/>
        <v>   </v>
      </c>
      <c r="E41" s="42">
        <f t="shared" si="1"/>
        <v>0</v>
      </c>
    </row>
    <row r="42" spans="1:5" s="7" customFormat="1" ht="42" customHeight="1">
      <c r="A42" s="16" t="s">
        <v>104</v>
      </c>
      <c r="B42" s="235">
        <v>0</v>
      </c>
      <c r="C42" s="236">
        <v>0</v>
      </c>
      <c r="D42" s="26" t="str">
        <f t="shared" si="0"/>
        <v>   </v>
      </c>
      <c r="E42" s="40">
        <f t="shared" si="1"/>
        <v>0</v>
      </c>
    </row>
    <row r="43" spans="1:5" s="7" customFormat="1" ht="21" customHeight="1">
      <c r="A43" s="16" t="s">
        <v>228</v>
      </c>
      <c r="B43" s="235">
        <v>115440</v>
      </c>
      <c r="C43" s="236">
        <v>70440</v>
      </c>
      <c r="D43" s="26">
        <f t="shared" si="0"/>
        <v>61.018711018711016</v>
      </c>
      <c r="E43" s="40">
        <f t="shared" si="1"/>
        <v>-45000</v>
      </c>
    </row>
    <row r="44" spans="1:5" ht="26.25" customHeight="1">
      <c r="A44" s="183" t="s">
        <v>11</v>
      </c>
      <c r="B44" s="159">
        <f>SUM(B29,B30,)</f>
        <v>3040740</v>
      </c>
      <c r="C44" s="159">
        <f>SUM(C29,C30,)</f>
        <v>1144238.6400000001</v>
      </c>
      <c r="D44" s="149">
        <f t="shared" si="0"/>
        <v>37.63026894769037</v>
      </c>
      <c r="E44" s="150">
        <f t="shared" si="1"/>
        <v>-1896501.3599999999</v>
      </c>
    </row>
    <row r="45" spans="1:5" ht="14.25" customHeight="1">
      <c r="A45" s="30"/>
      <c r="B45" s="169"/>
      <c r="C45" s="161"/>
      <c r="D45" s="26" t="str">
        <f t="shared" si="0"/>
        <v>   </v>
      </c>
      <c r="E45" s="42"/>
    </row>
    <row r="46" spans="1:5" ht="12.75">
      <c r="A46" s="22" t="s">
        <v>12</v>
      </c>
      <c r="B46" s="44"/>
      <c r="C46" s="45"/>
      <c r="D46" s="26" t="str">
        <f t="shared" si="0"/>
        <v>   </v>
      </c>
      <c r="E46" s="42"/>
    </row>
    <row r="47" spans="1:5" ht="18.75" customHeight="1">
      <c r="A47" s="16" t="s">
        <v>35</v>
      </c>
      <c r="B47" s="27">
        <f>SUM(B48,B50,B51)</f>
        <v>1087200</v>
      </c>
      <c r="C47" s="27">
        <f>SUM(C48,C51)</f>
        <v>388729.04</v>
      </c>
      <c r="D47" s="26">
        <f t="shared" si="0"/>
        <v>35.755062545989695</v>
      </c>
      <c r="E47" s="42">
        <f t="shared" si="1"/>
        <v>-698470.96</v>
      </c>
    </row>
    <row r="48" spans="1:5" ht="16.5" customHeight="1">
      <c r="A48" s="16" t="s">
        <v>36</v>
      </c>
      <c r="B48" s="25">
        <v>1086700</v>
      </c>
      <c r="C48" s="25">
        <v>388729.04</v>
      </c>
      <c r="D48" s="26">
        <f t="shared" si="0"/>
        <v>35.77151375724671</v>
      </c>
      <c r="E48" s="42">
        <f t="shared" si="1"/>
        <v>-697970.96</v>
      </c>
    </row>
    <row r="49" spans="1:5" ht="12.75">
      <c r="A49" s="93" t="s">
        <v>123</v>
      </c>
      <c r="B49" s="25">
        <v>736252</v>
      </c>
      <c r="C49" s="28">
        <v>282381.95</v>
      </c>
      <c r="D49" s="26">
        <f t="shared" si="0"/>
        <v>38.353980702259555</v>
      </c>
      <c r="E49" s="42">
        <f t="shared" si="1"/>
        <v>-453870.05</v>
      </c>
    </row>
    <row r="50" spans="1:5" ht="12.75">
      <c r="A50" s="16" t="s">
        <v>103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7">
        <f>SUM(B52)</f>
        <v>0</v>
      </c>
      <c r="C51" s="27">
        <f>SUM(C52)</f>
        <v>0</v>
      </c>
      <c r="D51" s="26" t="str">
        <f t="shared" si="0"/>
        <v>   </v>
      </c>
      <c r="E51" s="42">
        <f t="shared" si="1"/>
        <v>0</v>
      </c>
    </row>
    <row r="52" spans="1:5" ht="25.5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89900</v>
      </c>
      <c r="C53" s="27">
        <f>SUM(C54)</f>
        <v>46693.38</v>
      </c>
      <c r="D53" s="26">
        <f t="shared" si="0"/>
        <v>51.939243604004446</v>
      </c>
      <c r="E53" s="42">
        <f t="shared" si="1"/>
        <v>-43206.62</v>
      </c>
    </row>
    <row r="54" spans="1:5" ht="19.5" customHeight="1">
      <c r="A54" s="16" t="s">
        <v>108</v>
      </c>
      <c r="B54" s="25">
        <v>89900</v>
      </c>
      <c r="C54" s="27">
        <v>46693.38</v>
      </c>
      <c r="D54" s="26">
        <f t="shared" si="0"/>
        <v>51.939243604004446</v>
      </c>
      <c r="E54" s="42">
        <f t="shared" si="1"/>
        <v>-43206.62</v>
      </c>
    </row>
    <row r="55" spans="1:5" ht="16.5" customHeight="1">
      <c r="A55" s="16" t="s">
        <v>37</v>
      </c>
      <c r="B55" s="25">
        <f>SUM(B56)</f>
        <v>1000</v>
      </c>
      <c r="C55" s="27">
        <f>SUM(C56)</f>
        <v>1000</v>
      </c>
      <c r="D55" s="26">
        <f t="shared" si="0"/>
        <v>100</v>
      </c>
      <c r="E55" s="42">
        <f t="shared" si="1"/>
        <v>0</v>
      </c>
    </row>
    <row r="56" spans="1:5" ht="15" customHeight="1">
      <c r="A56" s="41" t="s">
        <v>130</v>
      </c>
      <c r="B56" s="25">
        <v>1000</v>
      </c>
      <c r="C56" s="27">
        <v>1000</v>
      </c>
      <c r="D56" s="26">
        <f t="shared" si="0"/>
        <v>100</v>
      </c>
      <c r="E56" s="42">
        <f t="shared" si="1"/>
        <v>0</v>
      </c>
    </row>
    <row r="57" spans="1:5" ht="19.5" customHeight="1">
      <c r="A57" s="16" t="s">
        <v>38</v>
      </c>
      <c r="B57" s="25">
        <f>B61+B58</f>
        <v>1149800</v>
      </c>
      <c r="C57" s="25">
        <f>C61+C58</f>
        <v>99499.8</v>
      </c>
      <c r="D57" s="26">
        <f t="shared" si="0"/>
        <v>8.65366150634893</v>
      </c>
      <c r="E57" s="42">
        <f t="shared" si="1"/>
        <v>-1050300.2</v>
      </c>
    </row>
    <row r="58" spans="1:5" ht="19.5" customHeight="1">
      <c r="A58" s="83" t="s">
        <v>176</v>
      </c>
      <c r="B58" s="25">
        <f>SUM(B60,B59)</f>
        <v>0</v>
      </c>
      <c r="C58" s="25">
        <f>SUM(C60,C59)</f>
        <v>0</v>
      </c>
      <c r="D58" s="26" t="str">
        <f>IF(B58=0,"   ",C58/B58*100)</f>
        <v>   </v>
      </c>
      <c r="E58" s="42">
        <f>C58-B58</f>
        <v>0</v>
      </c>
    </row>
    <row r="59" spans="1:5" ht="15" customHeight="1">
      <c r="A59" s="83" t="s">
        <v>181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3.5" customHeight="1">
      <c r="A60" s="83" t="s">
        <v>177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2.75">
      <c r="A61" s="104" t="s">
        <v>134</v>
      </c>
      <c r="B61" s="25">
        <f>B62+B63+B64</f>
        <v>1149800</v>
      </c>
      <c r="C61" s="25">
        <f>C62+C63+C64</f>
        <v>99499.8</v>
      </c>
      <c r="D61" s="26">
        <f t="shared" si="0"/>
        <v>8.65366150634893</v>
      </c>
      <c r="E61" s="42">
        <f t="shared" si="1"/>
        <v>-1050300.2</v>
      </c>
    </row>
    <row r="62" spans="1:5" ht="19.5" customHeight="1">
      <c r="A62" s="83" t="s">
        <v>159</v>
      </c>
      <c r="B62" s="25">
        <v>0</v>
      </c>
      <c r="C62" s="25">
        <v>0</v>
      </c>
      <c r="D62" s="26" t="str">
        <f t="shared" si="0"/>
        <v>   </v>
      </c>
      <c r="E62" s="42">
        <f t="shared" si="1"/>
        <v>0</v>
      </c>
    </row>
    <row r="63" spans="1:5" ht="22.5" customHeight="1">
      <c r="A63" s="78" t="s">
        <v>135</v>
      </c>
      <c r="B63" s="25">
        <v>958900</v>
      </c>
      <c r="C63" s="25">
        <v>77371</v>
      </c>
      <c r="D63" s="26">
        <f t="shared" si="0"/>
        <v>8.068724580248201</v>
      </c>
      <c r="E63" s="42">
        <f t="shared" si="1"/>
        <v>-881529</v>
      </c>
    </row>
    <row r="64" spans="1:5" ht="25.5" customHeight="1">
      <c r="A64" s="78" t="s">
        <v>136</v>
      </c>
      <c r="B64" s="25">
        <v>190900</v>
      </c>
      <c r="C64" s="25">
        <v>22128.8</v>
      </c>
      <c r="D64" s="26">
        <f t="shared" si="0"/>
        <v>11.591828182294394</v>
      </c>
      <c r="E64" s="42">
        <f t="shared" si="1"/>
        <v>-168771.2</v>
      </c>
    </row>
    <row r="65" spans="1:5" ht="15" customHeight="1">
      <c r="A65" s="16" t="s">
        <v>13</v>
      </c>
      <c r="B65" s="25">
        <f>SUM(B71,B66)</f>
        <v>690040</v>
      </c>
      <c r="C65" s="25">
        <f>SUM(C71,C66)</f>
        <v>419574.68</v>
      </c>
      <c r="D65" s="26">
        <f t="shared" si="0"/>
        <v>60.804399744942316</v>
      </c>
      <c r="E65" s="42">
        <f t="shared" si="1"/>
        <v>-270465.32</v>
      </c>
    </row>
    <row r="66" spans="1:5" ht="15.75" customHeight="1">
      <c r="A66" s="16" t="s">
        <v>91</v>
      </c>
      <c r="B66" s="25">
        <f>B67</f>
        <v>0</v>
      </c>
      <c r="C66" s="25">
        <f>C67</f>
        <v>0</v>
      </c>
      <c r="D66" s="26" t="str">
        <f>IF(B66=0,"   ",C66/B66*100)</f>
        <v>   </v>
      </c>
      <c r="E66" s="42">
        <f>C66-B66</f>
        <v>0</v>
      </c>
    </row>
    <row r="67" spans="1:5" ht="25.5" customHeight="1">
      <c r="A67" s="113" t="s">
        <v>237</v>
      </c>
      <c r="B67" s="25">
        <f>B68+B69+B70</f>
        <v>0</v>
      </c>
      <c r="C67" s="25">
        <f>C68+C69+C70</f>
        <v>0</v>
      </c>
      <c r="D67" s="26" t="str">
        <f>IF(B67=0,"   ",C67/B67*100)</f>
        <v>   </v>
      </c>
      <c r="E67" s="42">
        <f>C67-B67</f>
        <v>0</v>
      </c>
    </row>
    <row r="68" spans="1:5" ht="25.5" customHeight="1">
      <c r="A68" s="113" t="s">
        <v>211</v>
      </c>
      <c r="B68" s="25">
        <v>0</v>
      </c>
      <c r="C68" s="25">
        <v>0</v>
      </c>
      <c r="D68" s="26" t="str">
        <f>IF(B68=0,"   ",C68/B68*100)</f>
        <v>   </v>
      </c>
      <c r="E68" s="42">
        <f>C68-B68</f>
        <v>0</v>
      </c>
    </row>
    <row r="69" spans="1:5" ht="24.75" customHeight="1">
      <c r="A69" s="113" t="s">
        <v>229</v>
      </c>
      <c r="B69" s="25">
        <v>0</v>
      </c>
      <c r="C69" s="25">
        <v>0</v>
      </c>
      <c r="D69" s="26" t="str">
        <f>IF(B69=0,"   ",C69/B69*100)</f>
        <v>   </v>
      </c>
      <c r="E69" s="42">
        <f>C69-B69</f>
        <v>0</v>
      </c>
    </row>
    <row r="70" spans="1:5" ht="25.5" customHeight="1">
      <c r="A70" s="113" t="s">
        <v>243</v>
      </c>
      <c r="B70" s="25">
        <v>0</v>
      </c>
      <c r="C70" s="25">
        <v>0</v>
      </c>
      <c r="D70" s="26" t="str">
        <f>IF(B70=0,"   ",C70/B70*100)</f>
        <v>   </v>
      </c>
      <c r="E70" s="42">
        <f>C70-B70</f>
        <v>0</v>
      </c>
    </row>
    <row r="71" spans="1:5" ht="12.75">
      <c r="A71" s="16" t="s">
        <v>58</v>
      </c>
      <c r="B71" s="25">
        <f>B72+B74+B73+B75</f>
        <v>690040</v>
      </c>
      <c r="C71" s="25">
        <f>C72+C74+C73+C75</f>
        <v>419574.68</v>
      </c>
      <c r="D71" s="26">
        <f t="shared" si="0"/>
        <v>60.804399744942316</v>
      </c>
      <c r="E71" s="42">
        <f t="shared" si="1"/>
        <v>-270465.32</v>
      </c>
    </row>
    <row r="72" spans="1:5" ht="12.75">
      <c r="A72" s="16" t="s">
        <v>60</v>
      </c>
      <c r="B72" s="25">
        <v>112000</v>
      </c>
      <c r="C72" s="27">
        <v>67374.68</v>
      </c>
      <c r="D72" s="26">
        <f t="shared" si="0"/>
        <v>60.15596428571428</v>
      </c>
      <c r="E72" s="42">
        <f t="shared" si="1"/>
        <v>-44625.32000000001</v>
      </c>
    </row>
    <row r="73" spans="1:5" ht="25.5">
      <c r="A73" s="113" t="s">
        <v>178</v>
      </c>
      <c r="B73" s="25">
        <v>0</v>
      </c>
      <c r="C73" s="27">
        <v>0</v>
      </c>
      <c r="D73" s="26" t="str">
        <f t="shared" si="0"/>
        <v>   </v>
      </c>
      <c r="E73" s="42">
        <f t="shared" si="1"/>
        <v>0</v>
      </c>
    </row>
    <row r="74" spans="1:5" ht="12.75">
      <c r="A74" s="16" t="s">
        <v>59</v>
      </c>
      <c r="B74" s="25">
        <v>0</v>
      </c>
      <c r="C74" s="27">
        <v>0</v>
      </c>
      <c r="D74" s="26" t="str">
        <f t="shared" si="0"/>
        <v>   </v>
      </c>
      <c r="E74" s="42">
        <f t="shared" si="1"/>
        <v>0</v>
      </c>
    </row>
    <row r="75" spans="1:5" ht="25.5">
      <c r="A75" s="113" t="s">
        <v>237</v>
      </c>
      <c r="B75" s="25">
        <f>B76+B77+B78</f>
        <v>578040</v>
      </c>
      <c r="C75" s="25">
        <f>C76+C77+C78</f>
        <v>352200</v>
      </c>
      <c r="D75" s="26">
        <f>IF(B75=0,"   ",C75/B75*100)</f>
        <v>60.93003944363712</v>
      </c>
      <c r="E75" s="42">
        <f>C75-B75</f>
        <v>-225840</v>
      </c>
    </row>
    <row r="76" spans="1:5" ht="25.5">
      <c r="A76" s="113" t="s">
        <v>211</v>
      </c>
      <c r="B76" s="25">
        <v>346400</v>
      </c>
      <c r="C76" s="27">
        <v>211320</v>
      </c>
      <c r="D76" s="26">
        <f>IF(B76=0,"   ",C76/B76*100)</f>
        <v>61.00461893764434</v>
      </c>
      <c r="E76" s="42">
        <f>C76-B76</f>
        <v>-135080</v>
      </c>
    </row>
    <row r="77" spans="1:5" ht="25.5">
      <c r="A77" s="113" t="s">
        <v>229</v>
      </c>
      <c r="B77" s="25">
        <v>116200</v>
      </c>
      <c r="C77" s="27">
        <v>70440</v>
      </c>
      <c r="D77" s="26">
        <f>IF(B77=0,"   ",C77/B77*100)</f>
        <v>60.61962134251291</v>
      </c>
      <c r="E77" s="42">
        <f>C77-B77</f>
        <v>-45760</v>
      </c>
    </row>
    <row r="78" spans="1:5" ht="24.75" customHeight="1">
      <c r="A78" s="113" t="s">
        <v>243</v>
      </c>
      <c r="B78" s="31">
        <v>115440</v>
      </c>
      <c r="C78" s="31">
        <v>70440</v>
      </c>
      <c r="D78" s="26">
        <f t="shared" si="0"/>
        <v>61.018711018711016</v>
      </c>
      <c r="E78" s="42">
        <f t="shared" si="1"/>
        <v>-45000</v>
      </c>
    </row>
    <row r="79" spans="1:5" ht="24.75" customHeight="1">
      <c r="A79" s="18" t="s">
        <v>17</v>
      </c>
      <c r="B79" s="31">
        <v>8000</v>
      </c>
      <c r="C79" s="31">
        <v>8000</v>
      </c>
      <c r="D79" s="26">
        <f t="shared" si="0"/>
        <v>100</v>
      </c>
      <c r="E79" s="42">
        <f t="shared" si="1"/>
        <v>0</v>
      </c>
    </row>
    <row r="80" spans="1:5" ht="15" customHeight="1">
      <c r="A80" s="16" t="s">
        <v>41</v>
      </c>
      <c r="B80" s="24">
        <f>SUM(B81,)</f>
        <v>50000</v>
      </c>
      <c r="C80" s="24">
        <f>SUM(C81,)</f>
        <v>50000</v>
      </c>
      <c r="D80" s="26">
        <f t="shared" si="0"/>
        <v>100</v>
      </c>
      <c r="E80" s="42">
        <f t="shared" si="1"/>
        <v>0</v>
      </c>
    </row>
    <row r="81" spans="1:5" ht="12.75">
      <c r="A81" s="16" t="s">
        <v>42</v>
      </c>
      <c r="B81" s="25">
        <v>50000</v>
      </c>
      <c r="C81" s="27">
        <v>50000</v>
      </c>
      <c r="D81" s="26">
        <f t="shared" si="0"/>
        <v>100</v>
      </c>
      <c r="E81" s="42">
        <f t="shared" si="1"/>
        <v>0</v>
      </c>
    </row>
    <row r="82" spans="1:5" ht="12.75">
      <c r="A82" s="16" t="s">
        <v>276</v>
      </c>
      <c r="B82" s="24">
        <f>SUM(B83,)</f>
        <v>30000</v>
      </c>
      <c r="C82" s="24">
        <f>SUM(C83,)</f>
        <v>0</v>
      </c>
      <c r="D82" s="26">
        <f>IF(B82=0,"   ",C82/B82*100)</f>
        <v>0</v>
      </c>
      <c r="E82" s="42">
        <f>C82-B82</f>
        <v>-30000</v>
      </c>
    </row>
    <row r="83" spans="1:5" ht="12.75">
      <c r="A83" s="16" t="s">
        <v>277</v>
      </c>
      <c r="B83" s="25">
        <v>30000</v>
      </c>
      <c r="C83" s="27">
        <v>0</v>
      </c>
      <c r="D83" s="26">
        <f>IF(B83=0,"   ",C83/B83*100)</f>
        <v>0</v>
      </c>
      <c r="E83" s="42">
        <f>C83-B83</f>
        <v>-30000</v>
      </c>
    </row>
    <row r="84" spans="1:5" ht="18" customHeight="1">
      <c r="A84" s="16" t="s">
        <v>125</v>
      </c>
      <c r="B84" s="24">
        <f>SUM(B85,)</f>
        <v>16000</v>
      </c>
      <c r="C84" s="24">
        <f>SUM(C85,)</f>
        <v>16000</v>
      </c>
      <c r="D84" s="26">
        <f t="shared" si="0"/>
        <v>100</v>
      </c>
      <c r="E84" s="42">
        <f t="shared" si="1"/>
        <v>0</v>
      </c>
    </row>
    <row r="85" spans="1:5" ht="12.75">
      <c r="A85" s="16" t="s">
        <v>43</v>
      </c>
      <c r="B85" s="233">
        <v>16000</v>
      </c>
      <c r="C85" s="28">
        <v>16000</v>
      </c>
      <c r="D85" s="26">
        <f t="shared" si="0"/>
        <v>100</v>
      </c>
      <c r="E85" s="42">
        <f t="shared" si="1"/>
        <v>0</v>
      </c>
    </row>
    <row r="86" spans="1:5" ht="21" customHeight="1">
      <c r="A86" s="183" t="s">
        <v>15</v>
      </c>
      <c r="B86" s="159">
        <f>SUM(B47,B53,B55,B57,B65,B79,B80,B82,B84,)</f>
        <v>3121940</v>
      </c>
      <c r="C86" s="159">
        <f>SUM(C47,C53,C55,C57,C65,C79,C80,C82,C84,)</f>
        <v>1029496.8999999999</v>
      </c>
      <c r="D86" s="149">
        <f>IF(B86=0,"   ",C86/B86*100)</f>
        <v>32.976191086311715</v>
      </c>
      <c r="E86" s="150">
        <f t="shared" si="1"/>
        <v>-2092443.1</v>
      </c>
    </row>
    <row r="87" spans="1:5" s="66" customFormat="1" ht="23.25" customHeight="1">
      <c r="A87" s="88" t="s">
        <v>262</v>
      </c>
      <c r="B87" s="88"/>
      <c r="C87" s="287"/>
      <c r="D87" s="287"/>
      <c r="E87" s="287"/>
    </row>
    <row r="88" spans="1:5" s="66" customFormat="1" ht="12" customHeight="1">
      <c r="A88" s="88" t="s">
        <v>163</v>
      </c>
      <c r="B88" s="88"/>
      <c r="C88" s="89" t="s">
        <v>268</v>
      </c>
      <c r="D88" s="90"/>
      <c r="E88" s="91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</sheetData>
  <sheetProtection/>
  <mergeCells count="2">
    <mergeCell ref="A1:E1"/>
    <mergeCell ref="C87:E87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PageLayoutView="0" workbookViewId="0" topLeftCell="A51">
      <selection activeCell="C61" sqref="C61"/>
    </sheetView>
  </sheetViews>
  <sheetFormatPr defaultColWidth="9.00390625" defaultRowHeight="12.75"/>
  <cols>
    <col min="1" max="1" width="61.00390625" style="0" customWidth="1"/>
    <col min="2" max="2" width="14.75390625" style="0" customWidth="1"/>
    <col min="3" max="3" width="15.75390625" style="0" customWidth="1"/>
    <col min="4" max="4" width="11.25390625" style="0" customWidth="1"/>
    <col min="5" max="5" width="15.375" style="0" customWidth="1"/>
    <col min="6" max="6" width="12.75390625" style="0" bestFit="1" customWidth="1"/>
  </cols>
  <sheetData>
    <row r="1" spans="1:5" ht="18">
      <c r="A1" s="289" t="s">
        <v>311</v>
      </c>
      <c r="B1" s="289"/>
      <c r="C1" s="289"/>
      <c r="D1" s="289"/>
      <c r="E1" s="289"/>
    </row>
    <row r="2" spans="1:5" ht="9.75" customHeight="1" thickBot="1">
      <c r="A2" s="4"/>
      <c r="B2" s="4"/>
      <c r="C2" s="46"/>
      <c r="D2" s="4"/>
      <c r="E2" s="4" t="s">
        <v>0</v>
      </c>
    </row>
    <row r="3" spans="1:5" ht="108" customHeight="1">
      <c r="A3" s="34" t="s">
        <v>1</v>
      </c>
      <c r="B3" s="19" t="s">
        <v>279</v>
      </c>
      <c r="C3" s="32" t="s">
        <v>296</v>
      </c>
      <c r="D3" s="19" t="s">
        <v>280</v>
      </c>
      <c r="E3" s="36" t="s">
        <v>281</v>
      </c>
    </row>
    <row r="4" spans="1:5" ht="12.75">
      <c r="A4" s="13">
        <v>1</v>
      </c>
      <c r="B4" s="81">
        <v>2</v>
      </c>
      <c r="C4" s="47">
        <v>3</v>
      </c>
      <c r="D4" s="29">
        <v>4</v>
      </c>
      <c r="E4" s="48">
        <v>5</v>
      </c>
    </row>
    <row r="5" spans="1:5" ht="15.75" customHeight="1">
      <c r="A5" s="22" t="s">
        <v>2</v>
      </c>
      <c r="B5" s="11"/>
      <c r="C5" s="49"/>
      <c r="D5" s="25"/>
      <c r="E5" s="50"/>
    </row>
    <row r="6" spans="1:5" ht="15">
      <c r="A6" s="207" t="s">
        <v>45</v>
      </c>
      <c r="B6" s="200">
        <f>SUM(B7)</f>
        <v>10725400</v>
      </c>
      <c r="C6" s="200">
        <f>SUM(C7)</f>
        <v>4574205.140000001</v>
      </c>
      <c r="D6" s="208">
        <f aca="true" t="shared" si="0" ref="D6:D33">IF(B6=0,"   ",C6/B6*100)</f>
        <v>42.64834076118374</v>
      </c>
      <c r="E6" s="209">
        <f aca="true" t="shared" si="1" ref="E6:E56">C6-B6</f>
        <v>-6151194.859999999</v>
      </c>
    </row>
    <row r="7" spans="1:5" ht="15">
      <c r="A7" s="210" t="s">
        <v>44</v>
      </c>
      <c r="B7" s="211">
        <f>Лист1!B9+Лист2!B7+Лист3!B7+Лист4!B8+Лист5!B8+Лист6!B8+Лист7!B8+Лист8!B8+Лист9!B8+Лист10!B8</f>
        <v>10725400</v>
      </c>
      <c r="C7" s="211">
        <f>Лист1!C9+Лист2!C7+Лист3!C7+Лист4!C8+Лист5!C8+Лист6!C8+Лист7!C8+Лист8!C8+Лист9!C8+Лист10!C8</f>
        <v>4574205.140000001</v>
      </c>
      <c r="D7" s="208">
        <f t="shared" si="0"/>
        <v>42.64834076118374</v>
      </c>
      <c r="E7" s="209">
        <f t="shared" si="1"/>
        <v>-6151194.859999999</v>
      </c>
    </row>
    <row r="8" spans="1:5" ht="31.5" customHeight="1">
      <c r="A8" s="207" t="s">
        <v>142</v>
      </c>
      <c r="B8" s="200">
        <f>SUM(B9)</f>
        <v>5694200</v>
      </c>
      <c r="C8" s="200">
        <f>SUM(C9)</f>
        <v>3163359.2600000007</v>
      </c>
      <c r="D8" s="208">
        <f t="shared" si="0"/>
        <v>55.5540595693864</v>
      </c>
      <c r="E8" s="209">
        <f t="shared" si="1"/>
        <v>-2530840.7399999993</v>
      </c>
    </row>
    <row r="9" spans="1:5" ht="30">
      <c r="A9" s="210" t="s">
        <v>143</v>
      </c>
      <c r="B9" s="211">
        <f>Лист1!B15+Лист2!B9+Лист3!B9+Лист4!B10+Лист5!B10+Лист6!B10+Лист7!B10+Лист8!B10+Лист9!B10+Лист10!B10</f>
        <v>5694200</v>
      </c>
      <c r="C9" s="211">
        <f>Лист1!C15+Лист2!C9+Лист3!C9+Лист4!C10+Лист5!C10+Лист6!C10+Лист7!C10+Лист8!C10+Лист9!C10+Лист10!C10</f>
        <v>3163359.2600000007</v>
      </c>
      <c r="D9" s="208">
        <f t="shared" si="0"/>
        <v>55.5540595693864</v>
      </c>
      <c r="E9" s="209">
        <f t="shared" si="1"/>
        <v>-2530840.7399999993</v>
      </c>
    </row>
    <row r="10" spans="1:5" ht="15">
      <c r="A10" s="210" t="s">
        <v>7</v>
      </c>
      <c r="B10" s="211">
        <f>B11</f>
        <v>207000</v>
      </c>
      <c r="C10" s="211">
        <f>SUM(C11:C11)</f>
        <v>198614.22999999998</v>
      </c>
      <c r="D10" s="208">
        <f t="shared" si="0"/>
        <v>95.94890338164251</v>
      </c>
      <c r="E10" s="209">
        <f t="shared" si="1"/>
        <v>-8385.770000000019</v>
      </c>
    </row>
    <row r="11" spans="1:5" ht="15">
      <c r="A11" s="210" t="s">
        <v>26</v>
      </c>
      <c r="B11" s="211">
        <f>Лист1!B18+Лист2!B11+Лист3!B11+Лист4!B12+Лист5!B12+Лист6!B12+Лист7!B12+Лист8!B12+Лист9!B12+Лист10!B12</f>
        <v>207000</v>
      </c>
      <c r="C11" s="211">
        <f>Лист1!C18+Лист2!C11+Лист3!C11+Лист4!C12+Лист5!C12+Лист6!C12+Лист7!C12+Лист8!C12+Лист9!C12+Лист10!C12</f>
        <v>198614.22999999998</v>
      </c>
      <c r="D11" s="208">
        <f t="shared" si="0"/>
        <v>95.94890338164251</v>
      </c>
      <c r="E11" s="209">
        <f t="shared" si="1"/>
        <v>-8385.770000000019</v>
      </c>
    </row>
    <row r="12" spans="1:5" ht="15">
      <c r="A12" s="210" t="s">
        <v>9</v>
      </c>
      <c r="B12" s="211">
        <f>SUM(B13:B14)</f>
        <v>9300000</v>
      </c>
      <c r="C12" s="211">
        <f>SUM(C13:C14)</f>
        <v>1593829.6999999997</v>
      </c>
      <c r="D12" s="208">
        <f t="shared" si="0"/>
        <v>17.13795376344086</v>
      </c>
      <c r="E12" s="209">
        <f t="shared" si="1"/>
        <v>-7706170.300000001</v>
      </c>
    </row>
    <row r="13" spans="1:5" ht="15">
      <c r="A13" s="210" t="s">
        <v>27</v>
      </c>
      <c r="B13" s="211">
        <f>Лист1!B20+Лист2!B13+Лист3!B13+Лист4!B14+Лист5!B14+Лист6!B14+Лист7!B14+Лист8!B14+Лист9!B14+Лист10!B14</f>
        <v>4473000</v>
      </c>
      <c r="C13" s="211">
        <f>Лист1!C20+Лист2!C13+Лист3!C13+Лист4!C14+Лист5!C14+Лист6!C14+Лист7!C14+Лист8!C14+Лист9!C14+Лист10!C14</f>
        <v>416030.88</v>
      </c>
      <c r="D13" s="208">
        <f t="shared" si="0"/>
        <v>9.300936284372904</v>
      </c>
      <c r="E13" s="209">
        <f t="shared" si="1"/>
        <v>-4056969.12</v>
      </c>
    </row>
    <row r="14" spans="1:5" ht="15">
      <c r="A14" s="210" t="s">
        <v>171</v>
      </c>
      <c r="B14" s="211">
        <f>Лист1!B21+Лист2!B14+Лист3!B14+Лист4!B15+Лист5!B15+Лист6!B15+Лист7!B15+Лист8!B15+Лист9!B15+Лист10!B15</f>
        <v>4827000</v>
      </c>
      <c r="C14" s="211">
        <f>Лист1!C21+Лист2!C14+Лист3!C14+Лист4!C15+Лист5!C15+Лист6!C15+Лист7!C15+Лист8!C15+Лист9!C15+Лист10!C15</f>
        <v>1177798.8199999998</v>
      </c>
      <c r="D14" s="208">
        <f t="shared" si="0"/>
        <v>24.400224155790344</v>
      </c>
      <c r="E14" s="209">
        <f t="shared" si="1"/>
        <v>-3649201.18</v>
      </c>
    </row>
    <row r="15" spans="1:5" ht="15">
      <c r="A15" s="210" t="s">
        <v>172</v>
      </c>
      <c r="B15" s="211">
        <f>Лист1!B22+Лист2!B15+Лист3!B15+Лист4!B16+Лист5!B16+Лист6!B16+Лист7!B16+Лист8!B16+Лист9!B16+Лист10!B16</f>
        <v>1559000</v>
      </c>
      <c r="C15" s="211">
        <f>Лист1!C22+Лист2!C15+Лист3!C15+Лист4!C16+Лист5!C16+Лист6!C16+Лист7!C16+Лист8!C16+Лист9!C16+Лист10!C16</f>
        <v>876208.83</v>
      </c>
      <c r="D15" s="208">
        <f t="shared" si="0"/>
        <v>56.2032604233483</v>
      </c>
      <c r="E15" s="209">
        <f t="shared" si="1"/>
        <v>-682791.17</v>
      </c>
    </row>
    <row r="16" spans="1:5" ht="15">
      <c r="A16" s="210" t="s">
        <v>173</v>
      </c>
      <c r="B16" s="211">
        <f>Лист1!B23+Лист2!B16+Лист3!B16+Лист4!B17+Лист5!B17+Лист6!B17+Лист7!B17+Лист8!B17+Лист9!B17+Лист10!B17</f>
        <v>3268000</v>
      </c>
      <c r="C16" s="211">
        <f>Лист1!C23+Лист2!C16+Лист3!C16+Лист4!C17+Лист5!C17+Лист6!C17+Лист7!C17+Лист8!C17+Лист9!C17+Лист10!C17</f>
        <v>301589.99</v>
      </c>
      <c r="D16" s="208">
        <f t="shared" si="0"/>
        <v>9.228579865361077</v>
      </c>
      <c r="E16" s="209">
        <f t="shared" si="1"/>
        <v>-2966410.01</v>
      </c>
    </row>
    <row r="17" spans="1:5" ht="15">
      <c r="A17" s="210" t="s">
        <v>225</v>
      </c>
      <c r="B17" s="197">
        <f>Лист8!B18+Лист5!B18+Лист9!B18+Лист3!B17+Лист4!B18+Лист2!B17+Лист10!B18+Лист1!B24+Лист6!B18</f>
        <v>0</v>
      </c>
      <c r="C17" s="197">
        <f>Лист8!C18+Лист5!C18+Лист9!C18+Лист3!C17+Лист4!C18+Лист2!C17+Лист10!C18+Лист1!C24+Лист6!C18</f>
        <v>16576.2</v>
      </c>
      <c r="D17" s="208" t="str">
        <f>IF(B17=0,"   ",C17/B17*100)</f>
        <v>   </v>
      </c>
      <c r="E17" s="209">
        <f>C17-B17</f>
        <v>16576.2</v>
      </c>
    </row>
    <row r="18" spans="1:5" ht="28.5" customHeight="1">
      <c r="A18" s="210" t="s">
        <v>94</v>
      </c>
      <c r="B18" s="197">
        <f>Лист1!B25+Лист2!B18+Лист3!B18+Лист4!B19+Лист5!B19+Лист6!B19+Лист7!B18+Лист8!B19+Лист9!B19+Лист10!B19</f>
        <v>0</v>
      </c>
      <c r="C18" s="197">
        <f>Лист1!C25+Лист2!C18+Лист3!C18+Лист4!C19+Лист5!C19+Лист6!C19+Лист7!C18+Лист8!C19+Лист9!C19+Лист10!C19</f>
        <v>51045.05</v>
      </c>
      <c r="D18" s="208" t="str">
        <f t="shared" si="0"/>
        <v>   </v>
      </c>
      <c r="E18" s="209">
        <f t="shared" si="1"/>
        <v>51045.05</v>
      </c>
    </row>
    <row r="19" spans="1:5" ht="46.5" customHeight="1">
      <c r="A19" s="210" t="s">
        <v>28</v>
      </c>
      <c r="B19" s="211">
        <f>SUM(B20:B24)</f>
        <v>3040700</v>
      </c>
      <c r="C19" s="211">
        <f>SUM(C20:C24)</f>
        <v>963442.0800000001</v>
      </c>
      <c r="D19" s="208">
        <f t="shared" si="0"/>
        <v>31.68487782418522</v>
      </c>
      <c r="E19" s="209">
        <f t="shared" si="1"/>
        <v>-2077257.92</v>
      </c>
    </row>
    <row r="20" spans="1:5" ht="15">
      <c r="A20" s="210" t="s">
        <v>162</v>
      </c>
      <c r="B20" s="211">
        <f>Лист7!B20</f>
        <v>1273200</v>
      </c>
      <c r="C20" s="211">
        <f>Лист7!C20</f>
        <v>325702.28</v>
      </c>
      <c r="D20" s="208">
        <f t="shared" si="0"/>
        <v>25.5813917687716</v>
      </c>
      <c r="E20" s="209">
        <f t="shared" si="1"/>
        <v>-947497.72</v>
      </c>
    </row>
    <row r="21" spans="1:5" ht="15">
      <c r="A21" s="210" t="s">
        <v>144</v>
      </c>
      <c r="B21" s="211">
        <f>Лист1!B27+Лист2!B23+Лист3!B20+Лист4!B21+Лист5!B21+Лист6!B21+Лист7!B21+Лист8!B21+Лист9!B22+Лист10!B22</f>
        <v>937300</v>
      </c>
      <c r="C21" s="211">
        <f>Лист1!C27+Лист2!C23+Лист3!C20+Лист4!C21+Лист5!C21+Лист6!C21+Лист7!C21+Лист8!C21+Лист9!C22+Лист10!C22</f>
        <v>313146.19</v>
      </c>
      <c r="D21" s="208">
        <f t="shared" si="0"/>
        <v>33.409387602688575</v>
      </c>
      <c r="E21" s="209">
        <f t="shared" si="1"/>
        <v>-624153.81</v>
      </c>
    </row>
    <row r="22" spans="1:5" ht="33" customHeight="1">
      <c r="A22" s="210" t="s">
        <v>30</v>
      </c>
      <c r="B22" s="211">
        <f>Лист1!B28+Лист2!B24+Лист3!B21+Лист4!B22+Лист5!B22+Лист6!B22+Лист7!B22+Лист8!B22+Лист9!B23+Лист10!B21</f>
        <v>254500</v>
      </c>
      <c r="C22" s="211">
        <f>Лист1!C28+Лист2!C24+Лист3!C21+Лист4!C22+Лист5!C22+Лист6!C22+Лист7!C22+Лист8!C22+Лист9!C23+Лист10!C21</f>
        <v>55658.54</v>
      </c>
      <c r="D22" s="208">
        <f t="shared" si="0"/>
        <v>21.869760314341846</v>
      </c>
      <c r="E22" s="209">
        <f t="shared" si="1"/>
        <v>-198841.46</v>
      </c>
    </row>
    <row r="23" spans="1:5" ht="73.5" customHeight="1">
      <c r="A23" s="210" t="s">
        <v>231</v>
      </c>
      <c r="B23" s="211">
        <f>Лист7!B23</f>
        <v>550000</v>
      </c>
      <c r="C23" s="211">
        <f>Лист7!C23</f>
        <v>258369.07</v>
      </c>
      <c r="D23" s="208">
        <f>IF(B23=0,"   ",C23/B23*100)</f>
        <v>46.97619454545455</v>
      </c>
      <c r="E23" s="209">
        <f>C23-B23</f>
        <v>-291630.93</v>
      </c>
    </row>
    <row r="24" spans="1:5" ht="72" customHeight="1">
      <c r="A24" s="210" t="s">
        <v>265</v>
      </c>
      <c r="B24" s="211">
        <f>Лист1!B29+Лист9!B24</f>
        <v>25700</v>
      </c>
      <c r="C24" s="211">
        <f>Лист1!C29+Лист9!C24</f>
        <v>10566</v>
      </c>
      <c r="D24" s="208">
        <f>IF(B24=0,"   ",C24/B24*100)</f>
        <v>41.11284046692607</v>
      </c>
      <c r="E24" s="209">
        <f>C24-B24</f>
        <v>-15134</v>
      </c>
    </row>
    <row r="25" spans="1:5" ht="30.75" customHeight="1">
      <c r="A25" s="210" t="s">
        <v>83</v>
      </c>
      <c r="B25" s="211">
        <f>SUM(B27,B26)</f>
        <v>0</v>
      </c>
      <c r="C25" s="211">
        <f>SUM(C27,C26)</f>
        <v>36134.85</v>
      </c>
      <c r="D25" s="208" t="str">
        <f t="shared" si="0"/>
        <v>   </v>
      </c>
      <c r="E25" s="209">
        <f t="shared" si="1"/>
        <v>36134.85</v>
      </c>
    </row>
    <row r="26" spans="1:5" ht="16.5" customHeight="1">
      <c r="A26" s="210" t="s">
        <v>196</v>
      </c>
      <c r="B26" s="211">
        <f>Лист2!B26</f>
        <v>0</v>
      </c>
      <c r="C26" s="211">
        <f>Лист2!C26</f>
        <v>0</v>
      </c>
      <c r="D26" s="208"/>
      <c r="E26" s="209">
        <f t="shared" si="1"/>
        <v>0</v>
      </c>
    </row>
    <row r="27" spans="1:5" ht="44.25" customHeight="1">
      <c r="A27" s="210" t="s">
        <v>84</v>
      </c>
      <c r="B27" s="211">
        <f>Лист4!B23+Лист9!B25+Лист7!B24</f>
        <v>0</v>
      </c>
      <c r="C27" s="211">
        <f>Лист4!C23+Лист9!C25+Лист7!C24+Лист1!C30</f>
        <v>36134.85</v>
      </c>
      <c r="D27" s="208" t="str">
        <f t="shared" si="0"/>
        <v>   </v>
      </c>
      <c r="E27" s="209">
        <f t="shared" si="1"/>
        <v>36134.85</v>
      </c>
    </row>
    <row r="28" spans="1:5" ht="31.5" customHeight="1">
      <c r="A28" s="210" t="s">
        <v>76</v>
      </c>
      <c r="B28" s="211">
        <f>SUM(B30+B29+B31)</f>
        <v>0</v>
      </c>
      <c r="C28" s="211">
        <f>SUM(C30+C29+C31)</f>
        <v>112792.6</v>
      </c>
      <c r="D28" s="208" t="str">
        <f t="shared" si="0"/>
        <v>   </v>
      </c>
      <c r="E28" s="209">
        <f t="shared" si="1"/>
        <v>112792.6</v>
      </c>
    </row>
    <row r="29" spans="1:5" ht="30.75" customHeight="1">
      <c r="A29" s="210" t="s">
        <v>139</v>
      </c>
      <c r="B29" s="211">
        <f>Лист1!B32+Лист5!B25+Лист9!B27+Лист7!B26+Лист2!B20+Лист3!B25</f>
        <v>0</v>
      </c>
      <c r="C29" s="211">
        <f>Лист1!C32+Лист5!C25+Лист9!C27+Лист7!C26+Лист2!C20+Лист3!C25</f>
        <v>104465.64</v>
      </c>
      <c r="D29" s="208" t="str">
        <f t="shared" si="0"/>
        <v>   </v>
      </c>
      <c r="E29" s="209">
        <f t="shared" si="1"/>
        <v>104465.64</v>
      </c>
    </row>
    <row r="30" spans="1:5" ht="42" customHeight="1">
      <c r="A30" s="210" t="s">
        <v>266</v>
      </c>
      <c r="B30" s="211">
        <f>Лист7!B27</f>
        <v>0</v>
      </c>
      <c r="C30" s="211">
        <f>Лист7!C27</f>
        <v>8326.96</v>
      </c>
      <c r="D30" s="208" t="str">
        <f t="shared" si="0"/>
        <v>   </v>
      </c>
      <c r="E30" s="209">
        <f t="shared" si="1"/>
        <v>8326.96</v>
      </c>
    </row>
    <row r="31" spans="1:5" ht="46.5" customHeight="1">
      <c r="A31" s="210" t="s">
        <v>267</v>
      </c>
      <c r="B31" s="211">
        <f>Лист1!B33+Лист2!B21+Лист3!B24+Лист4!B25+Лист6!B25+Лист8!B25+Лист9!B28+Лист10!B25</f>
        <v>0</v>
      </c>
      <c r="C31" s="211">
        <f>Лист1!C33+Лист2!C21+Лист3!C24+Лист4!C25+Лист6!C25+Лист8!C25+Лист9!C28+Лист10!C25</f>
        <v>0</v>
      </c>
      <c r="D31" s="208" t="str">
        <f t="shared" si="0"/>
        <v>   </v>
      </c>
      <c r="E31" s="209">
        <f t="shared" si="1"/>
        <v>0</v>
      </c>
    </row>
    <row r="32" spans="1:5" ht="15">
      <c r="A32" s="210" t="s">
        <v>31</v>
      </c>
      <c r="B32" s="211">
        <f>Лист1!B34+Лист2!B27+Лист5!B28+Лист7!B28</f>
        <v>0</v>
      </c>
      <c r="C32" s="211">
        <f>Лист1!C34+Лист2!C27+Лист5!C28+Лист7!C28</f>
        <v>1000</v>
      </c>
      <c r="D32" s="208" t="str">
        <f t="shared" si="0"/>
        <v>   </v>
      </c>
      <c r="E32" s="209">
        <f t="shared" si="1"/>
        <v>1000</v>
      </c>
    </row>
    <row r="33" spans="1:5" ht="15">
      <c r="A33" s="210" t="s">
        <v>32</v>
      </c>
      <c r="B33" s="211">
        <f>B34+B35</f>
        <v>0</v>
      </c>
      <c r="C33" s="211">
        <f>C34+C35</f>
        <v>-5035.16</v>
      </c>
      <c r="D33" s="208" t="str">
        <f t="shared" si="0"/>
        <v>   </v>
      </c>
      <c r="E33" s="209">
        <f t="shared" si="1"/>
        <v>-5035.16</v>
      </c>
    </row>
    <row r="34" spans="1:5" ht="15">
      <c r="A34" s="210" t="s">
        <v>46</v>
      </c>
      <c r="B34" s="211">
        <v>0</v>
      </c>
      <c r="C34" s="211">
        <f>Лист1!C38+Лист2!C29+Лист4!C27+Лист6!C27+Лист7!C30+Лист8!C27+Лист9!C31+Лист3!C27+Лист10!C27+Лист5!C27</f>
        <v>-5035.16</v>
      </c>
      <c r="D34" s="208"/>
      <c r="E34" s="209">
        <f t="shared" si="1"/>
        <v>-5035.16</v>
      </c>
    </row>
    <row r="35" spans="1:5" ht="15">
      <c r="A35" s="210" t="s">
        <v>50</v>
      </c>
      <c r="B35" s="211">
        <f>Лист1!B39+Лист2!B30+Лист3!B28+Лист4!B28+Лист5!B27+Лист6!B28+Лист7!B31+Лист8!B28+Лист9!B32+Лист10!B28</f>
        <v>0</v>
      </c>
      <c r="C35" s="211">
        <f>Лист1!C39+Лист2!C30+Лист3!C28+Лист4!C28+Лист6!C28+Лист7!C31+Лист8!C28+Лист9!C32+Лист10!C28</f>
        <v>0</v>
      </c>
      <c r="D35" s="208" t="str">
        <f>IF(B35=0,"   ",C35/B35*100)</f>
        <v>   </v>
      </c>
      <c r="E35" s="209">
        <f t="shared" si="1"/>
        <v>0</v>
      </c>
    </row>
    <row r="36" spans="1:5" ht="18" customHeight="1">
      <c r="A36" s="212" t="s">
        <v>10</v>
      </c>
      <c r="B36" s="213">
        <f>SUM(B6,B8,B10,B12,B18,B19,B25,B28,B33,+B32+B17)</f>
        <v>28967300</v>
      </c>
      <c r="C36" s="213">
        <f>SUM(C6,C8,C10,C12,C18,C19,C25,C28,C33,+C32+C17)</f>
        <v>10705963.95</v>
      </c>
      <c r="D36" s="214">
        <f>IF(B36=0,"   ",C36/B36*100)</f>
        <v>36.958791292250226</v>
      </c>
      <c r="E36" s="215">
        <f t="shared" si="1"/>
        <v>-18261336.05</v>
      </c>
    </row>
    <row r="37" spans="1:5" ht="33" customHeight="1">
      <c r="A37" s="207" t="s">
        <v>34</v>
      </c>
      <c r="B37" s="200">
        <f>Лист1!B44+Лист2!B33+Лист3!B32+Лист4!B32+Лист5!B31+Лист6!B31+Лист7!B34+Лист8!B32+Лист9!B35+Лист10!B31</f>
        <v>16275000</v>
      </c>
      <c r="C37" s="200">
        <f>Лист1!C44+Лист2!C33+Лист3!C32+Лист4!C32+Лист5!C31+Лист6!C31+Лист7!C34+Лист8!C32+Лист9!C35+Лист10!C31</f>
        <v>8137700</v>
      </c>
      <c r="D37" s="208">
        <f>IF(B37=0,"   ",C37/B37*100)</f>
        <v>50.00122887864823</v>
      </c>
      <c r="E37" s="209">
        <f t="shared" si="1"/>
        <v>-8137300</v>
      </c>
    </row>
    <row r="38" spans="1:5" ht="33" customHeight="1">
      <c r="A38" s="207" t="s">
        <v>270</v>
      </c>
      <c r="B38" s="200">
        <f>Лист1!B45+Лист2!B34+Лист3!B33+Лист4!B33+Лист5!B32+Лист6!B32+Лист7!B35+Лист8!B33+Лист9!B36+Лист10!B32</f>
        <v>4513000</v>
      </c>
      <c r="C38" s="200">
        <f>Лист1!C45+Лист2!C34+Лист3!C33+Лист4!C33+Лист5!C32+Лист6!C32+Лист7!C35+Лист8!C33+Лист9!C36+Лист10!C32</f>
        <v>629300</v>
      </c>
      <c r="D38" s="208">
        <f>IF(B38=0,"   ",C38/B38*100)</f>
        <v>13.94416131176601</v>
      </c>
      <c r="E38" s="209">
        <f>C38-B38</f>
        <v>-3883700</v>
      </c>
    </row>
    <row r="39" spans="1:5" ht="15">
      <c r="A39" s="216" t="s">
        <v>116</v>
      </c>
      <c r="B39" s="200">
        <f>B45+B44+B41+B42+B43</f>
        <v>35622100</v>
      </c>
      <c r="C39" s="200">
        <f>C45+C44+C41+C42+C43</f>
        <v>4783712.140000001</v>
      </c>
      <c r="D39" s="208">
        <f>IF(B39=0,"   ",C39/B39*100)</f>
        <v>13.429057074119719</v>
      </c>
      <c r="E39" s="209">
        <f t="shared" si="1"/>
        <v>-30838387.86</v>
      </c>
    </row>
    <row r="40" spans="1:5" ht="15">
      <c r="A40" s="207" t="s">
        <v>117</v>
      </c>
      <c r="B40" s="200"/>
      <c r="C40" s="200"/>
      <c r="D40" s="208"/>
      <c r="E40" s="209"/>
    </row>
    <row r="41" spans="1:5" ht="33" customHeight="1">
      <c r="A41" s="16" t="s">
        <v>292</v>
      </c>
      <c r="B41" s="211">
        <f>Лист2!B43</f>
        <v>13975400</v>
      </c>
      <c r="C41" s="211">
        <f>Лист2!C43</f>
        <v>0</v>
      </c>
      <c r="D41" s="208">
        <f>IF(B41=0,"   ",C41/B41*100)</f>
        <v>0</v>
      </c>
      <c r="E41" s="209">
        <f>C41-B41</f>
        <v>-13975400</v>
      </c>
    </row>
    <row r="42" spans="1:5" ht="45" customHeight="1">
      <c r="A42" s="210" t="s">
        <v>201</v>
      </c>
      <c r="B42" s="196">
        <v>0</v>
      </c>
      <c r="C42" s="196">
        <v>0</v>
      </c>
      <c r="D42" s="198" t="str">
        <f>IF(B42=0,"   ",C42/B42)</f>
        <v>   </v>
      </c>
      <c r="E42" s="199">
        <f>C42-B42</f>
        <v>0</v>
      </c>
    </row>
    <row r="43" spans="1:5" ht="90" customHeight="1">
      <c r="A43" s="16" t="s">
        <v>291</v>
      </c>
      <c r="B43" s="211">
        <f>Лист1!B52+Лист2!B42+Лист3!B40+Лист4!B39+Лист5!B37+Лист6!B37+Лист7!B42+Лист8!B40+Лист9!B41+Лист10!B37</f>
        <v>13879900</v>
      </c>
      <c r="C43" s="211">
        <f>Лист1!C52+Лист2!C42+Лист3!C40+Лист4!C39+Лист5!C37+Лист6!C37+Лист7!C42+Лист8!C40+Лист9!C41+Лист10!C37</f>
        <v>2180486</v>
      </c>
      <c r="D43" s="208">
        <f>IF(B43=0,"   ",C43/B43*100)</f>
        <v>15.709666496156313</v>
      </c>
      <c r="E43" s="209">
        <f>C43-B43</f>
        <v>-11699414</v>
      </c>
    </row>
    <row r="44" spans="1:5" ht="98.25" customHeight="1">
      <c r="A44" s="16" t="s">
        <v>293</v>
      </c>
      <c r="B44" s="211">
        <f>Лист7!B43</f>
        <v>1594900</v>
      </c>
      <c r="C44" s="211">
        <f>Лист7!C43</f>
        <v>0</v>
      </c>
      <c r="D44" s="208">
        <f>IF(B44=0,"   ",C44/B44*100)</f>
        <v>0</v>
      </c>
      <c r="E44" s="209">
        <f>C44-B44</f>
        <v>-1594900</v>
      </c>
    </row>
    <row r="45" spans="1:5" ht="15">
      <c r="A45" s="210" t="s">
        <v>107</v>
      </c>
      <c r="B45" s="211">
        <f>B49+B48+B47</f>
        <v>6171900</v>
      </c>
      <c r="C45" s="211">
        <f>C49+C48+C47</f>
        <v>2603226.14</v>
      </c>
      <c r="D45" s="208">
        <f>IF(B45=0,"   ",C45/B45*100)</f>
        <v>42.178683063562275</v>
      </c>
      <c r="E45" s="209">
        <f>C45-B45</f>
        <v>-3568673.86</v>
      </c>
    </row>
    <row r="46" spans="1:5" ht="15">
      <c r="A46" s="210" t="s">
        <v>118</v>
      </c>
      <c r="B46" s="211"/>
      <c r="C46" s="211"/>
      <c r="D46" s="208"/>
      <c r="E46" s="209"/>
    </row>
    <row r="47" spans="1:5" ht="45">
      <c r="A47" s="210" t="s">
        <v>259</v>
      </c>
      <c r="B47" s="211">
        <v>0</v>
      </c>
      <c r="C47" s="211">
        <v>0</v>
      </c>
      <c r="D47" s="208" t="str">
        <f>IF(B47=0,"   ",C47/B47*100)</f>
        <v>   </v>
      </c>
      <c r="E47" s="209">
        <f>C47-B47</f>
        <v>0</v>
      </c>
    </row>
    <row r="48" spans="1:5" ht="51.75" customHeight="1">
      <c r="A48" s="210" t="s">
        <v>258</v>
      </c>
      <c r="B48" s="211">
        <f>Лист1!B54+Лист2!B45+Лист3!B42+Лист4!B41+Лист5!B40+Лист6!B40+Лист7!B45+Лист8!B42+Лист9!B43+Лист10!B39</f>
        <v>6171900</v>
      </c>
      <c r="C48" s="211">
        <f>Лист1!C54+Лист2!C45+Лист3!C42+Лист4!C41+Лист5!C40+Лист6!C40+Лист7!C45+Лист8!C42+Лист9!C43+Лист10!C39</f>
        <v>2603226.14</v>
      </c>
      <c r="D48" s="208">
        <f>IF(B48=0,"   ",C48/B48*100)</f>
        <v>42.178683063562275</v>
      </c>
      <c r="E48" s="209">
        <f>C48-B48</f>
        <v>-3568673.86</v>
      </c>
    </row>
    <row r="49" spans="1:5" s="66" customFormat="1" ht="40.5" customHeight="1">
      <c r="A49" s="210" t="s">
        <v>119</v>
      </c>
      <c r="B49" s="211">
        <v>0</v>
      </c>
      <c r="C49" s="211">
        <v>0</v>
      </c>
      <c r="D49" s="208" t="str">
        <f>IF(B49=0,"   ",C49/B49*100)</f>
        <v>   </v>
      </c>
      <c r="E49" s="209">
        <f>C49-B49</f>
        <v>0</v>
      </c>
    </row>
    <row r="50" spans="1:5" s="66" customFormat="1" ht="15">
      <c r="A50" s="216" t="s">
        <v>19</v>
      </c>
      <c r="B50" s="211">
        <f>B52+B53</f>
        <v>1302900</v>
      </c>
      <c r="C50" s="211">
        <f>C52+C53</f>
        <v>659629.8</v>
      </c>
      <c r="D50" s="208">
        <f>IF(B50=0,"   ",C50/B50*100)</f>
        <v>50.62781487451071</v>
      </c>
      <c r="E50" s="209">
        <f>C50-B50</f>
        <v>-643270.2</v>
      </c>
    </row>
    <row r="51" spans="1:5" ht="15">
      <c r="A51" s="207" t="s">
        <v>117</v>
      </c>
      <c r="B51" s="200"/>
      <c r="C51" s="200"/>
      <c r="D51" s="208"/>
      <c r="E51" s="209"/>
    </row>
    <row r="52" spans="1:5" ht="58.5" customHeight="1">
      <c r="A52" s="217" t="s">
        <v>51</v>
      </c>
      <c r="B52" s="218">
        <f>Лист1!B46+Лист2!B36+Лист3!B34+Лист4!B34+Лист5!B33+Лист6!B33+Лист7!B36+Лист8!B34+Лист9!B37+Лист10!B33</f>
        <v>1259300</v>
      </c>
      <c r="C52" s="218">
        <f>Лист1!C46+Лист2!C36+Лист3!C34+Лист4!C34+Лист5!C33+Лист6!C33+Лист7!C36+Лист8!C34+Лист9!C37+Лист10!C33</f>
        <v>642000</v>
      </c>
      <c r="D52" s="219">
        <f>IF(B52=0,"   ",C52/B52*100)</f>
        <v>50.980703565472886</v>
      </c>
      <c r="E52" s="220">
        <f>C52-B52</f>
        <v>-617300</v>
      </c>
    </row>
    <row r="53" spans="1:5" ht="45" customHeight="1">
      <c r="A53" s="217" t="s">
        <v>155</v>
      </c>
      <c r="B53" s="218">
        <f>Лист1!B47+Лист2!B37+Лист3!B35+Лист4!B35+Лист5!B34+Лист6!B34+Лист7!B37+Лист8!B35+Лист9!B38+Лист10!B34</f>
        <v>43600</v>
      </c>
      <c r="C53" s="218">
        <f>Лист1!C47+Лист2!C37+Лист3!C35+Лист4!C35+Лист5!C34+Лист6!C34+Лист7!C37+Лист8!C35+Лист9!C38+Лист10!C34</f>
        <v>17629.8</v>
      </c>
      <c r="D53" s="219">
        <f>IF(B53=0,"   ",C53/B53*100)</f>
        <v>40.435321100917434</v>
      </c>
      <c r="E53" s="220">
        <f>C53-B53</f>
        <v>-25970.2</v>
      </c>
    </row>
    <row r="54" spans="1:5" ht="27.75" customHeight="1">
      <c r="A54" s="217" t="s">
        <v>174</v>
      </c>
      <c r="B54" s="218">
        <f>Лист1!B48+Лист2!B38+Лист3!B36+Лист4!B36+Лист5!B35+Лист6!B35+Лист7!B38+Лист8!B36+Лист9!B39+Лист10!B35</f>
        <v>3000</v>
      </c>
      <c r="C54" s="218">
        <f>Лист1!C48+Лист2!C38+Лист3!C36+Лист4!C36+Лист5!C35+Лист6!C35+Лист7!C38+Лист8!C36+Лист9!C39+Лист10!C35</f>
        <v>1500</v>
      </c>
      <c r="D54" s="219">
        <f>IF(B54=0,"   ",C54/B54*100)</f>
        <v>50</v>
      </c>
      <c r="E54" s="220">
        <f>C54-B54</f>
        <v>-1500</v>
      </c>
    </row>
    <row r="55" spans="1:5" ht="39.75" customHeight="1">
      <c r="A55" s="217" t="s">
        <v>175</v>
      </c>
      <c r="B55" s="218">
        <f>Лист1!B49+Лист2!B39+Лист3!B37+Лист4!B37+Лист5!B36+Лист6!B36+Лист7!B39+Лист8!B37+Лист9!B40+Лист10!B36</f>
        <v>40600</v>
      </c>
      <c r="C55" s="218">
        <f>Лист1!C49+Лист2!C39+Лист3!C37+Лист4!C37+Лист5!C36+Лист6!C36+Лист7!C39+Лист8!C37+Лист9!C40+Лист10!C36</f>
        <v>16129.8</v>
      </c>
      <c r="D55" s="219">
        <f>IF(B55=0,"   ",C55/B55*100)</f>
        <v>39.72857142857143</v>
      </c>
      <c r="E55" s="220">
        <f>C55-B55</f>
        <v>-24470.2</v>
      </c>
    </row>
    <row r="56" spans="1:5" ht="15">
      <c r="A56" s="216" t="s">
        <v>120</v>
      </c>
      <c r="B56" s="211">
        <f>B58+B60+B59</f>
        <v>6805686.46</v>
      </c>
      <c r="C56" s="211">
        <f>C58+C60+C59</f>
        <v>0</v>
      </c>
      <c r="D56" s="208">
        <f>IF(B56=0,"   ",C56/B56*100)</f>
        <v>0</v>
      </c>
      <c r="E56" s="209">
        <f t="shared" si="1"/>
        <v>-6805686.46</v>
      </c>
    </row>
    <row r="57" spans="1:5" ht="15">
      <c r="A57" s="207" t="s">
        <v>117</v>
      </c>
      <c r="B57" s="200"/>
      <c r="C57" s="200"/>
      <c r="D57" s="208"/>
      <c r="E57" s="209"/>
    </row>
    <row r="58" spans="1:5" ht="75" customHeight="1">
      <c r="A58" s="210" t="s">
        <v>90</v>
      </c>
      <c r="B58" s="218">
        <f>Лист1!B50+Лист2!B40+Лист3!B38+Лист4!B38+Лист5!B41+Лист6!B42+Лист7!B40+Лист8!B38+Лист9!B45+Лист10!B42</f>
        <v>0</v>
      </c>
      <c r="C58" s="218">
        <f>Лист1!C50+Лист2!C40+Лист3!C38+Лист4!C38+Лист5!C41+Лист6!C42+Лист7!C40+Лист8!C38+Лист9!C45+Лист10!C42</f>
        <v>0</v>
      </c>
      <c r="D58" s="208" t="str">
        <f aca="true" t="shared" si="2" ref="D58:D87">IF(B58=0,"   ",C58/B58*100)</f>
        <v>   </v>
      </c>
      <c r="E58" s="209">
        <f>C58-B58</f>
        <v>0</v>
      </c>
    </row>
    <row r="59" spans="1:5" ht="89.25" customHeight="1">
      <c r="A59" s="210" t="s">
        <v>257</v>
      </c>
      <c r="B59" s="196">
        <f>Лист7!B41</f>
        <v>6805686.46</v>
      </c>
      <c r="C59" s="196">
        <f>Лист7!C41</f>
        <v>0</v>
      </c>
      <c r="D59" s="208">
        <f>IF(B59=0,"   ",C59/B59*100)</f>
        <v>0</v>
      </c>
      <c r="E59" s="209">
        <f>C59-B59</f>
        <v>-6805686.46</v>
      </c>
    </row>
    <row r="60" spans="1:5" ht="27.75" customHeight="1">
      <c r="A60" s="210" t="s">
        <v>182</v>
      </c>
      <c r="B60" s="218">
        <f>Лист1!B51+Лист2!B41+Лист3!B39+Лист6!B41+Лист8!B39+Лист10!B41</f>
        <v>0</v>
      </c>
      <c r="C60" s="218">
        <f>Лист1!C51+Лист2!C41+Лист3!C39+Лист6!C41+Лист8!C39+Лист10!C41</f>
        <v>0</v>
      </c>
      <c r="D60" s="208" t="str">
        <f t="shared" si="2"/>
        <v>   </v>
      </c>
      <c r="E60" s="209">
        <f>C60-B60</f>
        <v>0</v>
      </c>
    </row>
    <row r="61" spans="1:5" ht="21" customHeight="1">
      <c r="A61" s="212" t="s">
        <v>209</v>
      </c>
      <c r="B61" s="211">
        <f>Лист1!B56+Лист2!B47+Лист3!B43+Лист4!B43+Лист5!B42+Лист6!B43+Лист7!B47+Лист8!B44+Лист9!B46+Лист10!B43</f>
        <v>1414674.9</v>
      </c>
      <c r="C61" s="211">
        <f>Лист1!C56+Лист2!C47+Лист3!C43+Лист4!C43+Лист5!C42+Лист6!C43+Лист7!C47+Лист8!C44+Лист9!C46+Лист10!C43</f>
        <v>838791.25</v>
      </c>
      <c r="D61" s="208">
        <f>IF(B61=0,"   ",C61/B61*100)</f>
        <v>59.292156098903014</v>
      </c>
      <c r="E61" s="209">
        <f>C61-B61</f>
        <v>-575883.6499999999</v>
      </c>
    </row>
    <row r="62" spans="1:5" ht="14.25">
      <c r="A62" s="212" t="s">
        <v>105</v>
      </c>
      <c r="B62" s="213">
        <f>B37+B39+B50+B56+B61+B38</f>
        <v>65933361.36</v>
      </c>
      <c r="C62" s="213">
        <f>C37+C39+C50+C56+C61+C38</f>
        <v>15049133.190000001</v>
      </c>
      <c r="D62" s="214">
        <f t="shared" si="2"/>
        <v>22.8247625778259</v>
      </c>
      <c r="E62" s="215">
        <f aca="true" t="shared" si="3" ref="E62:E100">C62-B62</f>
        <v>-50884228.17</v>
      </c>
    </row>
    <row r="63" spans="1:5" ht="23.25" customHeight="1">
      <c r="A63" s="212" t="s">
        <v>11</v>
      </c>
      <c r="B63" s="213">
        <f>B36+B62</f>
        <v>94900661.36</v>
      </c>
      <c r="C63" s="213">
        <f>C36+C62</f>
        <v>25755097.14</v>
      </c>
      <c r="D63" s="214">
        <f t="shared" si="2"/>
        <v>27.139007011025534</v>
      </c>
      <c r="E63" s="215">
        <f t="shared" si="3"/>
        <v>-69145564.22</v>
      </c>
    </row>
    <row r="64" spans="1:5" ht="29.25" hidden="1">
      <c r="A64" s="212" t="s">
        <v>48</v>
      </c>
      <c r="B64" s="211"/>
      <c r="C64" s="211"/>
      <c r="D64" s="208" t="str">
        <f t="shared" si="2"/>
        <v>   </v>
      </c>
      <c r="E64" s="209">
        <f t="shared" si="3"/>
        <v>0</v>
      </c>
    </row>
    <row r="65" spans="1:5" ht="15">
      <c r="A65" s="221" t="s">
        <v>12</v>
      </c>
      <c r="B65" s="222"/>
      <c r="C65" s="223"/>
      <c r="D65" s="208" t="str">
        <f t="shared" si="2"/>
        <v>   </v>
      </c>
      <c r="E65" s="209"/>
    </row>
    <row r="66" spans="1:5" ht="15">
      <c r="A66" s="210" t="s">
        <v>35</v>
      </c>
      <c r="B66" s="211">
        <f>Лист1!B59+Лист2!B51+Лист3!B46+Лист4!B46+Лист5!B46+Лист6!B46+Лист7!B51+Лист8!B47+Лист9!B49+Лист10!B47</f>
        <v>13476200</v>
      </c>
      <c r="C66" s="211">
        <f>Лист1!C59+Лист2!C51+Лист3!C46+Лист4!C46+Лист5!C46+Лист6!C46+Лист7!C51+Лист8!C47+Лист9!C49+Лист10!C47</f>
        <v>5419114.8</v>
      </c>
      <c r="D66" s="208">
        <f t="shared" si="2"/>
        <v>40.212484231459904</v>
      </c>
      <c r="E66" s="209">
        <f t="shared" si="3"/>
        <v>-8057085.2</v>
      </c>
    </row>
    <row r="67" spans="1:5" ht="13.5" customHeight="1">
      <c r="A67" s="210" t="s">
        <v>36</v>
      </c>
      <c r="B67" s="211">
        <f>Лист1!B60+Лист2!B52+Лист3!B47+Лист4!B47+Лист5!B47+Лист6!B47+Лист7!B52+Лист8!B48+Лист9!B50+Лист10!B48</f>
        <v>13142400</v>
      </c>
      <c r="C67" s="211">
        <f>Лист1!C60+Лист2!C52+Лист3!C47+Лист4!C47+Лист5!C47+Лист6!C47+Лист7!C52+Лист8!C48+Лист9!C50+Лист10!C48</f>
        <v>5195334.8</v>
      </c>
      <c r="D67" s="208">
        <f t="shared" si="2"/>
        <v>39.5310962990017</v>
      </c>
      <c r="E67" s="209">
        <f t="shared" si="3"/>
        <v>-7947065.2</v>
      </c>
    </row>
    <row r="68" spans="1:5" ht="15">
      <c r="A68" s="210" t="s">
        <v>122</v>
      </c>
      <c r="B68" s="211">
        <f>Лист1!B61+Лист2!B53+Лист3!B48+Лист4!B48+Лист5!B48+Лист6!B48+Лист7!B53+Лист8!B49+Лист9!B51+Лист10!B49</f>
        <v>8054214</v>
      </c>
      <c r="C68" s="211">
        <f>Лист1!C61+Лист2!C53+Лист3!C48+Лист4!C48+Лист5!C48+Лист6!C48+Лист7!C53+Лист8!C49+Лист9!C51+Лист10!C49</f>
        <v>3575853.4400000004</v>
      </c>
      <c r="D68" s="208">
        <f t="shared" si="2"/>
        <v>44.39729860666727</v>
      </c>
      <c r="E68" s="209">
        <f t="shared" si="3"/>
        <v>-4478360.56</v>
      </c>
    </row>
    <row r="69" spans="1:5" ht="15">
      <c r="A69" s="210" t="s">
        <v>96</v>
      </c>
      <c r="B69" s="211">
        <f>Лист1!B62+Лист2!B54+Лист3!B49+Лист4!B49+Лист5!B49+Лист6!B49+Лист7!B54+Лист8!B50+Лист9!B52+Лист10!B50</f>
        <v>14500</v>
      </c>
      <c r="C69" s="211">
        <f>Лист1!C62+Лист2!C54+Лист3!C49+Лист4!C49+Лист5!C49+Лист6!C49+Лист7!C54+Лист8!C50+Лист9!C52+Лист10!C50</f>
        <v>0</v>
      </c>
      <c r="D69" s="208">
        <f t="shared" si="2"/>
        <v>0</v>
      </c>
      <c r="E69" s="209">
        <f t="shared" si="3"/>
        <v>-14500</v>
      </c>
    </row>
    <row r="70" spans="1:5" ht="15">
      <c r="A70" s="210" t="s">
        <v>52</v>
      </c>
      <c r="B70" s="197">
        <f>B72+B73+B74+B71</f>
        <v>319300</v>
      </c>
      <c r="C70" s="197">
        <f>C72+C73+C74+C71</f>
        <v>223780</v>
      </c>
      <c r="D70" s="208">
        <f t="shared" si="2"/>
        <v>70.0845599749452</v>
      </c>
      <c r="E70" s="209">
        <f t="shared" si="3"/>
        <v>-95520</v>
      </c>
    </row>
    <row r="71" spans="1:5" ht="30">
      <c r="A71" s="224" t="s">
        <v>314</v>
      </c>
      <c r="B71" s="211">
        <f>Лист7!B57</f>
        <v>2000</v>
      </c>
      <c r="C71" s="211">
        <f>Лист7!C57</f>
        <v>0</v>
      </c>
      <c r="D71" s="208">
        <f>IF(B71=0,"   ",C71/B71*100)</f>
        <v>0</v>
      </c>
      <c r="E71" s="209">
        <f>C71-B71</f>
        <v>-2000</v>
      </c>
    </row>
    <row r="72" spans="1:5" ht="26.25" customHeight="1">
      <c r="A72" s="224" t="s">
        <v>261</v>
      </c>
      <c r="B72" s="211">
        <f>Лист3!B52</f>
        <v>100000</v>
      </c>
      <c r="C72" s="211">
        <f>Лист3!C52</f>
        <v>100000</v>
      </c>
      <c r="D72" s="208">
        <f t="shared" si="2"/>
        <v>100</v>
      </c>
      <c r="E72" s="209">
        <f>C72-B72</f>
        <v>0</v>
      </c>
    </row>
    <row r="73" spans="1:5" ht="33" customHeight="1">
      <c r="A73" s="113" t="s">
        <v>289</v>
      </c>
      <c r="B73" s="211">
        <f>Лист4!B51</f>
        <v>17300</v>
      </c>
      <c r="C73" s="211">
        <f>Лист4!C51</f>
        <v>17300</v>
      </c>
      <c r="D73" s="208">
        <f t="shared" si="2"/>
        <v>100</v>
      </c>
      <c r="E73" s="209">
        <f>C73-B73</f>
        <v>0</v>
      </c>
    </row>
    <row r="74" spans="1:5" ht="55.5" customHeight="1">
      <c r="A74" s="224" t="s">
        <v>285</v>
      </c>
      <c r="B74" s="211">
        <f>Лист7!B58</f>
        <v>200000</v>
      </c>
      <c r="C74" s="211">
        <f>Лист7!C58+Лист2!C56</f>
        <v>106480</v>
      </c>
      <c r="D74" s="211">
        <f>Лист7!D58</f>
        <v>53.239999999999995</v>
      </c>
      <c r="E74" s="209">
        <f>C74-B74</f>
        <v>-93520</v>
      </c>
    </row>
    <row r="75" spans="1:5" ht="15">
      <c r="A75" s="210" t="s">
        <v>49</v>
      </c>
      <c r="B75" s="197">
        <f>SUM(B76)</f>
        <v>1259300</v>
      </c>
      <c r="C75" s="197">
        <f>SUM(C76)</f>
        <v>559764.48</v>
      </c>
      <c r="D75" s="208">
        <f t="shared" si="2"/>
        <v>44.450447073771144</v>
      </c>
      <c r="E75" s="209">
        <f t="shared" si="3"/>
        <v>-699535.52</v>
      </c>
    </row>
    <row r="76" spans="1:5" ht="33" customHeight="1">
      <c r="A76" s="210" t="s">
        <v>108</v>
      </c>
      <c r="B76" s="211">
        <f>Лист1!B67+Лист2!B58+Лист3!B54+Лист4!B54+Лист5!B54+Лист6!B53+Лист7!B61+Лист8!B54+Лист9!B58+Лист10!B54</f>
        <v>1259300</v>
      </c>
      <c r="C76" s="211">
        <f>Лист1!C67+Лист2!C58+Лист3!C54+Лист4!C54+Лист5!C54+Лист6!C53+Лист7!C61+Лист8!C54+Лист9!C58+Лист10!C54</f>
        <v>559764.48</v>
      </c>
      <c r="D76" s="208">
        <f t="shared" si="2"/>
        <v>44.450447073771144</v>
      </c>
      <c r="E76" s="209">
        <f t="shared" si="3"/>
        <v>-699535.52</v>
      </c>
    </row>
    <row r="77" spans="1:5" ht="30">
      <c r="A77" s="210" t="s">
        <v>37</v>
      </c>
      <c r="B77" s="211">
        <f>Лист1!B68+Лист2!B59+Лист3!B55+Лист4!B55+Лист5!B55+Лист6!B54+Лист7!B62+Лист8!B55+Лист9!B59+Лист10!B55</f>
        <v>1025100</v>
      </c>
      <c r="C77" s="211">
        <f>Лист1!C68+Лист2!C59+Лист3!C55+Лист4!C55+Лист5!C55+Лист6!C54+Лист7!C62+Лист8!C55+Лист9!C59+Лист10!C55</f>
        <v>430487.43</v>
      </c>
      <c r="D77" s="208">
        <f t="shared" si="2"/>
        <v>41.99467661691542</v>
      </c>
      <c r="E77" s="209">
        <f t="shared" si="3"/>
        <v>-594612.5700000001</v>
      </c>
    </row>
    <row r="78" spans="1:5" ht="45" customHeight="1">
      <c r="A78" s="210" t="s">
        <v>87</v>
      </c>
      <c r="B78" s="197">
        <f>Лист7!B63</f>
        <v>940500</v>
      </c>
      <c r="C78" s="197">
        <f>Лист7!C63</f>
        <v>366087.43</v>
      </c>
      <c r="D78" s="208">
        <f t="shared" si="2"/>
        <v>38.92476661350345</v>
      </c>
      <c r="E78" s="209">
        <f t="shared" si="3"/>
        <v>-574412.5700000001</v>
      </c>
    </row>
    <row r="79" spans="1:5" ht="18.75" customHeight="1">
      <c r="A79" s="210" t="s">
        <v>97</v>
      </c>
      <c r="B79" s="211">
        <f>Лист7!B64</f>
        <v>940500</v>
      </c>
      <c r="C79" s="211">
        <f>Лист7!C64</f>
        <v>366087.43</v>
      </c>
      <c r="D79" s="208">
        <f t="shared" si="2"/>
        <v>38.92476661350345</v>
      </c>
      <c r="E79" s="209">
        <f t="shared" si="3"/>
        <v>-574412.5700000001</v>
      </c>
    </row>
    <row r="80" spans="1:5" ht="15.75" customHeight="1">
      <c r="A80" s="210" t="s">
        <v>122</v>
      </c>
      <c r="B80" s="211">
        <f>Лист7!B65</f>
        <v>660215</v>
      </c>
      <c r="C80" s="211">
        <f>Лист7!C65</f>
        <v>263536.29</v>
      </c>
      <c r="D80" s="208">
        <f t="shared" si="2"/>
        <v>39.91673772937603</v>
      </c>
      <c r="E80" s="209">
        <f t="shared" si="3"/>
        <v>-396678.71</v>
      </c>
    </row>
    <row r="81" spans="1:5" ht="15">
      <c r="A81" s="210" t="s">
        <v>98</v>
      </c>
      <c r="B81" s="211">
        <f>Лист1!B69+Лист2!B60+Лист3!B56+Лист4!B56+Лист5!B56+Лист6!B55+Лист7!B66+Лист8!B56+Лист9!B60+Лист10!B56</f>
        <v>84600</v>
      </c>
      <c r="C81" s="211">
        <f>Лист1!C69+Лист2!C60+Лист3!C56+Лист4!C56+Лист5!C56+Лист6!C55+Лист7!C66+Лист8!C56+Лист9!C60+Лист10!C56</f>
        <v>64400</v>
      </c>
      <c r="D81" s="208">
        <f t="shared" si="2"/>
        <v>76.12293144208037</v>
      </c>
      <c r="E81" s="209">
        <f t="shared" si="3"/>
        <v>-20200</v>
      </c>
    </row>
    <row r="82" spans="1:5" ht="15">
      <c r="A82" s="210" t="s">
        <v>38</v>
      </c>
      <c r="B82" s="197">
        <f>B90+B85+B105+B88+B83</f>
        <v>22303300</v>
      </c>
      <c r="C82" s="197">
        <f>C90+C85+C105+C88+C83</f>
        <v>3983289.5799999996</v>
      </c>
      <c r="D82" s="208">
        <f t="shared" si="2"/>
        <v>17.859642205413547</v>
      </c>
      <c r="E82" s="209">
        <f t="shared" si="3"/>
        <v>-18320010.42</v>
      </c>
    </row>
    <row r="83" spans="1:5" ht="15">
      <c r="A83" s="286" t="s">
        <v>312</v>
      </c>
      <c r="B83" s="197">
        <f>B84</f>
        <v>260400</v>
      </c>
      <c r="C83" s="197">
        <f>C84</f>
        <v>203737.98</v>
      </c>
      <c r="D83" s="208">
        <f>IF(B83=0,"   ",C83/B83*100)</f>
        <v>78.24039170506913</v>
      </c>
      <c r="E83" s="209">
        <f t="shared" si="3"/>
        <v>-56662.01999999999</v>
      </c>
    </row>
    <row r="84" spans="1:5" ht="26.25">
      <c r="A84" s="135" t="s">
        <v>313</v>
      </c>
      <c r="B84" s="197">
        <f>Лист7!B69</f>
        <v>260400</v>
      </c>
      <c r="C84" s="197">
        <f>Лист7!C69</f>
        <v>203737.98</v>
      </c>
      <c r="D84" s="208">
        <f>IF(B84=0,"   ",C84/B84*100)</f>
        <v>78.24039170506913</v>
      </c>
      <c r="E84" s="209">
        <f t="shared" si="3"/>
        <v>-56662.01999999999</v>
      </c>
    </row>
    <row r="85" spans="1:5" ht="15.75" customHeight="1">
      <c r="A85" s="225" t="s">
        <v>194</v>
      </c>
      <c r="B85" s="197">
        <f>B87+B86</f>
        <v>100600</v>
      </c>
      <c r="C85" s="197">
        <f>C87+C86</f>
        <v>46109.34</v>
      </c>
      <c r="D85" s="208">
        <f t="shared" si="2"/>
        <v>45.83433399602385</v>
      </c>
      <c r="E85" s="209">
        <f>C85-B85</f>
        <v>-54490.66</v>
      </c>
    </row>
    <row r="86" spans="1:5" ht="30" customHeight="1">
      <c r="A86" s="226" t="s">
        <v>181</v>
      </c>
      <c r="B86" s="197">
        <f>Лист10!B59+Лист7!B71+Лист2!B64+Лист6!B59+Лист1!B73+Лист3!B60+Лист4!B60+Лист5!B60+Лист8!B60+Лист9!B64</f>
        <v>60000</v>
      </c>
      <c r="C86" s="197">
        <f>Лист10!C59+Лист7!C71+Лист2!C64+Лист6!C59+Лист1!C73+Лист3!C60+Лист4!C60+Лист5!C60+Лист8!C60+Лист9!C64</f>
        <v>39009.34</v>
      </c>
      <c r="D86" s="208">
        <f t="shared" si="2"/>
        <v>65.01556666666666</v>
      </c>
      <c r="E86" s="209">
        <f>C86-B86</f>
        <v>-20990.660000000003</v>
      </c>
    </row>
    <row r="87" spans="1:5" ht="30">
      <c r="A87" s="227" t="s">
        <v>177</v>
      </c>
      <c r="B87" s="197">
        <f>Лист1!B72+Лист2!B63+Лист3!B59+Лист4!B59+Лист5!B59+Лист6!B58+Лист7!B72+Лист8!B59+Лист9!B63+Лист10!B60</f>
        <v>40600</v>
      </c>
      <c r="C87" s="197">
        <f>Лист1!C72+Лист2!C63+Лист3!C59+Лист4!C59+Лист5!C59+Лист6!C58+Лист7!C72+Лист8!C59+Лист9!C63+Лист10!C60</f>
        <v>7100</v>
      </c>
      <c r="D87" s="208">
        <f t="shared" si="2"/>
        <v>17.48768472906404</v>
      </c>
      <c r="E87" s="209">
        <f>C87-B87</f>
        <v>-33500</v>
      </c>
    </row>
    <row r="88" spans="1:5" ht="15">
      <c r="A88" s="284" t="s">
        <v>278</v>
      </c>
      <c r="B88" s="197">
        <f>B89</f>
        <v>0</v>
      </c>
      <c r="C88" s="197">
        <f>C89</f>
        <v>0</v>
      </c>
      <c r="D88" s="208" t="str">
        <f>IF(B88=0,"   ",C88/B88*100)</f>
        <v>   </v>
      </c>
      <c r="E88" s="209">
        <f>C88-B88</f>
        <v>0</v>
      </c>
    </row>
    <row r="89" spans="1:5" ht="30">
      <c r="A89" s="226" t="s">
        <v>275</v>
      </c>
      <c r="B89" s="197">
        <f>Лист7!B74</f>
        <v>0</v>
      </c>
      <c r="C89" s="197">
        <f>Лист7!C74</f>
        <v>0</v>
      </c>
      <c r="D89" s="208" t="str">
        <f>IF(B89=0,"   ",C89/B89*100)</f>
        <v>   </v>
      </c>
      <c r="E89" s="209">
        <f>C89-B89</f>
        <v>0</v>
      </c>
    </row>
    <row r="90" spans="1:5" ht="15">
      <c r="A90" s="228" t="s">
        <v>134</v>
      </c>
      <c r="B90" s="197">
        <f>B91+B98+B100+B102+B101+B95+B96+B99+B104+B103+B97</f>
        <v>21805300</v>
      </c>
      <c r="C90" s="197">
        <f>C91+C98+C100+C102+C101+C95+C96+C99+C104+C103+C97</f>
        <v>3719942.26</v>
      </c>
      <c r="D90" s="208">
        <f aca="true" t="shared" si="4" ref="D90:D111">IF(B90=0,"   ",C90/B90*100)</f>
        <v>17.05980775316093</v>
      </c>
      <c r="E90" s="209">
        <f t="shared" si="3"/>
        <v>-18085357.740000002</v>
      </c>
    </row>
    <row r="91" spans="1:5" ht="30">
      <c r="A91" s="224" t="s">
        <v>237</v>
      </c>
      <c r="B91" s="197">
        <f>B93+B92+B94</f>
        <v>0</v>
      </c>
      <c r="C91" s="197">
        <f>C93+C92+C94</f>
        <v>0</v>
      </c>
      <c r="D91" s="208" t="str">
        <f>IF(B91=0,"   ",C91/B91*100)</f>
        <v>   </v>
      </c>
      <c r="E91" s="209">
        <f>C91-B91</f>
        <v>0</v>
      </c>
    </row>
    <row r="92" spans="1:5" ht="42.75" customHeight="1">
      <c r="A92" s="224" t="s">
        <v>211</v>
      </c>
      <c r="B92" s="197">
        <f>Лист1!B76</f>
        <v>0</v>
      </c>
      <c r="C92" s="197">
        <f>Лист1!C76</f>
        <v>0</v>
      </c>
      <c r="D92" s="208" t="str">
        <f>IF(B92=0,"   ",C92/B92*100)</f>
        <v>   </v>
      </c>
      <c r="E92" s="209">
        <f>C92-B92</f>
        <v>0</v>
      </c>
    </row>
    <row r="93" spans="1:5" ht="45" customHeight="1">
      <c r="A93" s="224" t="s">
        <v>238</v>
      </c>
      <c r="B93" s="197">
        <f>Лист1!B77</f>
        <v>0</v>
      </c>
      <c r="C93" s="197">
        <f>Лист1!C77</f>
        <v>0</v>
      </c>
      <c r="D93" s="208" t="str">
        <f t="shared" si="4"/>
        <v>   </v>
      </c>
      <c r="E93" s="209">
        <f t="shared" si="3"/>
        <v>0</v>
      </c>
    </row>
    <row r="94" spans="1:5" ht="44.25" customHeight="1">
      <c r="A94" s="224" t="s">
        <v>251</v>
      </c>
      <c r="B94" s="197">
        <f>Лист1!B78</f>
        <v>0</v>
      </c>
      <c r="C94" s="197">
        <f>Лист1!C78</f>
        <v>0</v>
      </c>
      <c r="D94" s="208" t="str">
        <f t="shared" si="4"/>
        <v>   </v>
      </c>
      <c r="E94" s="209">
        <f t="shared" si="3"/>
        <v>0</v>
      </c>
    </row>
    <row r="95" spans="1:5" ht="27" customHeight="1">
      <c r="A95" s="226" t="s">
        <v>193</v>
      </c>
      <c r="B95" s="197">
        <f>Лист1!B81+Лист9!B68</f>
        <v>0</v>
      </c>
      <c r="C95" s="197">
        <f>Лист1!C81+Лист9!C68</f>
        <v>0</v>
      </c>
      <c r="D95" s="208" t="str">
        <f t="shared" si="4"/>
        <v>   </v>
      </c>
      <c r="E95" s="209">
        <f t="shared" si="3"/>
        <v>0</v>
      </c>
    </row>
    <row r="96" spans="1:5" ht="27" customHeight="1">
      <c r="A96" s="229" t="s">
        <v>197</v>
      </c>
      <c r="B96" s="197">
        <f>Лист2!B66+Лист3!B63+Лист6!B62+Лист8!B63+Лист10!B62+Лист5!B62+Лист7!B78+Лист4!B62</f>
        <v>574000</v>
      </c>
      <c r="C96" s="197">
        <f>Лист2!C66+Лист3!C63+Лист6!C62+Лист8!C63+Лист10!C62+Лист5!C62+Лист7!C78+Лист4!C62</f>
        <v>125168.83</v>
      </c>
      <c r="D96" s="208">
        <f t="shared" si="4"/>
        <v>21.80641637630662</v>
      </c>
      <c r="E96" s="209">
        <f>C96-B96</f>
        <v>-448831.17</v>
      </c>
    </row>
    <row r="97" spans="1:5" ht="27" customHeight="1">
      <c r="A97" s="226" t="s">
        <v>217</v>
      </c>
      <c r="B97" s="197">
        <f>Лист7!B79</f>
        <v>0</v>
      </c>
      <c r="C97" s="197">
        <f>Лист7!C79</f>
        <v>0</v>
      </c>
      <c r="D97" s="208" t="str">
        <f t="shared" si="4"/>
        <v>   </v>
      </c>
      <c r="E97" s="209">
        <f>C97-B97</f>
        <v>0</v>
      </c>
    </row>
    <row r="98" spans="1:5" ht="46.5" customHeight="1">
      <c r="A98" s="227" t="s">
        <v>135</v>
      </c>
      <c r="B98" s="197">
        <f>Лист1!B82+Лист2!B67+Лист3!B64+Лист4!B63+Лист5!B63+Лист6!B63+Лист7!B80+Лист8!B64+Лист9!B69+Лист10!B63</f>
        <v>13879900</v>
      </c>
      <c r="C98" s="197">
        <f>Лист1!C82+Лист2!C67+Лист3!C64+Лист4!C63+Лист5!C63+Лист6!C63+Лист7!C80+Лист8!C64+Лист9!C69+Лист10!C63</f>
        <v>2180486</v>
      </c>
      <c r="D98" s="208">
        <f t="shared" si="4"/>
        <v>15.709666496156313</v>
      </c>
      <c r="E98" s="209">
        <f t="shared" si="3"/>
        <v>-11699414</v>
      </c>
    </row>
    <row r="99" spans="1:5" ht="47.25" customHeight="1">
      <c r="A99" s="224" t="s">
        <v>188</v>
      </c>
      <c r="B99" s="197">
        <f>Лист3!B65</f>
        <v>0</v>
      </c>
      <c r="C99" s="197">
        <f>Лист3!C65</f>
        <v>0</v>
      </c>
      <c r="D99" s="208" t="str">
        <f t="shared" si="4"/>
        <v>   </v>
      </c>
      <c r="E99" s="209">
        <f>C99-B99</f>
        <v>0</v>
      </c>
    </row>
    <row r="100" spans="1:5" ht="45" customHeight="1">
      <c r="A100" s="224" t="s">
        <v>192</v>
      </c>
      <c r="B100" s="197">
        <f>Лист1!B83+Лист2!B68+Лист3!B66+Лист4!B64+Лист5!B64+Лист6!B64+Лист7!B81+Лист8!B65+Лист9!B70+Лист10!B64</f>
        <v>5515000</v>
      </c>
      <c r="C100" s="197">
        <f>Лист1!C83+Лист2!C68+Лист3!C66+Лист4!C64+Лист5!C64+Лист6!C64+Лист7!C81+Лист8!C65+Лист9!C70+Лист10!C64</f>
        <v>1252090.8</v>
      </c>
      <c r="D100" s="208">
        <f t="shared" si="4"/>
        <v>22.703368993653672</v>
      </c>
      <c r="E100" s="209">
        <f t="shared" si="3"/>
        <v>-4262909.2</v>
      </c>
    </row>
    <row r="101" spans="1:5" ht="42.75" customHeight="1">
      <c r="A101" s="224" t="s">
        <v>206</v>
      </c>
      <c r="B101" s="197">
        <f>Лист7!B82</f>
        <v>1594900</v>
      </c>
      <c r="C101" s="197">
        <f>Лист7!C82</f>
        <v>0</v>
      </c>
      <c r="D101" s="208">
        <f t="shared" si="4"/>
        <v>0</v>
      </c>
      <c r="E101" s="209">
        <f aca="true" t="shared" si="5" ref="E101:E147">C101-B101</f>
        <v>-1594900</v>
      </c>
    </row>
    <row r="102" spans="1:5" ht="30.75" customHeight="1">
      <c r="A102" s="224" t="s">
        <v>179</v>
      </c>
      <c r="B102" s="197">
        <f>Лист7!B83</f>
        <v>241500</v>
      </c>
      <c r="C102" s="197">
        <f>Лист7!C83</f>
        <v>162196.63</v>
      </c>
      <c r="D102" s="208">
        <f t="shared" si="4"/>
        <v>67.16216563146999</v>
      </c>
      <c r="E102" s="209">
        <f t="shared" si="5"/>
        <v>-79303.37</v>
      </c>
    </row>
    <row r="103" spans="1:5" ht="30.75" customHeight="1">
      <c r="A103" s="224" t="s">
        <v>218</v>
      </c>
      <c r="B103" s="197">
        <f>Лист7!B84</f>
        <v>0</v>
      </c>
      <c r="C103" s="197">
        <f>Лист7!C84</f>
        <v>0</v>
      </c>
      <c r="D103" s="208" t="str">
        <f t="shared" si="4"/>
        <v>   </v>
      </c>
      <c r="E103" s="209">
        <f t="shared" si="5"/>
        <v>0</v>
      </c>
    </row>
    <row r="104" spans="1:5" ht="30" customHeight="1">
      <c r="A104" s="224" t="s">
        <v>216</v>
      </c>
      <c r="B104" s="197">
        <v>0</v>
      </c>
      <c r="C104" s="197">
        <v>0</v>
      </c>
      <c r="D104" s="208" t="str">
        <f t="shared" si="4"/>
        <v>   </v>
      </c>
      <c r="E104" s="209">
        <f t="shared" si="5"/>
        <v>0</v>
      </c>
    </row>
    <row r="105" spans="1:5" ht="18.75" customHeight="1">
      <c r="A105" s="228" t="s">
        <v>199</v>
      </c>
      <c r="B105" s="197">
        <f>B106+B107</f>
        <v>137000</v>
      </c>
      <c r="C105" s="197">
        <f>C106+C107</f>
        <v>13500</v>
      </c>
      <c r="D105" s="208">
        <f t="shared" si="4"/>
        <v>9.854014598540147</v>
      </c>
      <c r="E105" s="209">
        <f t="shared" si="5"/>
        <v>-123500</v>
      </c>
    </row>
    <row r="106" spans="1:5" ht="45" customHeight="1">
      <c r="A106" s="226" t="s">
        <v>200</v>
      </c>
      <c r="B106" s="197">
        <f>Лист2!B70+Лист6!B66+Лист8!B67</f>
        <v>137000</v>
      </c>
      <c r="C106" s="197">
        <f>Лист2!C70+Лист6!C66+Лист8!C67</f>
        <v>13500</v>
      </c>
      <c r="D106" s="208">
        <f t="shared" si="4"/>
        <v>9.854014598540147</v>
      </c>
      <c r="E106" s="209">
        <f>C106-B106</f>
        <v>-123500</v>
      </c>
    </row>
    <row r="107" spans="1:5" ht="46.5" customHeight="1">
      <c r="A107" s="226" t="s">
        <v>254</v>
      </c>
      <c r="B107" s="197">
        <f>Лист1!B86</f>
        <v>0</v>
      </c>
      <c r="C107" s="197">
        <f>Лист1!C86</f>
        <v>0</v>
      </c>
      <c r="D107" s="208" t="str">
        <f>IF(B107=0,"   ",C107/B107*100)</f>
        <v>   </v>
      </c>
      <c r="E107" s="209">
        <f>C107-B107</f>
        <v>0</v>
      </c>
    </row>
    <row r="108" spans="1:5" ht="15.75" customHeight="1">
      <c r="A108" s="210" t="s">
        <v>13</v>
      </c>
      <c r="B108" s="211">
        <f>SUM(B109,B112,B121,)</f>
        <v>28195806.06</v>
      </c>
      <c r="C108" s="211">
        <f>SUM(C109,C112,C121,)</f>
        <v>9374826.41</v>
      </c>
      <c r="D108" s="208">
        <f t="shared" si="4"/>
        <v>33.24901011891838</v>
      </c>
      <c r="E108" s="209">
        <f t="shared" si="5"/>
        <v>-18820979.65</v>
      </c>
    </row>
    <row r="109" spans="1:5" ht="14.25" customHeight="1">
      <c r="A109" s="210" t="s">
        <v>14</v>
      </c>
      <c r="B109" s="211">
        <f>SUM(B110:B111)</f>
        <v>400000</v>
      </c>
      <c r="C109" s="211">
        <f>SUM(C110:C111)</f>
        <v>154000</v>
      </c>
      <c r="D109" s="208">
        <f t="shared" si="4"/>
        <v>38.5</v>
      </c>
      <c r="E109" s="209">
        <f t="shared" si="5"/>
        <v>-246000</v>
      </c>
    </row>
    <row r="110" spans="1:5" ht="14.25" customHeight="1">
      <c r="A110" s="210" t="s">
        <v>93</v>
      </c>
      <c r="B110" s="211">
        <f>Лист7!B90+Лист9!B73+Лист1!B91</f>
        <v>400000</v>
      </c>
      <c r="C110" s="211">
        <f>Лист7!C90+Лист9!C73+Лист1!C91</f>
        <v>154000</v>
      </c>
      <c r="D110" s="208">
        <f t="shared" si="4"/>
        <v>38.5</v>
      </c>
      <c r="E110" s="209">
        <f t="shared" si="5"/>
        <v>-246000</v>
      </c>
    </row>
    <row r="111" spans="1:5" ht="21.75" customHeight="1">
      <c r="A111" s="210" t="s">
        <v>205</v>
      </c>
      <c r="B111" s="211">
        <f>Лист7!B91</f>
        <v>0</v>
      </c>
      <c r="C111" s="211">
        <f>Лист7!C91</f>
        <v>0</v>
      </c>
      <c r="D111" s="208" t="str">
        <f t="shared" si="4"/>
        <v>   </v>
      </c>
      <c r="E111" s="209">
        <f>C111-B111</f>
        <v>0</v>
      </c>
    </row>
    <row r="112" spans="1:5" ht="14.25" customHeight="1">
      <c r="A112" s="210" t="s">
        <v>70</v>
      </c>
      <c r="B112" s="211">
        <f>SUM(B113:B114,B118:B120)</f>
        <v>7410720</v>
      </c>
      <c r="C112" s="211">
        <f>SUM(C113:C114,C118:C120)</f>
        <v>1593815.81</v>
      </c>
      <c r="D112" s="208">
        <f aca="true" t="shared" si="6" ref="D112:D154">IF(B112=0,"   ",C112/B112*100)</f>
        <v>21.506895551309455</v>
      </c>
      <c r="E112" s="209">
        <f t="shared" si="5"/>
        <v>-5816904.1899999995</v>
      </c>
    </row>
    <row r="113" spans="1:5" ht="15">
      <c r="A113" s="210" t="s">
        <v>71</v>
      </c>
      <c r="B113" s="211">
        <f>Лист7!B99</f>
        <v>400000</v>
      </c>
      <c r="C113" s="211">
        <f>Лист7!C99</f>
        <v>96466.47</v>
      </c>
      <c r="D113" s="208">
        <f t="shared" si="6"/>
        <v>24.1166175</v>
      </c>
      <c r="E113" s="209">
        <f t="shared" si="5"/>
        <v>-303533.53</v>
      </c>
    </row>
    <row r="114" spans="1:5" ht="30">
      <c r="A114" s="224" t="s">
        <v>237</v>
      </c>
      <c r="B114" s="211">
        <f>SUM(B115:B117)</f>
        <v>6434320</v>
      </c>
      <c r="C114" s="211">
        <f>SUM(C115:C117)</f>
        <v>1491704</v>
      </c>
      <c r="D114" s="208">
        <f t="shared" si="6"/>
        <v>23.183553195986523</v>
      </c>
      <c r="E114" s="209">
        <f t="shared" si="5"/>
        <v>-4942616</v>
      </c>
    </row>
    <row r="115" spans="1:5" ht="44.25" customHeight="1">
      <c r="A115" s="224" t="s">
        <v>247</v>
      </c>
      <c r="B115" s="211">
        <f>Лист2!B75+Лист5!B68+Лист6!B70+Лист7!B96+Лист1!B95+Лист9!B76</f>
        <v>3860530</v>
      </c>
      <c r="C115" s="211">
        <f>Лист2!C75+Лист5!C68+Лист6!C70+Лист7!C96+Лист1!C95+Лист9!C76</f>
        <v>894999.1499999999</v>
      </c>
      <c r="D115" s="208">
        <f>IF(B115=0,"   ",C115/B115*100)</f>
        <v>23.18332327426545</v>
      </c>
      <c r="E115" s="209">
        <f>C115-B115</f>
        <v>-2965530.85</v>
      </c>
    </row>
    <row r="116" spans="1:5" ht="44.25" customHeight="1">
      <c r="A116" s="224" t="s">
        <v>248</v>
      </c>
      <c r="B116" s="211">
        <f>Лист2!B76+Лист5!B69+Лист6!B71+Лист7!B97+Лист1!B96+Лист9!B77</f>
        <v>1756400</v>
      </c>
      <c r="C116" s="211">
        <f>Лист2!C76+Лист5!C69+Лист6!C71+Лист7!C97+Лист1!C96+Лист9!C77</f>
        <v>362213.35</v>
      </c>
      <c r="D116" s="208">
        <f>IF(B116=0,"   ",C116/B116*100)</f>
        <v>20.62248633568663</v>
      </c>
      <c r="E116" s="209">
        <f>C116-B116</f>
        <v>-1394186.65</v>
      </c>
    </row>
    <row r="117" spans="1:5" ht="44.25" customHeight="1">
      <c r="A117" s="224" t="s">
        <v>249</v>
      </c>
      <c r="B117" s="211">
        <f>Лист2!B77+Лист5!B70+Лист6!B72+Лист7!B98+Лист1!B97+Лист9!B78</f>
        <v>817390</v>
      </c>
      <c r="C117" s="211">
        <f>Лист2!C77+Лист5!C70+Лист6!C72+Лист7!C98+Лист1!C97+Лист9!C78</f>
        <v>234491.5</v>
      </c>
      <c r="D117" s="208">
        <f>IF(B117=0,"   ",C117/B117*100)</f>
        <v>28.6878356720782</v>
      </c>
      <c r="E117" s="209">
        <f>C117-B117</f>
        <v>-582898.5</v>
      </c>
    </row>
    <row r="118" spans="1:5" ht="45">
      <c r="A118" s="210" t="s">
        <v>224</v>
      </c>
      <c r="B118" s="211">
        <f>Лист2!B73+Лист7!B93</f>
        <v>286000</v>
      </c>
      <c r="C118" s="211">
        <f>Лист2!C73+Лист7!C93</f>
        <v>0</v>
      </c>
      <c r="D118" s="208">
        <f>IF(B118=0,"   ",C118/B118*100)</f>
        <v>0</v>
      </c>
      <c r="E118" s="209">
        <f>C118-B118</f>
        <v>-286000</v>
      </c>
    </row>
    <row r="119" spans="1:5" ht="30">
      <c r="A119" s="207" t="s">
        <v>264</v>
      </c>
      <c r="B119" s="211">
        <f>Лист4!B66</f>
        <v>0</v>
      </c>
      <c r="C119" s="211">
        <f>Лист4!C66</f>
        <v>0</v>
      </c>
      <c r="D119" s="208" t="str">
        <f>IF(B119=0,"   ",C119/B119*100)</f>
        <v>   </v>
      </c>
      <c r="E119" s="209">
        <f>C119-B119</f>
        <v>0</v>
      </c>
    </row>
    <row r="120" spans="1:5" ht="17.25" customHeight="1">
      <c r="A120" s="207" t="s">
        <v>169</v>
      </c>
      <c r="B120" s="211">
        <f>Лист7!B94</f>
        <v>290400</v>
      </c>
      <c r="C120" s="211">
        <f>Лист7!C94+Лист9!C78+Лист2!C73+Лист1!C93</f>
        <v>5645.34</v>
      </c>
      <c r="D120" s="208">
        <f t="shared" si="6"/>
        <v>1.9439876033057852</v>
      </c>
      <c r="E120" s="209">
        <f t="shared" si="5"/>
        <v>-284754.66</v>
      </c>
    </row>
    <row r="121" spans="1:5" ht="15">
      <c r="A121" s="210" t="s">
        <v>72</v>
      </c>
      <c r="B121" s="211">
        <f>B122+B125+B126+B127+B132+B124+B133+B137+B128+B123</f>
        <v>20385086.06</v>
      </c>
      <c r="C121" s="211">
        <f>C122+C125+C126+C127+C132+C124+C133+C137+C128+C123</f>
        <v>7627010.6</v>
      </c>
      <c r="D121" s="208">
        <f t="shared" si="6"/>
        <v>37.414659803501465</v>
      </c>
      <c r="E121" s="209">
        <f t="shared" si="5"/>
        <v>-12758075.459999999</v>
      </c>
    </row>
    <row r="122" spans="1:5" ht="15">
      <c r="A122" s="210" t="s">
        <v>60</v>
      </c>
      <c r="B122" s="211">
        <f>Лист1!B100+Лист2!B80+Лист3!B72+Лист4!B68+Лист5!B72+Лист6!B74+Лист7!B101+Лист8!B74+Лист9!B80+Лист10!B72</f>
        <v>5824000</v>
      </c>
      <c r="C122" s="211">
        <f>Лист1!C100+Лист2!C80+Лист3!C72+Лист4!C68+Лист5!C72+Лист6!C74+Лист7!C101+Лист8!C74+Лист9!C80+Лист10!C72</f>
        <v>2538452.63</v>
      </c>
      <c r="D122" s="208">
        <f t="shared" si="6"/>
        <v>43.58606850961538</v>
      </c>
      <c r="E122" s="209">
        <f t="shared" si="5"/>
        <v>-3285547.37</v>
      </c>
    </row>
    <row r="123" spans="1:5" ht="42" customHeight="1">
      <c r="A123" s="210" t="s">
        <v>256</v>
      </c>
      <c r="B123" s="211">
        <f>Лист7!B102</f>
        <v>30000</v>
      </c>
      <c r="C123" s="211">
        <f>Лист7!C102</f>
        <v>0</v>
      </c>
      <c r="D123" s="208">
        <f>IF(B123=0,"   ",C123/B123*100)</f>
        <v>0</v>
      </c>
      <c r="E123" s="209">
        <f>C123-B123</f>
        <v>-30000</v>
      </c>
    </row>
    <row r="124" spans="1:5" ht="45">
      <c r="A124" s="210" t="s">
        <v>170</v>
      </c>
      <c r="B124" s="211">
        <f>Лист1!B101+Лист2!B81+Лист3!B74+Лист4!B74+Лист5!B74+Лист6!B80+Лист8!B75+Лист10!B73+Лист9!B81</f>
        <v>370000</v>
      </c>
      <c r="C124" s="211">
        <f>Лист1!C101+Лист2!C81+Лист3!C74+Лист4!C74+Лист5!C74+Лист6!C80+Лист8!C75+Лист10!C73+Лист9!C81</f>
        <v>149185.72</v>
      </c>
      <c r="D124" s="208">
        <f t="shared" si="6"/>
        <v>40.32046486486486</v>
      </c>
      <c r="E124" s="209">
        <f t="shared" si="5"/>
        <v>-220814.28</v>
      </c>
    </row>
    <row r="125" spans="1:5" ht="15">
      <c r="A125" s="210" t="s">
        <v>73</v>
      </c>
      <c r="B125" s="211">
        <f>Лист7!B103</f>
        <v>263000</v>
      </c>
      <c r="C125" s="211">
        <f>Лист7!C103</f>
        <v>250000</v>
      </c>
      <c r="D125" s="208">
        <f t="shared" si="6"/>
        <v>95.05703422053232</v>
      </c>
      <c r="E125" s="209">
        <f t="shared" si="5"/>
        <v>-13000</v>
      </c>
    </row>
    <row r="126" spans="1:5" ht="15">
      <c r="A126" s="210" t="s">
        <v>74</v>
      </c>
      <c r="B126" s="211">
        <f>Лист7!B104</f>
        <v>693900</v>
      </c>
      <c r="C126" s="211">
        <f>Лист7!C104</f>
        <v>516664.24</v>
      </c>
      <c r="D126" s="208">
        <f t="shared" si="6"/>
        <v>74.45802565211126</v>
      </c>
      <c r="E126" s="209">
        <f t="shared" si="5"/>
        <v>-177235.76</v>
      </c>
    </row>
    <row r="127" spans="1:5" ht="15">
      <c r="A127" s="210" t="s">
        <v>75</v>
      </c>
      <c r="B127" s="211">
        <f>Лист1!B102+Лист3!B73+Лист4!B69+Лист5!B73+Лист7!B105+Лист8!B76+Лист9!B82+Лист10!B74+Лист6!B75+Лист2!B86</f>
        <v>2545110</v>
      </c>
      <c r="C127" s="211">
        <f>Лист1!C102+Лист3!C73+Лист4!C69+Лист5!C73+Лист7!C105+Лист8!C76+Лист9!C82+Лист10!C74+Лист6!C75+Лист2!C86</f>
        <v>1355942.05</v>
      </c>
      <c r="D127" s="208">
        <f t="shared" si="6"/>
        <v>53.276363300603904</v>
      </c>
      <c r="E127" s="209">
        <f t="shared" si="5"/>
        <v>-1189167.95</v>
      </c>
    </row>
    <row r="128" spans="1:5" ht="30">
      <c r="A128" s="224" t="s">
        <v>237</v>
      </c>
      <c r="B128" s="211">
        <f>SUM(B129:B131)</f>
        <v>3853389.6</v>
      </c>
      <c r="C128" s="211">
        <f>SUM(C129:C131)</f>
        <v>2815483.0799999996</v>
      </c>
      <c r="D128" s="208">
        <f>IF(B128=0,"   ",C128/B128*100)</f>
        <v>73.06510299399778</v>
      </c>
      <c r="E128" s="209">
        <f>C128-B128</f>
        <v>-1037906.5200000005</v>
      </c>
    </row>
    <row r="129" spans="1:5" ht="45">
      <c r="A129" s="224" t="s">
        <v>240</v>
      </c>
      <c r="B129" s="211">
        <f>Лист2!B83+Лист5!B76+Лист6!B77+Лист8!B78+Лист1!B104+Лист9!B84+Лист3!B76+Лист4!B71+Лист10!B76</f>
        <v>2311370</v>
      </c>
      <c r="C129" s="211">
        <f>Лист2!C83+Лист5!C76+Лист6!C77+Лист8!C78+Лист1!C104+Лист9!C84+Лист3!C76+Лист4!C71+Лист10!C76</f>
        <v>1708226.99</v>
      </c>
      <c r="D129" s="208">
        <f t="shared" si="6"/>
        <v>73.90538901171166</v>
      </c>
      <c r="E129" s="209">
        <f t="shared" si="5"/>
        <v>-603143.01</v>
      </c>
    </row>
    <row r="130" spans="1:5" ht="45">
      <c r="A130" s="224" t="s">
        <v>252</v>
      </c>
      <c r="B130" s="211">
        <f>Лист2!B84+Лист5!B77+Лист6!B78+Лист8!B79+Лист1!B105+Лист9!B85+Лист3!B77+Лист4!B72+Лист10!B77</f>
        <v>944694.7</v>
      </c>
      <c r="C130" s="211">
        <f>Лист2!C84+Лист5!C77+Лист6!C78+Лист8!C79+Лист1!C105+Лист9!C85+Лист3!C77+Лист4!C72+Лист10!C77</f>
        <v>704812.83</v>
      </c>
      <c r="D130" s="208">
        <f t="shared" si="6"/>
        <v>74.60747159902559</v>
      </c>
      <c r="E130" s="209">
        <f t="shared" si="5"/>
        <v>-239881.87</v>
      </c>
    </row>
    <row r="131" spans="1:5" ht="45">
      <c r="A131" s="224" t="s">
        <v>253</v>
      </c>
      <c r="B131" s="211">
        <f>Лист2!B85+Лист5!B78+Лист6!B79+Лист8!B80+Лист1!B106+Лист9!B86+Лист3!B78+Лист4!B73+Лист10!B78</f>
        <v>597324.9</v>
      </c>
      <c r="C131" s="211">
        <f>Лист2!C85+Лист5!C78+Лист6!C79+Лист8!C80+Лист1!C106+Лист9!C86+Лист3!C78+Лист4!C73+Лист10!C78</f>
        <v>402443.25999999995</v>
      </c>
      <c r="D131" s="208">
        <f t="shared" si="6"/>
        <v>67.37426482639513</v>
      </c>
      <c r="E131" s="209">
        <f t="shared" si="5"/>
        <v>-194881.64000000007</v>
      </c>
    </row>
    <row r="132" spans="1:5" ht="30.75" customHeight="1">
      <c r="A132" s="210" t="s">
        <v>131</v>
      </c>
      <c r="B132" s="197">
        <f>Лист7!B106</f>
        <v>0</v>
      </c>
      <c r="C132" s="197">
        <f>Лист7!C106</f>
        <v>0</v>
      </c>
      <c r="D132" s="208" t="str">
        <f t="shared" si="6"/>
        <v>   </v>
      </c>
      <c r="E132" s="209">
        <f t="shared" si="5"/>
        <v>0</v>
      </c>
    </row>
    <row r="133" spans="1:5" ht="33.75" customHeight="1">
      <c r="A133" s="224" t="s">
        <v>204</v>
      </c>
      <c r="B133" s="200">
        <f>B134+B136+B135</f>
        <v>6803686.459999999</v>
      </c>
      <c r="C133" s="200">
        <f>C134+C136+C135</f>
        <v>0</v>
      </c>
      <c r="D133" s="198">
        <f>IF(B133=0,"   ",C133/B133)</f>
        <v>0</v>
      </c>
      <c r="E133" s="199">
        <f t="shared" si="5"/>
        <v>-6803686.459999999</v>
      </c>
    </row>
    <row r="134" spans="1:5" ht="15">
      <c r="A134" s="224" t="s">
        <v>202</v>
      </c>
      <c r="B134" s="200">
        <f>Лист7!B108</f>
        <v>6737629.6</v>
      </c>
      <c r="C134" s="200">
        <f>Лист7!C108</f>
        <v>0</v>
      </c>
      <c r="D134" s="198">
        <f>IF(B134=0,"   ",C134/B134)</f>
        <v>0</v>
      </c>
      <c r="E134" s="199">
        <f t="shared" si="5"/>
        <v>-6737629.6</v>
      </c>
    </row>
    <row r="135" spans="1:5" ht="15">
      <c r="A135" s="224" t="s">
        <v>203</v>
      </c>
      <c r="B135" s="200">
        <f>Лист7!B109</f>
        <v>59209.47</v>
      </c>
      <c r="C135" s="200">
        <f>Лист7!C109</f>
        <v>0</v>
      </c>
      <c r="D135" s="198">
        <f>IF(B135=0,"   ",C135/B135)</f>
        <v>0</v>
      </c>
      <c r="E135" s="199">
        <f t="shared" si="5"/>
        <v>-59209.47</v>
      </c>
    </row>
    <row r="136" spans="1:5" ht="15">
      <c r="A136" s="224" t="s">
        <v>222</v>
      </c>
      <c r="B136" s="200">
        <f>Лист7!B110</f>
        <v>6847.39</v>
      </c>
      <c r="C136" s="200">
        <f>Лист7!C110</f>
        <v>0</v>
      </c>
      <c r="D136" s="198">
        <f>IF(B136=0,"   ",C136/B136)</f>
        <v>0</v>
      </c>
      <c r="E136" s="199">
        <f t="shared" si="5"/>
        <v>-6847.39</v>
      </c>
    </row>
    <row r="137" spans="1:5" ht="30">
      <c r="A137" s="224" t="s">
        <v>220</v>
      </c>
      <c r="B137" s="200">
        <f>Лист7!B111</f>
        <v>2000</v>
      </c>
      <c r="C137" s="200">
        <f>Лист7!C111</f>
        <v>1282.88</v>
      </c>
      <c r="D137" s="198">
        <f>IF(B137=0,"   ",C137/B137)</f>
        <v>0.64144</v>
      </c>
      <c r="E137" s="199">
        <f t="shared" si="5"/>
        <v>-717.1199999999999</v>
      </c>
    </row>
    <row r="138" spans="1:5" ht="15">
      <c r="A138" s="210" t="s">
        <v>17</v>
      </c>
      <c r="B138" s="211">
        <f>Лист1!B107+Лист2!B88+Лист3!B80+Лист4!B75+Лист5!B80+Лист6!B81+Лист7!B112+Лист8!B82+Лист9!B88+Лист10!B79</f>
        <v>130000</v>
      </c>
      <c r="C138" s="211">
        <f>Лист1!C107+Лист2!C88+Лист3!C80+Лист4!C75+Лист5!C80+Лист6!C81+Лист7!C112+Лист8!C82+Лист9!C88+Лист10!C79</f>
        <v>64000</v>
      </c>
      <c r="D138" s="208">
        <f t="shared" si="6"/>
        <v>49.23076923076923</v>
      </c>
      <c r="E138" s="209">
        <f t="shared" si="5"/>
        <v>-66000</v>
      </c>
    </row>
    <row r="139" spans="1:5" ht="30">
      <c r="A139" s="210" t="s">
        <v>41</v>
      </c>
      <c r="B139" s="200">
        <f>SUM(B140,)</f>
        <v>31400200</v>
      </c>
      <c r="C139" s="200">
        <f>C140</f>
        <v>5326073.4</v>
      </c>
      <c r="D139" s="208">
        <f t="shared" si="6"/>
        <v>16.96190915981427</v>
      </c>
      <c r="E139" s="209">
        <f t="shared" si="5"/>
        <v>-26074126.6</v>
      </c>
    </row>
    <row r="140" spans="1:5" ht="15">
      <c r="A140" s="210" t="s">
        <v>42</v>
      </c>
      <c r="B140" s="211">
        <f>Лист1!B109+Лист2!B90+Лист3!B82+Лист4!B77+Лист5!B82+Лист6!B83+Лист7!B114+Лист8!B84+Лист9!B90+Лист10!B81</f>
        <v>31400200</v>
      </c>
      <c r="C140" s="211">
        <f>Лист1!C109+Лист2!C90+Лист3!C82+Лист4!C77+Лист5!C82+Лист6!C83+Лист7!C114+Лист8!C84+Лист9!C90+Лист10!C81</f>
        <v>5326073.4</v>
      </c>
      <c r="D140" s="208">
        <f t="shared" si="6"/>
        <v>16.96190915981427</v>
      </c>
      <c r="E140" s="209">
        <f t="shared" si="5"/>
        <v>-26074126.6</v>
      </c>
    </row>
    <row r="141" spans="1:5" ht="32.25" customHeight="1">
      <c r="A141" s="210" t="s">
        <v>149</v>
      </c>
      <c r="B141" s="211">
        <f>Лист1!B109+Лист2!B91+Лист3!B83+Лист4!B77+Лист5!B82+Лист6!B83+Лист7!B115+Лист8!B84+Лист9!B90+Лист10!B81</f>
        <v>10625000</v>
      </c>
      <c r="C141" s="211">
        <f>Лист1!C109+Лист2!C91+Лист3!C83+Лист4!C77+Лист5!C82+Лист6!C83+Лист7!C115+Лист8!C84+Лист9!C90+Лист10!C81</f>
        <v>4528289.6</v>
      </c>
      <c r="D141" s="208">
        <f t="shared" si="6"/>
        <v>42.61919623529412</v>
      </c>
      <c r="E141" s="209">
        <f t="shared" si="5"/>
        <v>-6096710.4</v>
      </c>
    </row>
    <row r="142" spans="1:5" ht="16.5" customHeight="1">
      <c r="A142" s="210" t="s">
        <v>263</v>
      </c>
      <c r="B142" s="211">
        <f>Лист3!B84</f>
        <v>0</v>
      </c>
      <c r="C142" s="211">
        <f>Лист3!C84</f>
        <v>0</v>
      </c>
      <c r="D142" s="208" t="str">
        <f>IF(B142=0,"   ",C142/B142*100)</f>
        <v>   </v>
      </c>
      <c r="E142" s="209">
        <f>C142-B142</f>
        <v>0</v>
      </c>
    </row>
    <row r="143" spans="1:5" ht="25.5" customHeight="1">
      <c r="A143" s="210" t="s">
        <v>234</v>
      </c>
      <c r="B143" s="211">
        <f>Лист3!B85</f>
        <v>400000</v>
      </c>
      <c r="C143" s="211">
        <f>Лист3!C85</f>
        <v>239000</v>
      </c>
      <c r="D143" s="208">
        <f t="shared" si="6"/>
        <v>59.75</v>
      </c>
      <c r="E143" s="209">
        <f t="shared" si="5"/>
        <v>-161000</v>
      </c>
    </row>
    <row r="144" spans="1:5" ht="21.75" customHeight="1">
      <c r="A144" s="210" t="s">
        <v>221</v>
      </c>
      <c r="B144" s="211">
        <f>Лист7!B116</f>
        <v>1238800</v>
      </c>
      <c r="C144" s="211">
        <f>Лист7!C116</f>
        <v>0</v>
      </c>
      <c r="D144" s="208">
        <f t="shared" si="6"/>
        <v>0</v>
      </c>
      <c r="E144" s="209">
        <f t="shared" si="5"/>
        <v>-1238800</v>
      </c>
    </row>
    <row r="145" spans="1:5" ht="25.5" customHeight="1">
      <c r="A145" s="210" t="s">
        <v>150</v>
      </c>
      <c r="B145" s="211">
        <f>Лист7!B117</f>
        <v>1234000</v>
      </c>
      <c r="C145" s="211">
        <f>Лист7!C117</f>
        <v>558783.8</v>
      </c>
      <c r="D145" s="208">
        <f t="shared" si="6"/>
        <v>45.28231766612642</v>
      </c>
      <c r="E145" s="209">
        <f t="shared" si="5"/>
        <v>-675216.2</v>
      </c>
    </row>
    <row r="146" spans="1:5" ht="25.5" customHeight="1">
      <c r="A146" s="210" t="s">
        <v>294</v>
      </c>
      <c r="B146" s="211">
        <f>Лист7!B118</f>
        <v>939000</v>
      </c>
      <c r="C146" s="211">
        <f>Лист7!C118</f>
        <v>0</v>
      </c>
      <c r="D146" s="208">
        <f>IF(B146=0,"   ",C146/B146*100)</f>
        <v>0</v>
      </c>
      <c r="E146" s="209">
        <f>C146-B146</f>
        <v>-939000</v>
      </c>
    </row>
    <row r="147" spans="1:5" ht="33.75" customHeight="1">
      <c r="A147" s="16" t="s">
        <v>288</v>
      </c>
      <c r="B147" s="211">
        <f>Лист2!B92</f>
        <v>13975400</v>
      </c>
      <c r="C147" s="211">
        <f>Лист2!C92</f>
        <v>0</v>
      </c>
      <c r="D147" s="208">
        <f t="shared" si="6"/>
        <v>0</v>
      </c>
      <c r="E147" s="209">
        <f t="shared" si="5"/>
        <v>-13975400</v>
      </c>
    </row>
    <row r="148" spans="1:5" ht="20.25" customHeight="1">
      <c r="A148" s="16" t="s">
        <v>286</v>
      </c>
      <c r="B148" s="211">
        <f>Лист2!B93</f>
        <v>735500</v>
      </c>
      <c r="C148" s="211">
        <f>Лист2!C93</f>
        <v>0</v>
      </c>
      <c r="D148" s="208">
        <f>IF(B148=0,"   ",C148/B148*100)</f>
        <v>0</v>
      </c>
      <c r="E148" s="209">
        <f>C148-B148</f>
        <v>-735500</v>
      </c>
    </row>
    <row r="149" spans="1:5" ht="30.75" customHeight="1">
      <c r="A149" s="16" t="s">
        <v>287</v>
      </c>
      <c r="B149" s="211">
        <f>Лист2!B94</f>
        <v>2252500</v>
      </c>
      <c r="C149" s="211">
        <f>Лист2!C94</f>
        <v>0</v>
      </c>
      <c r="D149" s="208">
        <f>IF(B149=0,"   ",C149/B149*100)</f>
        <v>0</v>
      </c>
      <c r="E149" s="209">
        <f aca="true" t="shared" si="7" ref="E149:E154">C149-B149</f>
        <v>-2252500</v>
      </c>
    </row>
    <row r="150" spans="1:5" ht="21.75" customHeight="1">
      <c r="A150" s="210" t="s">
        <v>276</v>
      </c>
      <c r="B150" s="211">
        <f>SUM(B151,)</f>
        <v>30000</v>
      </c>
      <c r="C150" s="211">
        <f>SUM(C151,)</f>
        <v>0</v>
      </c>
      <c r="D150" s="208">
        <f>IF(B150=0,"   ",C150/B150*100)</f>
        <v>0</v>
      </c>
      <c r="E150" s="209">
        <f>C150-B150</f>
        <v>-30000</v>
      </c>
    </row>
    <row r="151" spans="1:5" ht="30.75" customHeight="1">
      <c r="A151" s="210" t="s">
        <v>277</v>
      </c>
      <c r="B151" s="211">
        <f>Лист10!B83</f>
        <v>30000</v>
      </c>
      <c r="C151" s="211">
        <f>Лист10!C83</f>
        <v>0</v>
      </c>
      <c r="D151" s="208">
        <f>IF(B151=0,"   ",C151/B151*100)</f>
        <v>0</v>
      </c>
      <c r="E151" s="209">
        <f>C151-B151</f>
        <v>-30000</v>
      </c>
    </row>
    <row r="152" spans="1:5" ht="20.25" customHeight="1">
      <c r="A152" s="210" t="s">
        <v>125</v>
      </c>
      <c r="B152" s="211">
        <f>SUM(B153,)</f>
        <v>230000</v>
      </c>
      <c r="C152" s="211">
        <f>SUM(C153,)</f>
        <v>18000</v>
      </c>
      <c r="D152" s="208">
        <f t="shared" si="6"/>
        <v>7.82608695652174</v>
      </c>
      <c r="E152" s="209">
        <f t="shared" si="7"/>
        <v>-212000</v>
      </c>
    </row>
    <row r="153" spans="1:5" ht="21.75" customHeight="1">
      <c r="A153" s="210" t="s">
        <v>126</v>
      </c>
      <c r="B153" s="211">
        <f>Лист1!B111+Лист2!B96+Лист3!B87+Лист4!B79+Лист5!B84+Лист6!B85+Лист7!B121+Лист8!B86+Лист9!B92+Лист10!B85</f>
        <v>230000</v>
      </c>
      <c r="C153" s="211">
        <f>Лист1!C111+Лист2!C96+Лист3!C87+Лист4!C79+Лист5!C84+Лист6!C85+Лист7!C121+Лист8!C86+Лист9!C92+Лист10!C85</f>
        <v>18000</v>
      </c>
      <c r="D153" s="208">
        <f t="shared" si="6"/>
        <v>7.82608695652174</v>
      </c>
      <c r="E153" s="209">
        <f t="shared" si="7"/>
        <v>-212000</v>
      </c>
    </row>
    <row r="154" spans="1:6" ht="25.5" customHeight="1">
      <c r="A154" s="212" t="s">
        <v>15</v>
      </c>
      <c r="B154" s="213">
        <f>B66+B75+B77+B82+B108+B138+B139+B150+B152</f>
        <v>98049906.06</v>
      </c>
      <c r="C154" s="213">
        <f>C66+C75+C77+C82+C108+C138+C139+C150+C152</f>
        <v>25175556.1</v>
      </c>
      <c r="D154" s="214">
        <f t="shared" si="6"/>
        <v>25.676267435273463</v>
      </c>
      <c r="E154" s="215">
        <f t="shared" si="7"/>
        <v>-72874349.96000001</v>
      </c>
      <c r="F154" s="204"/>
    </row>
    <row r="155" spans="1:5" s="66" customFormat="1" ht="23.25" customHeight="1">
      <c r="A155" s="206"/>
      <c r="B155" s="206"/>
      <c r="C155" s="290"/>
      <c r="D155" s="290"/>
      <c r="E155" s="290"/>
    </row>
    <row r="156" spans="1:5" s="66" customFormat="1" ht="12" customHeight="1">
      <c r="A156" s="88"/>
      <c r="B156" s="88"/>
      <c r="C156" s="291"/>
      <c r="D156" s="291"/>
      <c r="E156" s="291"/>
    </row>
    <row r="157" spans="1:5" ht="12.75">
      <c r="A157" s="7"/>
      <c r="B157" s="7"/>
      <c r="C157" s="51"/>
      <c r="D157" s="7"/>
      <c r="E157" s="52"/>
    </row>
    <row r="158" spans="1:5" ht="12.75">
      <c r="A158" s="7"/>
      <c r="B158" s="7"/>
      <c r="C158" s="51"/>
      <c r="D158" s="7"/>
      <c r="E158" s="52"/>
    </row>
    <row r="159" spans="1:5" ht="12.75">
      <c r="A159" s="7"/>
      <c r="B159" s="7"/>
      <c r="C159" s="51"/>
      <c r="D159" s="7"/>
      <c r="E159" s="52"/>
    </row>
    <row r="160" spans="1:5" ht="12.75">
      <c r="A160" s="7"/>
      <c r="B160" s="7"/>
      <c r="C160" s="51"/>
      <c r="D160" s="7"/>
      <c r="E160" s="52"/>
    </row>
  </sheetData>
  <sheetProtection/>
  <mergeCells count="3">
    <mergeCell ref="A1:E1"/>
    <mergeCell ref="C155:E155"/>
    <mergeCell ref="C156:E156"/>
  </mergeCells>
  <printOptions/>
  <pageMargins left="0.7874015748031497" right="0.7874015748031497" top="0.4724409448818898" bottom="0.31496062992125984" header="0.4724409448818898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zoomScalePageLayoutView="0" workbookViewId="0" topLeftCell="A27">
      <selection activeCell="C48" sqref="C48"/>
    </sheetView>
  </sheetViews>
  <sheetFormatPr defaultColWidth="9.00390625" defaultRowHeight="12.75"/>
  <cols>
    <col min="1" max="1" width="112.125" style="0" customWidth="1"/>
    <col min="2" max="2" width="13.75390625" style="0" customWidth="1"/>
    <col min="3" max="3" width="16.875" style="0" customWidth="1"/>
    <col min="4" max="4" width="18.375" style="0" customWidth="1"/>
    <col min="5" max="5" width="16.00390625" style="0" customWidth="1"/>
  </cols>
  <sheetData>
    <row r="1" spans="1:5" ht="18">
      <c r="A1" s="289" t="s">
        <v>297</v>
      </c>
      <c r="B1" s="289"/>
      <c r="C1" s="289"/>
      <c r="D1" s="289"/>
      <c r="E1" s="289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279</v>
      </c>
      <c r="C3" s="32" t="s">
        <v>296</v>
      </c>
      <c r="D3" s="19" t="s">
        <v>283</v>
      </c>
      <c r="E3" s="36" t="s">
        <v>281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51">
        <f>SUM(B7)</f>
        <v>21900</v>
      </c>
      <c r="C6" s="252">
        <f>SUM(C7)</f>
        <v>17953.94</v>
      </c>
      <c r="D6" s="26">
        <f aca="true" t="shared" si="0" ref="D6:D96">IF(B6=0,"   ",C6/B6*100)</f>
        <v>81.9814611872146</v>
      </c>
      <c r="E6" s="42">
        <f aca="true" t="shared" si="1" ref="E6:E96">C6-B6</f>
        <v>-3946.0600000000013</v>
      </c>
    </row>
    <row r="7" spans="1:5" ht="16.5" customHeight="1">
      <c r="A7" s="16" t="s">
        <v>44</v>
      </c>
      <c r="B7" s="253">
        <v>21900</v>
      </c>
      <c r="C7" s="273">
        <v>17953.94</v>
      </c>
      <c r="D7" s="26">
        <f t="shared" si="0"/>
        <v>81.9814611872146</v>
      </c>
      <c r="E7" s="42">
        <f t="shared" si="1"/>
        <v>-3946.0600000000013</v>
      </c>
    </row>
    <row r="8" spans="1:5" ht="12.75" customHeight="1">
      <c r="A8" s="71" t="s">
        <v>142</v>
      </c>
      <c r="B8" s="251">
        <f>SUM(B9)</f>
        <v>620800</v>
      </c>
      <c r="C8" s="254">
        <f>SUM(C9)</f>
        <v>344891.49</v>
      </c>
      <c r="D8" s="26">
        <f t="shared" si="0"/>
        <v>55.55597454896907</v>
      </c>
      <c r="E8" s="42">
        <f t="shared" si="1"/>
        <v>-275908.51</v>
      </c>
    </row>
    <row r="9" spans="1:5" ht="18.75" customHeight="1">
      <c r="A9" s="41" t="s">
        <v>143</v>
      </c>
      <c r="B9" s="253">
        <v>620800</v>
      </c>
      <c r="C9" s="273">
        <v>344891.49</v>
      </c>
      <c r="D9" s="26">
        <f t="shared" si="0"/>
        <v>55.55597454896907</v>
      </c>
      <c r="E9" s="42">
        <f t="shared" si="1"/>
        <v>-275908.51</v>
      </c>
    </row>
    <row r="10" spans="1:5" ht="16.5" customHeight="1">
      <c r="A10" s="16" t="s">
        <v>7</v>
      </c>
      <c r="B10" s="253">
        <f>SUM(B11:B11)</f>
        <v>21800</v>
      </c>
      <c r="C10" s="255">
        <f>SUM(C11:C11)</f>
        <v>16622.1</v>
      </c>
      <c r="D10" s="26">
        <f t="shared" si="0"/>
        <v>76.24816513761468</v>
      </c>
      <c r="E10" s="42">
        <f t="shared" si="1"/>
        <v>-5177.9000000000015</v>
      </c>
    </row>
    <row r="11" spans="1:5" ht="14.25" customHeight="1">
      <c r="A11" s="16" t="s">
        <v>26</v>
      </c>
      <c r="B11" s="253">
        <v>21800</v>
      </c>
      <c r="C11" s="273">
        <v>16622.1</v>
      </c>
      <c r="D11" s="26">
        <f t="shared" si="0"/>
        <v>76.24816513761468</v>
      </c>
      <c r="E11" s="42">
        <f t="shared" si="1"/>
        <v>-5177.9000000000015</v>
      </c>
    </row>
    <row r="12" spans="1:5" ht="14.25" customHeight="1">
      <c r="A12" s="16" t="s">
        <v>9</v>
      </c>
      <c r="B12" s="253">
        <f>SUM(B13:B14)</f>
        <v>191000</v>
      </c>
      <c r="C12" s="255">
        <f>SUM(C13:C14)</f>
        <v>9226.83</v>
      </c>
      <c r="D12" s="26">
        <f t="shared" si="0"/>
        <v>4.830801047120419</v>
      </c>
      <c r="E12" s="42">
        <f t="shared" si="1"/>
        <v>-181773.17</v>
      </c>
    </row>
    <row r="13" spans="1:5" ht="12.75" customHeight="1">
      <c r="A13" s="16" t="s">
        <v>27</v>
      </c>
      <c r="B13" s="253">
        <v>49000</v>
      </c>
      <c r="C13" s="273">
        <v>2376.16</v>
      </c>
      <c r="D13" s="26">
        <f t="shared" si="0"/>
        <v>4.849306122448979</v>
      </c>
      <c r="E13" s="42">
        <f t="shared" si="1"/>
        <v>-46623.84</v>
      </c>
    </row>
    <row r="14" spans="1:5" ht="12.75">
      <c r="A14" s="41" t="s">
        <v>171</v>
      </c>
      <c r="B14" s="238">
        <f>SUM(B15:B16)</f>
        <v>142000</v>
      </c>
      <c r="C14" s="255">
        <f>SUM(C15:C16)</f>
        <v>6850.67</v>
      </c>
      <c r="D14" s="26">
        <f t="shared" si="0"/>
        <v>4.824415492957747</v>
      </c>
      <c r="E14" s="42">
        <f t="shared" si="1"/>
        <v>-135149.33</v>
      </c>
    </row>
    <row r="15" spans="1:5" ht="12.75">
      <c r="A15" s="41" t="s">
        <v>172</v>
      </c>
      <c r="B15" s="238">
        <v>5000</v>
      </c>
      <c r="C15" s="273">
        <v>1457.69</v>
      </c>
      <c r="D15" s="26">
        <f t="shared" si="0"/>
        <v>29.1538</v>
      </c>
      <c r="E15" s="42">
        <f t="shared" si="1"/>
        <v>-3542.31</v>
      </c>
    </row>
    <row r="16" spans="1:5" ht="12.75">
      <c r="A16" s="41" t="s">
        <v>173</v>
      </c>
      <c r="B16" s="238">
        <v>137000</v>
      </c>
      <c r="C16" s="273">
        <v>5392.98</v>
      </c>
      <c r="D16" s="26">
        <f t="shared" si="0"/>
        <v>3.936481751824817</v>
      </c>
      <c r="E16" s="42">
        <f t="shared" si="1"/>
        <v>-131607.02</v>
      </c>
    </row>
    <row r="17" spans="1:5" ht="12.75">
      <c r="A17" s="41" t="s">
        <v>225</v>
      </c>
      <c r="B17" s="238">
        <v>0</v>
      </c>
      <c r="C17" s="256">
        <v>0</v>
      </c>
      <c r="D17" s="26" t="str">
        <f t="shared" si="0"/>
        <v>   </v>
      </c>
      <c r="E17" s="42">
        <f t="shared" si="1"/>
        <v>0</v>
      </c>
    </row>
    <row r="18" spans="1:5" ht="18" customHeight="1">
      <c r="A18" s="16" t="s">
        <v>88</v>
      </c>
      <c r="B18" s="253">
        <v>0</v>
      </c>
      <c r="C18" s="256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51">
        <f>B21+B20</f>
        <v>0</v>
      </c>
      <c r="C19" s="254">
        <f>C21+C20</f>
        <v>0</v>
      </c>
      <c r="D19" s="26" t="str">
        <f t="shared" si="0"/>
        <v>   </v>
      </c>
      <c r="E19" s="42">
        <f t="shared" si="1"/>
        <v>0</v>
      </c>
    </row>
    <row r="20" spans="1:5" ht="16.5" customHeight="1">
      <c r="A20" s="165" t="s">
        <v>207</v>
      </c>
      <c r="B20" s="251">
        <v>0</v>
      </c>
      <c r="C20" s="254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79</v>
      </c>
      <c r="B21" s="253">
        <v>0</v>
      </c>
      <c r="C21" s="256">
        <v>0</v>
      </c>
      <c r="D21" s="26" t="str">
        <f t="shared" si="0"/>
        <v>   </v>
      </c>
      <c r="E21" s="42">
        <f t="shared" si="1"/>
        <v>0</v>
      </c>
    </row>
    <row r="22" spans="1:5" ht="29.25" customHeight="1">
      <c r="A22" s="16" t="s">
        <v>28</v>
      </c>
      <c r="B22" s="253">
        <f>SUM(B23:B24)</f>
        <v>96000</v>
      </c>
      <c r="C22" s="254">
        <f>SUM(C23:C24)</f>
        <v>22289.4</v>
      </c>
      <c r="D22" s="26">
        <f t="shared" si="0"/>
        <v>23.218125</v>
      </c>
      <c r="E22" s="42">
        <f t="shared" si="1"/>
        <v>-73710.6</v>
      </c>
    </row>
    <row r="23" spans="1:5" ht="15.75" customHeight="1">
      <c r="A23" s="41" t="s">
        <v>161</v>
      </c>
      <c r="B23" s="253">
        <v>96000</v>
      </c>
      <c r="C23" s="273">
        <v>22289.4</v>
      </c>
      <c r="D23" s="26">
        <f t="shared" si="0"/>
        <v>23.218125</v>
      </c>
      <c r="E23" s="42">
        <f t="shared" si="1"/>
        <v>-73710.6</v>
      </c>
    </row>
    <row r="24" spans="1:5" ht="15.75" customHeight="1">
      <c r="A24" s="16" t="s">
        <v>30</v>
      </c>
      <c r="B24" s="253">
        <v>0</v>
      </c>
      <c r="C24" s="256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195</v>
      </c>
      <c r="B25" s="251">
        <f>SUM(B26)</f>
        <v>0</v>
      </c>
      <c r="C25" s="254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196</v>
      </c>
      <c r="B26" s="253">
        <v>0</v>
      </c>
      <c r="C26" s="256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53">
        <v>0</v>
      </c>
      <c r="C27" s="256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53">
        <f>SUM(B29:B30)</f>
        <v>0</v>
      </c>
      <c r="C28" s="255">
        <f>SUM(C29:C30)</f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106</v>
      </c>
      <c r="B29" s="253">
        <v>0</v>
      </c>
      <c r="C29" s="255">
        <v>0</v>
      </c>
      <c r="D29" s="26" t="str">
        <f t="shared" si="0"/>
        <v>   </v>
      </c>
      <c r="E29" s="42">
        <f t="shared" si="1"/>
        <v>0</v>
      </c>
    </row>
    <row r="30" spans="1:5" s="9" customFormat="1" ht="15" customHeight="1">
      <c r="A30" s="16" t="s">
        <v>109</v>
      </c>
      <c r="B30" s="257">
        <v>0</v>
      </c>
      <c r="C30" s="254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83" t="s">
        <v>10</v>
      </c>
      <c r="B31" s="243">
        <f>SUM(B6,B8,B10,B12,B17,B18,B19,B22,B27,B28,B25)</f>
        <v>951500</v>
      </c>
      <c r="C31" s="247">
        <f>SUM(C6,C8,C10,C12,C17,C18,C19,C22,C27,C28,C25)</f>
        <v>410983.76</v>
      </c>
      <c r="D31" s="26">
        <f t="shared" si="0"/>
        <v>43.193248554913296</v>
      </c>
      <c r="E31" s="42">
        <f t="shared" si="1"/>
        <v>-540516.24</v>
      </c>
    </row>
    <row r="32" spans="1:5" ht="19.5" customHeight="1">
      <c r="A32" s="191" t="s">
        <v>145</v>
      </c>
      <c r="B32" s="258">
        <f>SUM(B33:B37,B40:B44,B47)</f>
        <v>22135730</v>
      </c>
      <c r="C32" s="258">
        <f>SUM(C33:C37,C40:C44,C47)</f>
        <v>1177014</v>
      </c>
      <c r="D32" s="149">
        <f t="shared" si="0"/>
        <v>5.3172585679351885</v>
      </c>
      <c r="E32" s="150">
        <f t="shared" si="1"/>
        <v>-20958716</v>
      </c>
    </row>
    <row r="33" spans="1:5" ht="18.75" customHeight="1">
      <c r="A33" s="17" t="s">
        <v>34</v>
      </c>
      <c r="B33" s="251">
        <v>1219400</v>
      </c>
      <c r="C33" s="273">
        <v>609700</v>
      </c>
      <c r="D33" s="26">
        <f t="shared" si="0"/>
        <v>50</v>
      </c>
      <c r="E33" s="42">
        <f t="shared" si="1"/>
        <v>-609700</v>
      </c>
    </row>
    <row r="34" spans="1:5" ht="18.75" customHeight="1">
      <c r="A34" s="17" t="s">
        <v>270</v>
      </c>
      <c r="B34" s="251">
        <v>3373300</v>
      </c>
      <c r="C34" s="273">
        <v>75100</v>
      </c>
      <c r="D34" s="26">
        <f>IF(B34=0,"   ",C34/B34*100)</f>
        <v>2.2263065840571548</v>
      </c>
      <c r="E34" s="42">
        <f>C34-B34</f>
        <v>-3298200</v>
      </c>
    </row>
    <row r="35" spans="1:5" ht="15.75" customHeight="1">
      <c r="A35" s="41" t="s">
        <v>153</v>
      </c>
      <c r="B35" s="253">
        <v>0</v>
      </c>
      <c r="C35" s="256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42" t="s">
        <v>51</v>
      </c>
      <c r="B36" s="143">
        <v>89900</v>
      </c>
      <c r="C36" s="277">
        <v>44694</v>
      </c>
      <c r="D36" s="144">
        <f t="shared" si="0"/>
        <v>49.71523915461624</v>
      </c>
      <c r="E36" s="145">
        <f t="shared" si="1"/>
        <v>-45206</v>
      </c>
    </row>
    <row r="37" spans="1:5" ht="32.25" customHeight="1">
      <c r="A37" s="117" t="s">
        <v>155</v>
      </c>
      <c r="B37" s="143">
        <f>SUM(B38:B39)</f>
        <v>100</v>
      </c>
      <c r="C37" s="143">
        <f>SUM(C38:C39)</f>
        <v>100</v>
      </c>
      <c r="D37" s="144">
        <f t="shared" si="0"/>
        <v>100</v>
      </c>
      <c r="E37" s="145">
        <f t="shared" si="1"/>
        <v>0</v>
      </c>
    </row>
    <row r="38" spans="1:5" ht="15.75" customHeight="1">
      <c r="A38" s="117" t="s">
        <v>174</v>
      </c>
      <c r="B38" s="143">
        <v>100</v>
      </c>
      <c r="C38" s="143">
        <v>100</v>
      </c>
      <c r="D38" s="144">
        <f>IF(B38=0,"   ",C38/B38*100)</f>
        <v>100</v>
      </c>
      <c r="E38" s="145">
        <f>C38-B38</f>
        <v>0</v>
      </c>
    </row>
    <row r="39" spans="1:5" ht="24.75" customHeight="1">
      <c r="A39" s="117" t="s">
        <v>175</v>
      </c>
      <c r="B39" s="143">
        <v>0</v>
      </c>
      <c r="C39" s="143">
        <v>0</v>
      </c>
      <c r="D39" s="144" t="str">
        <f>IF(B39=0,"   ",C39/B39*100)</f>
        <v>   </v>
      </c>
      <c r="E39" s="145">
        <f>C39-B39</f>
        <v>0</v>
      </c>
    </row>
    <row r="40" spans="1:5" ht="26.25" customHeight="1">
      <c r="A40" s="16" t="s">
        <v>104</v>
      </c>
      <c r="B40" s="143">
        <v>0</v>
      </c>
      <c r="C40" s="143">
        <v>0</v>
      </c>
      <c r="D40" s="144" t="str">
        <f t="shared" si="0"/>
        <v>   </v>
      </c>
      <c r="E40" s="145">
        <f t="shared" si="1"/>
        <v>0</v>
      </c>
    </row>
    <row r="41" spans="1:5" ht="18" customHeight="1">
      <c r="A41" s="16" t="s">
        <v>182</v>
      </c>
      <c r="B41" s="259">
        <v>0</v>
      </c>
      <c r="C41" s="259">
        <v>0</v>
      </c>
      <c r="D41" s="144" t="str">
        <f t="shared" si="0"/>
        <v>   </v>
      </c>
      <c r="E41" s="145">
        <f t="shared" si="1"/>
        <v>0</v>
      </c>
    </row>
    <row r="42" spans="1:5" ht="54.75" customHeight="1">
      <c r="A42" s="16" t="s">
        <v>291</v>
      </c>
      <c r="B42" s="143">
        <v>1610000</v>
      </c>
      <c r="C42" s="143">
        <v>147670</v>
      </c>
      <c r="D42" s="144">
        <f t="shared" si="0"/>
        <v>9.172049689440993</v>
      </c>
      <c r="E42" s="145">
        <f t="shared" si="1"/>
        <v>-1462330</v>
      </c>
    </row>
    <row r="43" spans="1:5" ht="26.25" customHeight="1">
      <c r="A43" s="16" t="s">
        <v>292</v>
      </c>
      <c r="B43" s="143">
        <v>13975400</v>
      </c>
      <c r="C43" s="143">
        <v>0</v>
      </c>
      <c r="D43" s="144">
        <f t="shared" si="0"/>
        <v>0</v>
      </c>
      <c r="E43" s="145">
        <f t="shared" si="1"/>
        <v>-13975400</v>
      </c>
    </row>
    <row r="44" spans="1:5" ht="16.5" customHeight="1">
      <c r="A44" s="16" t="s">
        <v>80</v>
      </c>
      <c r="B44" s="253">
        <f>B46+B45</f>
        <v>1400700</v>
      </c>
      <c r="C44" s="260">
        <f>C46+C45</f>
        <v>224800</v>
      </c>
      <c r="D44" s="26">
        <f t="shared" si="0"/>
        <v>16.04911829799386</v>
      </c>
      <c r="E44" s="42">
        <f t="shared" si="1"/>
        <v>-1175900</v>
      </c>
    </row>
    <row r="45" spans="1:5" ht="15" customHeight="1">
      <c r="A45" s="53" t="s">
        <v>212</v>
      </c>
      <c r="B45" s="253">
        <v>1400700</v>
      </c>
      <c r="C45" s="260">
        <v>224800</v>
      </c>
      <c r="D45" s="26">
        <f t="shared" si="0"/>
        <v>16.04911829799386</v>
      </c>
      <c r="E45" s="42">
        <f t="shared" si="1"/>
        <v>-1175900</v>
      </c>
    </row>
    <row r="46" spans="1:5" s="7" customFormat="1" ht="16.5" customHeight="1">
      <c r="A46" s="53" t="s">
        <v>110</v>
      </c>
      <c r="B46" s="261">
        <v>0</v>
      </c>
      <c r="C46" s="260">
        <v>0</v>
      </c>
      <c r="D46" s="54" t="str">
        <f t="shared" si="0"/>
        <v>   </v>
      </c>
      <c r="E46" s="40">
        <f t="shared" si="1"/>
        <v>0</v>
      </c>
    </row>
    <row r="47" spans="1:5" s="7" customFormat="1" ht="19.5" customHeight="1">
      <c r="A47" s="16" t="s">
        <v>228</v>
      </c>
      <c r="B47" s="282">
        <v>466930</v>
      </c>
      <c r="C47" s="260">
        <v>74950</v>
      </c>
      <c r="D47" s="54">
        <f>IF(B47=0,"   ",C47/B47*100)</f>
        <v>16.051656565223908</v>
      </c>
      <c r="E47" s="40">
        <f>C47-B47</f>
        <v>-391980</v>
      </c>
    </row>
    <row r="48" spans="1:5" ht="21.75" customHeight="1">
      <c r="A48" s="183" t="s">
        <v>11</v>
      </c>
      <c r="B48" s="247">
        <f>B31+B32</f>
        <v>23087230</v>
      </c>
      <c r="C48" s="247">
        <f>C31+C32</f>
        <v>1587997.76</v>
      </c>
      <c r="D48" s="149">
        <f t="shared" si="0"/>
        <v>6.878251570240344</v>
      </c>
      <c r="E48" s="150">
        <f t="shared" si="1"/>
        <v>-21499232.24</v>
      </c>
    </row>
    <row r="49" spans="1:5" ht="12.75">
      <c r="A49" s="30"/>
      <c r="B49" s="251"/>
      <c r="C49" s="262"/>
      <c r="D49" s="26" t="str">
        <f t="shared" si="0"/>
        <v>   </v>
      </c>
      <c r="E49" s="42"/>
    </row>
    <row r="50" spans="1:5" ht="13.5" thickBot="1">
      <c r="A50" s="114" t="s">
        <v>12</v>
      </c>
      <c r="B50" s="263"/>
      <c r="C50" s="264"/>
      <c r="D50" s="120" t="str">
        <f t="shared" si="0"/>
        <v>   </v>
      </c>
      <c r="E50" s="121"/>
    </row>
    <row r="51" spans="1:5" ht="13.5" thickBot="1">
      <c r="A51" s="137" t="s">
        <v>35</v>
      </c>
      <c r="B51" s="138">
        <f>SUM(B52,B54+B55)</f>
        <v>1101800</v>
      </c>
      <c r="C51" s="138">
        <f>SUM(C52,C54+C55)</f>
        <v>432619.97</v>
      </c>
      <c r="D51" s="139">
        <f t="shared" si="0"/>
        <v>39.2648366309675</v>
      </c>
      <c r="E51" s="140">
        <f t="shared" si="1"/>
        <v>-669180.03</v>
      </c>
    </row>
    <row r="52" spans="1:5" ht="13.5" thickBot="1">
      <c r="A52" s="125" t="s">
        <v>36</v>
      </c>
      <c r="B52" s="126">
        <v>1101300</v>
      </c>
      <c r="C52" s="138">
        <v>432619.97</v>
      </c>
      <c r="D52" s="127">
        <f t="shared" si="0"/>
        <v>39.28266321619904</v>
      </c>
      <c r="E52" s="128">
        <f t="shared" si="1"/>
        <v>-668680.03</v>
      </c>
    </row>
    <row r="53" spans="1:5" ht="12.75">
      <c r="A53" s="93" t="s">
        <v>121</v>
      </c>
      <c r="B53" s="25">
        <v>729800</v>
      </c>
      <c r="C53" s="28">
        <v>300373.04</v>
      </c>
      <c r="D53" s="26">
        <f t="shared" si="0"/>
        <v>41.15826801863524</v>
      </c>
      <c r="E53" s="42">
        <f t="shared" si="1"/>
        <v>-429426.96</v>
      </c>
    </row>
    <row r="54" spans="1:5" ht="12.75">
      <c r="A54" s="16" t="s">
        <v>96</v>
      </c>
      <c r="B54" s="25">
        <v>500</v>
      </c>
      <c r="C54" s="28">
        <v>0</v>
      </c>
      <c r="D54" s="26">
        <f t="shared" si="0"/>
        <v>0</v>
      </c>
      <c r="E54" s="42">
        <f t="shared" si="1"/>
        <v>-500</v>
      </c>
    </row>
    <row r="55" spans="1:5" ht="12.75">
      <c r="A55" s="113" t="s">
        <v>53</v>
      </c>
      <c r="B55" s="31">
        <f>SUM(B56)</f>
        <v>0</v>
      </c>
      <c r="C55" s="31">
        <f>SUM(C56)</f>
        <v>0</v>
      </c>
      <c r="D55" s="120" t="str">
        <f t="shared" si="0"/>
        <v>   </v>
      </c>
      <c r="E55" s="121">
        <f t="shared" si="1"/>
        <v>0</v>
      </c>
    </row>
    <row r="56" spans="1:5" ht="29.25" customHeight="1" thickBot="1">
      <c r="A56" s="113" t="s">
        <v>223</v>
      </c>
      <c r="B56" s="130">
        <v>0</v>
      </c>
      <c r="C56" s="131">
        <v>0</v>
      </c>
      <c r="D56" s="120" t="str">
        <f t="shared" si="0"/>
        <v>   </v>
      </c>
      <c r="E56" s="121">
        <f t="shared" si="1"/>
        <v>0</v>
      </c>
    </row>
    <row r="57" spans="1:5" ht="13.5" thickBot="1">
      <c r="A57" s="137" t="s">
        <v>49</v>
      </c>
      <c r="B57" s="193">
        <f>SUM(B58)</f>
        <v>89900</v>
      </c>
      <c r="C57" s="193">
        <f>SUM(C58)</f>
        <v>37820.8</v>
      </c>
      <c r="D57" s="139">
        <f t="shared" si="0"/>
        <v>42.069855394883206</v>
      </c>
      <c r="E57" s="140">
        <f t="shared" si="1"/>
        <v>-52079.2</v>
      </c>
    </row>
    <row r="58" spans="1:5" ht="16.5" customHeight="1" thickBot="1">
      <c r="A58" s="129" t="s">
        <v>108</v>
      </c>
      <c r="B58" s="130">
        <v>89900</v>
      </c>
      <c r="C58" s="131">
        <v>37820.8</v>
      </c>
      <c r="D58" s="132">
        <f t="shared" si="0"/>
        <v>42.069855394883206</v>
      </c>
      <c r="E58" s="133">
        <f t="shared" si="1"/>
        <v>-52079.2</v>
      </c>
    </row>
    <row r="59" spans="1:5" ht="13.5" thickBot="1">
      <c r="A59" s="137" t="s">
        <v>37</v>
      </c>
      <c r="B59" s="138">
        <f>SUM(B60)</f>
        <v>1000</v>
      </c>
      <c r="C59" s="193">
        <f>SUM(C60)</f>
        <v>1000</v>
      </c>
      <c r="D59" s="139">
        <f t="shared" si="0"/>
        <v>100</v>
      </c>
      <c r="E59" s="140">
        <f t="shared" si="1"/>
        <v>0</v>
      </c>
    </row>
    <row r="60" spans="1:5" ht="13.5" thickBot="1">
      <c r="A60" s="83" t="s">
        <v>130</v>
      </c>
      <c r="B60" s="130">
        <v>1000</v>
      </c>
      <c r="C60" s="131">
        <v>1000</v>
      </c>
      <c r="D60" s="132">
        <f t="shared" si="0"/>
        <v>100</v>
      </c>
      <c r="E60" s="133">
        <f t="shared" si="1"/>
        <v>0</v>
      </c>
    </row>
    <row r="61" spans="1:5" ht="13.5" thickBot="1">
      <c r="A61" s="137" t="s">
        <v>38</v>
      </c>
      <c r="B61" s="107">
        <f>B62+B65+B69</f>
        <v>2320800</v>
      </c>
      <c r="C61" s="107">
        <f>C62+C65+C69</f>
        <v>229000</v>
      </c>
      <c r="D61" s="139">
        <f t="shared" si="0"/>
        <v>9.867287142364702</v>
      </c>
      <c r="E61" s="140">
        <f t="shared" si="1"/>
        <v>-2091800</v>
      </c>
    </row>
    <row r="62" spans="1:5" ht="15.75" customHeight="1" thickBot="1">
      <c r="A62" s="83" t="s">
        <v>198</v>
      </c>
      <c r="B62" s="107">
        <f>SUM(B63+B64)</f>
        <v>0</v>
      </c>
      <c r="C62" s="107">
        <f>SUM(C63+C64)</f>
        <v>0</v>
      </c>
      <c r="D62" s="139" t="str">
        <f>IF(B62=0,"   ",C62/B62*100)</f>
        <v>   </v>
      </c>
      <c r="E62" s="140">
        <f>C62-B62</f>
        <v>0</v>
      </c>
    </row>
    <row r="63" spans="1:5" ht="18" customHeight="1" thickBot="1">
      <c r="A63" s="83" t="s">
        <v>177</v>
      </c>
      <c r="B63" s="130">
        <v>0</v>
      </c>
      <c r="C63" s="138">
        <v>0</v>
      </c>
      <c r="D63" s="139" t="str">
        <f>IF(B63=0,"   ",C63/B63*100)</f>
        <v>   </v>
      </c>
      <c r="E63" s="140">
        <f>C63-B63</f>
        <v>0</v>
      </c>
    </row>
    <row r="64" spans="1:5" ht="18" customHeight="1">
      <c r="A64" s="83" t="s">
        <v>213</v>
      </c>
      <c r="B64" s="130">
        <v>0</v>
      </c>
      <c r="C64" s="130">
        <v>0</v>
      </c>
      <c r="D64" s="132"/>
      <c r="E64" s="133"/>
    </row>
    <row r="65" spans="1:5" ht="12.75">
      <c r="A65" s="104" t="s">
        <v>134</v>
      </c>
      <c r="B65" s="126">
        <f>B67+B68+B66</f>
        <v>2230800</v>
      </c>
      <c r="C65" s="126">
        <f>C67+C68+C66</f>
        <v>229000</v>
      </c>
      <c r="D65" s="127">
        <f t="shared" si="0"/>
        <v>10.265375649991034</v>
      </c>
      <c r="E65" s="128">
        <f t="shared" si="1"/>
        <v>-2001800</v>
      </c>
    </row>
    <row r="66" spans="1:5" ht="19.5" customHeight="1">
      <c r="A66" s="83" t="s">
        <v>183</v>
      </c>
      <c r="B66" s="130">
        <v>0</v>
      </c>
      <c r="C66" s="130">
        <v>0</v>
      </c>
      <c r="D66" s="127" t="str">
        <f t="shared" si="0"/>
        <v>   </v>
      </c>
      <c r="E66" s="128">
        <f t="shared" si="1"/>
        <v>0</v>
      </c>
    </row>
    <row r="67" spans="1:5" ht="25.5">
      <c r="A67" s="78" t="s">
        <v>135</v>
      </c>
      <c r="B67" s="130">
        <v>1610000</v>
      </c>
      <c r="C67" s="130">
        <v>147670</v>
      </c>
      <c r="D67" s="127">
        <f t="shared" si="0"/>
        <v>9.172049689440993</v>
      </c>
      <c r="E67" s="128">
        <f t="shared" si="1"/>
        <v>-1462330</v>
      </c>
    </row>
    <row r="68" spans="1:5" ht="26.25" thickBot="1">
      <c r="A68" s="78" t="s">
        <v>136</v>
      </c>
      <c r="B68" s="122">
        <v>620800</v>
      </c>
      <c r="C68" s="122">
        <v>81330</v>
      </c>
      <c r="D68" s="120">
        <f t="shared" si="0"/>
        <v>13.10083762886598</v>
      </c>
      <c r="E68" s="121">
        <f t="shared" si="1"/>
        <v>-539470</v>
      </c>
    </row>
    <row r="69" spans="1:5" ht="13.5" thickBot="1">
      <c r="A69" s="104" t="s">
        <v>199</v>
      </c>
      <c r="B69" s="107">
        <f>SUM(B70)</f>
        <v>90000</v>
      </c>
      <c r="C69" s="107">
        <f>SUM(C70)</f>
        <v>0</v>
      </c>
      <c r="D69" s="120">
        <f>IF(B69=0,"   ",C69/B69*100)</f>
        <v>0</v>
      </c>
      <c r="E69" s="121">
        <f>C69-B69</f>
        <v>-90000</v>
      </c>
    </row>
    <row r="70" spans="1:5" ht="26.25" thickBot="1">
      <c r="A70" s="83" t="s">
        <v>200</v>
      </c>
      <c r="B70" s="130">
        <v>90000</v>
      </c>
      <c r="C70" s="130">
        <v>0</v>
      </c>
      <c r="D70" s="120">
        <f>IF(B70=0,"   ",C70/B70*100)</f>
        <v>0</v>
      </c>
      <c r="E70" s="121">
        <f>C70-B70</f>
        <v>-90000</v>
      </c>
    </row>
    <row r="71" spans="1:5" ht="13.5" customHeight="1" thickBot="1">
      <c r="A71" s="137" t="s">
        <v>13</v>
      </c>
      <c r="B71" s="138">
        <f>SUM(B79,B78,B72)</f>
        <v>2397630</v>
      </c>
      <c r="C71" s="138">
        <f>SUM(C79,C78,C72)</f>
        <v>391393.45</v>
      </c>
      <c r="D71" s="139">
        <f t="shared" si="0"/>
        <v>16.32418054495481</v>
      </c>
      <c r="E71" s="140">
        <f t="shared" si="1"/>
        <v>-2006236.55</v>
      </c>
    </row>
    <row r="72" spans="1:5" ht="13.5" customHeight="1" thickBot="1">
      <c r="A72" s="41" t="s">
        <v>157</v>
      </c>
      <c r="B72" s="126">
        <f>SUM(B73+B74)</f>
        <v>1959860</v>
      </c>
      <c r="C72" s="126">
        <f>SUM(C73+C74)</f>
        <v>0</v>
      </c>
      <c r="D72" s="139">
        <f t="shared" si="0"/>
        <v>0</v>
      </c>
      <c r="E72" s="140">
        <f t="shared" si="1"/>
        <v>-1959860</v>
      </c>
    </row>
    <row r="73" spans="1:5" ht="30.75" customHeight="1" thickBot="1">
      <c r="A73" s="16" t="s">
        <v>224</v>
      </c>
      <c r="B73" s="126">
        <v>0</v>
      </c>
      <c r="C73" s="126">
        <v>0</v>
      </c>
      <c r="D73" s="139" t="str">
        <f t="shared" si="0"/>
        <v>   </v>
      </c>
      <c r="E73" s="133">
        <f t="shared" si="1"/>
        <v>0</v>
      </c>
    </row>
    <row r="74" spans="1:5" ht="19.5" customHeight="1" thickBot="1">
      <c r="A74" s="113" t="s">
        <v>237</v>
      </c>
      <c r="B74" s="126">
        <f>SUM(B75+B76+B77)</f>
        <v>1959860</v>
      </c>
      <c r="C74" s="126">
        <f>SUM(C75+C76+C77)</f>
        <v>0</v>
      </c>
      <c r="D74" s="139">
        <f>IF(B74=0,"   ",C74/B74*100)</f>
        <v>0</v>
      </c>
      <c r="E74" s="133">
        <f>C74-B74</f>
        <v>-1959860</v>
      </c>
    </row>
    <row r="75" spans="1:5" ht="30.75" customHeight="1" thickBot="1">
      <c r="A75" s="113" t="s">
        <v>250</v>
      </c>
      <c r="B75" s="126">
        <v>1175900</v>
      </c>
      <c r="C75" s="126">
        <v>0</v>
      </c>
      <c r="D75" s="139">
        <f>IF(B75=0,"   ",C75/B75*100)</f>
        <v>0</v>
      </c>
      <c r="E75" s="133">
        <f>C75-B75</f>
        <v>-1175900</v>
      </c>
    </row>
    <row r="76" spans="1:5" ht="30.75" customHeight="1" thickBot="1">
      <c r="A76" s="113" t="s">
        <v>238</v>
      </c>
      <c r="B76" s="126">
        <v>391980</v>
      </c>
      <c r="C76" s="126">
        <v>0</v>
      </c>
      <c r="D76" s="139">
        <f>IF(B76=0,"   ",C76/B76*100)</f>
        <v>0</v>
      </c>
      <c r="E76" s="133">
        <f>C76-B76</f>
        <v>-391980</v>
      </c>
    </row>
    <row r="77" spans="1:5" ht="30.75" customHeight="1" thickBot="1">
      <c r="A77" s="113" t="s">
        <v>251</v>
      </c>
      <c r="B77" s="126">
        <v>391980</v>
      </c>
      <c r="C77" s="126">
        <v>0</v>
      </c>
      <c r="D77" s="139">
        <f>IF(B77=0,"   ",C77/B77*100)</f>
        <v>0</v>
      </c>
      <c r="E77" s="133">
        <f>C77-B77</f>
        <v>-391980</v>
      </c>
    </row>
    <row r="78" spans="1:5" ht="13.5" customHeight="1" thickBot="1">
      <c r="A78" s="125" t="s">
        <v>85</v>
      </c>
      <c r="B78" s="126">
        <v>0</v>
      </c>
      <c r="C78" s="126">
        <v>0</v>
      </c>
      <c r="D78" s="139" t="str">
        <f t="shared" si="0"/>
        <v>   </v>
      </c>
      <c r="E78" s="128">
        <f t="shared" si="1"/>
        <v>0</v>
      </c>
    </row>
    <row r="79" spans="1:5" ht="12.75">
      <c r="A79" s="16" t="s">
        <v>58</v>
      </c>
      <c r="B79" s="25">
        <f>B80+B86+B81+B82</f>
        <v>437770</v>
      </c>
      <c r="C79" s="25">
        <f>C80+C86+C81+C82</f>
        <v>391393.45</v>
      </c>
      <c r="D79" s="26">
        <f t="shared" si="0"/>
        <v>89.4061836123992</v>
      </c>
      <c r="E79" s="42">
        <f t="shared" si="1"/>
        <v>-46376.54999999999</v>
      </c>
    </row>
    <row r="80" spans="1:5" ht="12.75">
      <c r="A80" s="16" t="s">
        <v>56</v>
      </c>
      <c r="B80" s="25">
        <v>57000</v>
      </c>
      <c r="C80" s="27">
        <v>16623.45</v>
      </c>
      <c r="D80" s="26">
        <f t="shared" si="0"/>
        <v>29.163947368421056</v>
      </c>
      <c r="E80" s="42">
        <f t="shared" si="1"/>
        <v>-40376.55</v>
      </c>
    </row>
    <row r="81" spans="1:5" ht="25.5">
      <c r="A81" s="113" t="s">
        <v>178</v>
      </c>
      <c r="B81" s="25">
        <v>0</v>
      </c>
      <c r="C81" s="27">
        <v>0</v>
      </c>
      <c r="D81" s="120" t="str">
        <f t="shared" si="0"/>
        <v>   </v>
      </c>
      <c r="E81" s="121">
        <f t="shared" si="1"/>
        <v>0</v>
      </c>
    </row>
    <row r="82" spans="1:5" ht="12.75">
      <c r="A82" s="113" t="s">
        <v>237</v>
      </c>
      <c r="B82" s="25">
        <f>SUM(B83+B84+B85)</f>
        <v>374770</v>
      </c>
      <c r="C82" s="25">
        <f>SUM(C83+C84+C85)</f>
        <v>374770</v>
      </c>
      <c r="D82" s="120"/>
      <c r="E82" s="121"/>
    </row>
    <row r="83" spans="1:5" ht="25.5">
      <c r="A83" s="113" t="s">
        <v>211</v>
      </c>
      <c r="B83" s="122">
        <v>224800</v>
      </c>
      <c r="C83" s="123">
        <v>224800</v>
      </c>
      <c r="D83" s="120">
        <f t="shared" si="0"/>
        <v>100</v>
      </c>
      <c r="E83" s="121">
        <f t="shared" si="1"/>
        <v>0</v>
      </c>
    </row>
    <row r="84" spans="1:5" ht="15" customHeight="1">
      <c r="A84" s="113" t="s">
        <v>214</v>
      </c>
      <c r="B84" s="122">
        <v>75020</v>
      </c>
      <c r="C84" s="123">
        <v>75020</v>
      </c>
      <c r="D84" s="120">
        <f t="shared" si="0"/>
        <v>100</v>
      </c>
      <c r="E84" s="121">
        <f t="shared" si="1"/>
        <v>0</v>
      </c>
    </row>
    <row r="85" spans="1:5" ht="16.5" customHeight="1">
      <c r="A85" s="113" t="s">
        <v>215</v>
      </c>
      <c r="B85" s="122">
        <v>74950</v>
      </c>
      <c r="C85" s="123">
        <v>74950</v>
      </c>
      <c r="D85" s="120">
        <f t="shared" si="0"/>
        <v>100</v>
      </c>
      <c r="E85" s="121">
        <f t="shared" si="1"/>
        <v>0</v>
      </c>
    </row>
    <row r="86" spans="1:5" ht="12.75">
      <c r="A86" s="113" t="s">
        <v>59</v>
      </c>
      <c r="B86" s="25">
        <v>6000</v>
      </c>
      <c r="C86" s="27">
        <v>0</v>
      </c>
      <c r="D86" s="26">
        <f t="shared" si="0"/>
        <v>0</v>
      </c>
      <c r="E86" s="27">
        <f t="shared" si="1"/>
        <v>-6000</v>
      </c>
    </row>
    <row r="87" spans="1:5" ht="13.5" thickBot="1">
      <c r="A87" s="16" t="s">
        <v>95</v>
      </c>
      <c r="B87" s="25">
        <v>0</v>
      </c>
      <c r="C87" s="27">
        <v>0</v>
      </c>
      <c r="D87" s="26" t="str">
        <f t="shared" si="0"/>
        <v>   </v>
      </c>
      <c r="E87" s="27">
        <f t="shared" si="1"/>
        <v>0</v>
      </c>
    </row>
    <row r="88" spans="1:5" ht="15.75" thickBot="1">
      <c r="A88" s="141" t="s">
        <v>17</v>
      </c>
      <c r="B88" s="230">
        <v>8000</v>
      </c>
      <c r="C88" s="230">
        <v>8000</v>
      </c>
      <c r="D88" s="153">
        <f t="shared" si="0"/>
        <v>100</v>
      </c>
      <c r="E88" s="154">
        <f t="shared" si="1"/>
        <v>0</v>
      </c>
    </row>
    <row r="89" spans="1:5" ht="13.5" thickBot="1">
      <c r="A89" s="137" t="s">
        <v>41</v>
      </c>
      <c r="B89" s="194">
        <f>B90</f>
        <v>17241800</v>
      </c>
      <c r="C89" s="194">
        <f>C90</f>
        <v>238400</v>
      </c>
      <c r="D89" s="139">
        <f t="shared" si="0"/>
        <v>1.382686262455196</v>
      </c>
      <c r="E89" s="140">
        <f t="shared" si="1"/>
        <v>-17003400</v>
      </c>
    </row>
    <row r="90" spans="1:5" ht="12.75">
      <c r="A90" s="125" t="s">
        <v>42</v>
      </c>
      <c r="B90" s="126">
        <f>SUM(B91+B92+B93+B94)</f>
        <v>17241800</v>
      </c>
      <c r="C90" s="126">
        <f>SUM(C91+C92+C93+C94)</f>
        <v>238400</v>
      </c>
      <c r="D90" s="127">
        <f t="shared" si="0"/>
        <v>1.382686262455196</v>
      </c>
      <c r="E90" s="128">
        <f t="shared" si="1"/>
        <v>-17003400</v>
      </c>
    </row>
    <row r="91" spans="1:5" ht="12.75">
      <c r="A91" s="179" t="s">
        <v>149</v>
      </c>
      <c r="B91" s="130">
        <v>278400</v>
      </c>
      <c r="C91" s="131">
        <v>238400</v>
      </c>
      <c r="D91" s="132">
        <f t="shared" si="0"/>
        <v>85.63218390804597</v>
      </c>
      <c r="E91" s="133">
        <f t="shared" si="1"/>
        <v>-40000</v>
      </c>
    </row>
    <row r="92" spans="1:5" ht="16.5" customHeight="1">
      <c r="A92" s="16" t="s">
        <v>288</v>
      </c>
      <c r="B92" s="25">
        <v>13975400</v>
      </c>
      <c r="C92" s="27">
        <v>0</v>
      </c>
      <c r="D92" s="26">
        <f t="shared" si="0"/>
        <v>0</v>
      </c>
      <c r="E92" s="27">
        <f t="shared" si="1"/>
        <v>-13975400</v>
      </c>
    </row>
    <row r="93" spans="1:5" ht="18" customHeight="1">
      <c r="A93" s="16" t="s">
        <v>286</v>
      </c>
      <c r="B93" s="25">
        <v>735500</v>
      </c>
      <c r="C93" s="27">
        <v>0</v>
      </c>
      <c r="D93" s="26">
        <f>IF(B93=0,"   ",C93/B93*100)</f>
        <v>0</v>
      </c>
      <c r="E93" s="27">
        <f>C93-B93</f>
        <v>-735500</v>
      </c>
    </row>
    <row r="94" spans="1:5" ht="21.75" customHeight="1" thickBot="1">
      <c r="A94" s="16" t="s">
        <v>287</v>
      </c>
      <c r="B94" s="25">
        <v>2252500</v>
      </c>
      <c r="C94" s="27">
        <v>0</v>
      </c>
      <c r="D94" s="26">
        <f t="shared" si="0"/>
        <v>0</v>
      </c>
      <c r="E94" s="27">
        <f t="shared" si="1"/>
        <v>-2252500</v>
      </c>
    </row>
    <row r="95" spans="1:5" ht="13.5" thickBot="1">
      <c r="A95" s="137" t="s">
        <v>125</v>
      </c>
      <c r="B95" s="195">
        <f>SUM(B96,)</f>
        <v>8000</v>
      </c>
      <c r="C95" s="195">
        <f>SUM(C96,)</f>
        <v>0</v>
      </c>
      <c r="D95" s="153">
        <f t="shared" si="0"/>
        <v>0</v>
      </c>
      <c r="E95" s="154">
        <f t="shared" si="1"/>
        <v>-8000</v>
      </c>
    </row>
    <row r="96" spans="1:5" ht="12.75">
      <c r="A96" s="135" t="s">
        <v>43</v>
      </c>
      <c r="B96" s="130">
        <v>8000</v>
      </c>
      <c r="C96" s="136">
        <v>0</v>
      </c>
      <c r="D96" s="132">
        <f t="shared" si="0"/>
        <v>0</v>
      </c>
      <c r="E96" s="133">
        <f t="shared" si="1"/>
        <v>-8000</v>
      </c>
    </row>
    <row r="97" spans="1:5" ht="27" customHeight="1">
      <c r="A97" s="183" t="s">
        <v>15</v>
      </c>
      <c r="B97" s="159">
        <f>SUM(B51,B57,B59,B61,B71,B88,B89,B95,)</f>
        <v>23168930</v>
      </c>
      <c r="C97" s="159">
        <f>SUM(C51,C57,C59,C61,C71,C88,C89,C95,)</f>
        <v>1338234.22</v>
      </c>
      <c r="D97" s="149">
        <f>IF(B97=0,"   ",C97/B97*100)</f>
        <v>5.775986288533825</v>
      </c>
      <c r="E97" s="150">
        <f>C97-B97</f>
        <v>-21830695.78</v>
      </c>
    </row>
    <row r="98" spans="1:5" s="66" customFormat="1" ht="23.25" customHeight="1">
      <c r="A98" s="88" t="s">
        <v>262</v>
      </c>
      <c r="B98" s="88"/>
      <c r="C98" s="287"/>
      <c r="D98" s="287"/>
      <c r="E98" s="287"/>
    </row>
    <row r="99" spans="1:5" s="66" customFormat="1" ht="12" customHeight="1">
      <c r="A99" s="88" t="s">
        <v>163</v>
      </c>
      <c r="B99" s="88"/>
      <c r="C99" s="89" t="s">
        <v>268</v>
      </c>
      <c r="D99" s="90"/>
      <c r="E99" s="91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spans="1:5" ht="12.75">
      <c r="A103" s="7"/>
      <c r="B103" s="7"/>
      <c r="C103" s="6"/>
      <c r="D103" s="7"/>
      <c r="E103" s="2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</sheetData>
  <sheetProtection/>
  <mergeCells count="2">
    <mergeCell ref="A1:E1"/>
    <mergeCell ref="C98:E98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zoomScaleSheetLayoutView="100" zoomScalePageLayoutView="0" workbookViewId="0" topLeftCell="A25">
      <selection activeCell="D11" sqref="D11"/>
    </sheetView>
  </sheetViews>
  <sheetFormatPr defaultColWidth="9.00390625" defaultRowHeight="12.75"/>
  <cols>
    <col min="1" max="1" width="105.12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89" t="s">
        <v>298</v>
      </c>
      <c r="B1" s="289"/>
      <c r="C1" s="289"/>
      <c r="D1" s="289"/>
      <c r="E1" s="289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279</v>
      </c>
      <c r="C3" s="32" t="s">
        <v>296</v>
      </c>
      <c r="D3" s="19" t="s">
        <v>280</v>
      </c>
      <c r="E3" s="36" t="s">
        <v>284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31700</v>
      </c>
      <c r="C6" s="157">
        <f>SUM(C7)</f>
        <v>39823.17</v>
      </c>
      <c r="D6" s="26">
        <f aca="true" t="shared" si="0" ref="D6:D87">IF(B6=0,"   ",C6/B6*100)</f>
        <v>125.62514195583596</v>
      </c>
      <c r="E6" s="42">
        <f aca="true" t="shared" si="1" ref="E6:E88">C6-B6</f>
        <v>8123.169999999998</v>
      </c>
    </row>
    <row r="7" spans="1:5" ht="15" customHeight="1">
      <c r="A7" s="16" t="s">
        <v>44</v>
      </c>
      <c r="B7" s="25">
        <v>31700</v>
      </c>
      <c r="C7" s="274">
        <v>39823.17</v>
      </c>
      <c r="D7" s="26">
        <f t="shared" si="0"/>
        <v>125.62514195583596</v>
      </c>
      <c r="E7" s="42">
        <f t="shared" si="1"/>
        <v>8123.169999999998</v>
      </c>
    </row>
    <row r="8" spans="1:5" ht="15.75" customHeight="1">
      <c r="A8" s="71" t="s">
        <v>142</v>
      </c>
      <c r="B8" s="24">
        <f>SUM(B9)</f>
        <v>302600</v>
      </c>
      <c r="C8" s="234">
        <f>SUM(C9)</f>
        <v>168119.14</v>
      </c>
      <c r="D8" s="26">
        <f t="shared" si="0"/>
        <v>55.55820885657634</v>
      </c>
      <c r="E8" s="42">
        <f t="shared" si="1"/>
        <v>-134480.86</v>
      </c>
    </row>
    <row r="9" spans="1:5" ht="15" customHeight="1">
      <c r="A9" s="41" t="s">
        <v>143</v>
      </c>
      <c r="B9" s="25">
        <v>302600</v>
      </c>
      <c r="C9" s="274">
        <v>168119.14</v>
      </c>
      <c r="D9" s="26">
        <f t="shared" si="0"/>
        <v>55.55820885657634</v>
      </c>
      <c r="E9" s="42">
        <f t="shared" si="1"/>
        <v>-134480.86</v>
      </c>
    </row>
    <row r="10" spans="1:5" ht="16.5" customHeight="1">
      <c r="A10" s="16" t="s">
        <v>7</v>
      </c>
      <c r="B10" s="25">
        <f>B11</f>
        <v>23900</v>
      </c>
      <c r="C10" s="235">
        <f>C11</f>
        <v>34660.25</v>
      </c>
      <c r="D10" s="26">
        <f t="shared" si="0"/>
        <v>145.02196652719667</v>
      </c>
      <c r="E10" s="42">
        <f t="shared" si="1"/>
        <v>10760.25</v>
      </c>
    </row>
    <row r="11" spans="1:5" ht="15" customHeight="1">
      <c r="A11" s="16" t="s">
        <v>26</v>
      </c>
      <c r="B11" s="25">
        <v>23900</v>
      </c>
      <c r="C11" s="274">
        <v>34660.25</v>
      </c>
      <c r="D11" s="26">
        <f t="shared" si="0"/>
        <v>145.02196652719667</v>
      </c>
      <c r="E11" s="42">
        <f t="shared" si="1"/>
        <v>10760.25</v>
      </c>
    </row>
    <row r="12" spans="1:5" ht="15" customHeight="1">
      <c r="A12" s="16" t="s">
        <v>9</v>
      </c>
      <c r="B12" s="25">
        <f>SUM(B13:B14)</f>
        <v>232000</v>
      </c>
      <c r="C12" s="235">
        <f>SUM(C13:C14)</f>
        <v>18080.27</v>
      </c>
      <c r="D12" s="26">
        <f t="shared" si="0"/>
        <v>7.793219827586208</v>
      </c>
      <c r="E12" s="42">
        <f t="shared" si="1"/>
        <v>-213919.73</v>
      </c>
    </row>
    <row r="13" spans="1:5" ht="12.75" customHeight="1">
      <c r="A13" s="16" t="s">
        <v>27</v>
      </c>
      <c r="B13" s="25">
        <v>67000</v>
      </c>
      <c r="C13" s="274">
        <v>11134.17</v>
      </c>
      <c r="D13" s="26">
        <f t="shared" si="0"/>
        <v>16.61816417910448</v>
      </c>
      <c r="E13" s="42">
        <f t="shared" si="1"/>
        <v>-55865.83</v>
      </c>
    </row>
    <row r="14" spans="1:5" ht="15" customHeight="1">
      <c r="A14" s="41" t="s">
        <v>171</v>
      </c>
      <c r="B14" s="31">
        <f>SUM(B15:B16)</f>
        <v>165000</v>
      </c>
      <c r="C14" s="235">
        <f>SUM(C15:C16)</f>
        <v>6946.1</v>
      </c>
      <c r="D14" s="26">
        <f t="shared" si="0"/>
        <v>4.209757575757576</v>
      </c>
      <c r="E14" s="42">
        <f t="shared" si="1"/>
        <v>-158053.9</v>
      </c>
    </row>
    <row r="15" spans="1:5" ht="15" customHeight="1">
      <c r="A15" s="41" t="s">
        <v>172</v>
      </c>
      <c r="B15" s="31">
        <v>5000</v>
      </c>
      <c r="C15" s="274">
        <v>2212</v>
      </c>
      <c r="D15" s="26">
        <f t="shared" si="0"/>
        <v>44.24</v>
      </c>
      <c r="E15" s="42">
        <f t="shared" si="1"/>
        <v>-2788</v>
      </c>
    </row>
    <row r="16" spans="1:5" ht="15" customHeight="1">
      <c r="A16" s="41" t="s">
        <v>173</v>
      </c>
      <c r="B16" s="31">
        <v>160000</v>
      </c>
      <c r="C16" s="274">
        <v>4734.1</v>
      </c>
      <c r="D16" s="26">
        <f t="shared" si="0"/>
        <v>2.9588125000000005</v>
      </c>
      <c r="E16" s="42">
        <f t="shared" si="1"/>
        <v>-155265.9</v>
      </c>
    </row>
    <row r="17" spans="1:5" ht="15" customHeight="1">
      <c r="A17" s="41" t="s">
        <v>225</v>
      </c>
      <c r="B17" s="31">
        <v>0</v>
      </c>
      <c r="C17" s="236">
        <v>1900</v>
      </c>
      <c r="D17" s="26" t="str">
        <f t="shared" si="0"/>
        <v>   </v>
      </c>
      <c r="E17" s="42">
        <f t="shared" si="1"/>
        <v>1900</v>
      </c>
    </row>
    <row r="18" spans="1:5" ht="27.75" customHeight="1">
      <c r="A18" s="16" t="s">
        <v>88</v>
      </c>
      <c r="B18" s="25">
        <v>0</v>
      </c>
      <c r="C18" s="235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49000</v>
      </c>
      <c r="C19" s="235">
        <f>SUM(C20:C21)</f>
        <v>16943.52</v>
      </c>
      <c r="D19" s="26">
        <f t="shared" si="0"/>
        <v>34.57861224489796</v>
      </c>
      <c r="E19" s="42">
        <f t="shared" si="1"/>
        <v>-32056.48</v>
      </c>
    </row>
    <row r="20" spans="1:5" ht="12.75" customHeight="1">
      <c r="A20" s="41" t="s">
        <v>161</v>
      </c>
      <c r="B20" s="25">
        <v>15000</v>
      </c>
      <c r="C20" s="274">
        <v>17.58</v>
      </c>
      <c r="D20" s="26">
        <f t="shared" si="0"/>
        <v>0.11719999999999998</v>
      </c>
      <c r="E20" s="42">
        <f t="shared" si="1"/>
        <v>-14982.42</v>
      </c>
    </row>
    <row r="21" spans="1:5" ht="15.75" customHeight="1">
      <c r="A21" s="16" t="s">
        <v>30</v>
      </c>
      <c r="B21" s="25">
        <v>34000</v>
      </c>
      <c r="C21" s="274">
        <v>16925.94</v>
      </c>
      <c r="D21" s="26">
        <f t="shared" si="0"/>
        <v>49.78217647058823</v>
      </c>
      <c r="E21" s="42">
        <f t="shared" si="1"/>
        <v>-17074.06</v>
      </c>
    </row>
    <row r="22" spans="1:5" ht="15.75" customHeight="1">
      <c r="A22" s="39" t="s">
        <v>92</v>
      </c>
      <c r="B22" s="25">
        <v>0</v>
      </c>
      <c r="C22" s="236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0</v>
      </c>
      <c r="C23" s="234">
        <f>C24+C25</f>
        <v>104465.64</v>
      </c>
      <c r="D23" s="26" t="str">
        <f t="shared" si="0"/>
        <v>   </v>
      </c>
      <c r="E23" s="42">
        <f t="shared" si="1"/>
        <v>104465.64</v>
      </c>
    </row>
    <row r="24" spans="1:5" ht="27.75" customHeight="1">
      <c r="A24" s="16" t="s">
        <v>269</v>
      </c>
      <c r="B24" s="25">
        <v>0</v>
      </c>
      <c r="C24" s="277">
        <v>0</v>
      </c>
      <c r="D24" s="26" t="str">
        <f t="shared" si="0"/>
        <v>   </v>
      </c>
      <c r="E24" s="42">
        <f t="shared" si="1"/>
        <v>0</v>
      </c>
    </row>
    <row r="25" spans="1:5" ht="15" customHeight="1">
      <c r="A25" s="41" t="s">
        <v>139</v>
      </c>
      <c r="B25" s="25">
        <v>0</v>
      </c>
      <c r="C25" s="274">
        <v>104465.64</v>
      </c>
      <c r="D25" s="26" t="str">
        <f t="shared" si="0"/>
        <v>   </v>
      </c>
      <c r="E25" s="42">
        <f t="shared" si="1"/>
        <v>104465.64</v>
      </c>
    </row>
    <row r="26" spans="1:5" ht="13.5" customHeight="1">
      <c r="A26" s="16" t="s">
        <v>32</v>
      </c>
      <c r="B26" s="25">
        <f>SUM(B27:B28)</f>
        <v>0</v>
      </c>
      <c r="C26" s="235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3.5" customHeight="1">
      <c r="A27" s="16" t="s">
        <v>46</v>
      </c>
      <c r="B27" s="25">
        <v>0</v>
      </c>
      <c r="C27" s="235">
        <v>-17.58</v>
      </c>
      <c r="D27" s="26"/>
      <c r="E27" s="42">
        <f t="shared" si="1"/>
        <v>-17.58</v>
      </c>
    </row>
    <row r="28" spans="1:5" ht="15" customHeight="1">
      <c r="A28" s="16" t="s">
        <v>50</v>
      </c>
      <c r="B28" s="2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13.5" customHeight="1">
      <c r="A29" s="16" t="s">
        <v>31</v>
      </c>
      <c r="B29" s="25">
        <v>0</v>
      </c>
      <c r="C29" s="235">
        <v>0</v>
      </c>
      <c r="D29" s="26" t="str">
        <f t="shared" si="0"/>
        <v>   </v>
      </c>
      <c r="E29" s="42">
        <f t="shared" si="1"/>
        <v>0</v>
      </c>
    </row>
    <row r="30" spans="1:5" ht="22.5" customHeight="1">
      <c r="A30" s="183" t="s">
        <v>10</v>
      </c>
      <c r="B30" s="43">
        <f>SUM(B6,B8,B10,B12,B18,B19,B22,B23,B29,B26,B17)</f>
        <v>639200</v>
      </c>
      <c r="C30" s="159">
        <f>SUM(C6,C8,C10,C12,C18,C19,C22,C23,C29,C26,C17)</f>
        <v>383974.41</v>
      </c>
      <c r="D30" s="149">
        <f t="shared" si="0"/>
        <v>60.071090425531914</v>
      </c>
      <c r="E30" s="150">
        <f t="shared" si="1"/>
        <v>-255225.59000000003</v>
      </c>
    </row>
    <row r="31" spans="1:5" ht="16.5" customHeight="1">
      <c r="A31" s="191" t="s">
        <v>145</v>
      </c>
      <c r="B31" s="201">
        <f>SUM(B32:B35,B38:B41,B43)</f>
        <v>2552300</v>
      </c>
      <c r="C31" s="201">
        <f>SUM(C32:C35,C38:C41,C43)</f>
        <v>1110936.1</v>
      </c>
      <c r="D31" s="149">
        <f t="shared" si="0"/>
        <v>43.52686204599773</v>
      </c>
      <c r="E31" s="150">
        <f t="shared" si="1"/>
        <v>-1441363.9</v>
      </c>
    </row>
    <row r="32" spans="1:5" ht="20.25" customHeight="1">
      <c r="A32" s="17" t="s">
        <v>34</v>
      </c>
      <c r="B32" s="24">
        <v>1257000</v>
      </c>
      <c r="C32" s="278">
        <v>628400</v>
      </c>
      <c r="D32" s="26">
        <f t="shared" si="0"/>
        <v>49.99204455051711</v>
      </c>
      <c r="E32" s="42">
        <f t="shared" si="1"/>
        <v>-628600</v>
      </c>
    </row>
    <row r="33" spans="1:5" ht="20.25" customHeight="1">
      <c r="A33" s="17" t="s">
        <v>270</v>
      </c>
      <c r="B33" s="24">
        <v>0</v>
      </c>
      <c r="C33" s="278">
        <v>0</v>
      </c>
      <c r="D33" s="26"/>
      <c r="E33" s="42"/>
    </row>
    <row r="34" spans="1:5" ht="26.25" customHeight="1">
      <c r="A34" s="142" t="s">
        <v>51</v>
      </c>
      <c r="B34" s="143">
        <v>89900</v>
      </c>
      <c r="C34" s="278">
        <v>43994</v>
      </c>
      <c r="D34" s="144">
        <f t="shared" si="0"/>
        <v>48.93659621802002</v>
      </c>
      <c r="E34" s="145">
        <f t="shared" si="1"/>
        <v>-45906</v>
      </c>
    </row>
    <row r="35" spans="1:5" ht="26.25" customHeight="1">
      <c r="A35" s="117" t="s">
        <v>155</v>
      </c>
      <c r="B35" s="143">
        <f>SUM(B36:B37)</f>
        <v>100</v>
      </c>
      <c r="C35" s="143">
        <f>SUM(C36:C37)</f>
        <v>100</v>
      </c>
      <c r="D35" s="144">
        <f t="shared" si="0"/>
        <v>100</v>
      </c>
      <c r="E35" s="145">
        <f t="shared" si="1"/>
        <v>0</v>
      </c>
    </row>
    <row r="36" spans="1:5" ht="17.25" customHeight="1">
      <c r="A36" s="117" t="s">
        <v>174</v>
      </c>
      <c r="B36" s="143">
        <v>100</v>
      </c>
      <c r="C36" s="143">
        <v>100</v>
      </c>
      <c r="D36" s="144">
        <f>IF(B36=0,"   ",C36/B36*100)</f>
        <v>100</v>
      </c>
      <c r="E36" s="145">
        <f>C36-B36</f>
        <v>0</v>
      </c>
    </row>
    <row r="37" spans="1:5" ht="26.25" customHeight="1">
      <c r="A37" s="117" t="s">
        <v>175</v>
      </c>
      <c r="B37" s="143">
        <v>0</v>
      </c>
      <c r="C37" s="143">
        <v>0</v>
      </c>
      <c r="D37" s="144" t="str">
        <f>IF(B37=0,"   ",C37/B37*100)</f>
        <v>   </v>
      </c>
      <c r="E37" s="145">
        <f>C37-B37</f>
        <v>0</v>
      </c>
    </row>
    <row r="38" spans="1:5" ht="44.25" customHeight="1">
      <c r="A38" s="16" t="s">
        <v>104</v>
      </c>
      <c r="B38" s="25">
        <v>0</v>
      </c>
      <c r="C38" s="25">
        <v>0</v>
      </c>
      <c r="D38" s="26" t="str">
        <f t="shared" si="0"/>
        <v>   </v>
      </c>
      <c r="E38" s="42">
        <f t="shared" si="1"/>
        <v>0</v>
      </c>
    </row>
    <row r="39" spans="1:5" ht="18.75" customHeight="1">
      <c r="A39" s="16" t="s">
        <v>182</v>
      </c>
      <c r="B39" s="25">
        <v>0</v>
      </c>
      <c r="C39" s="25">
        <v>0</v>
      </c>
      <c r="D39" s="26" t="str">
        <f t="shared" si="0"/>
        <v>   </v>
      </c>
      <c r="E39" s="42">
        <f t="shared" si="1"/>
        <v>0</v>
      </c>
    </row>
    <row r="40" spans="1:5" ht="57" customHeight="1">
      <c r="A40" s="16" t="s">
        <v>291</v>
      </c>
      <c r="B40" s="25">
        <v>731500</v>
      </c>
      <c r="C40" s="25">
        <v>62073</v>
      </c>
      <c r="D40" s="26">
        <f t="shared" si="0"/>
        <v>8.485714285714286</v>
      </c>
      <c r="E40" s="42">
        <f t="shared" si="1"/>
        <v>-669427</v>
      </c>
    </row>
    <row r="41" spans="1:5" ht="15" customHeight="1">
      <c r="A41" s="16" t="s">
        <v>55</v>
      </c>
      <c r="B41" s="25">
        <f>B42</f>
        <v>388000</v>
      </c>
      <c r="C41" s="25">
        <f>C42</f>
        <v>308291.8</v>
      </c>
      <c r="D41" s="26">
        <f t="shared" si="0"/>
        <v>79.45664948453609</v>
      </c>
      <c r="E41" s="42">
        <f t="shared" si="1"/>
        <v>-79708.20000000001</v>
      </c>
    </row>
    <row r="42" spans="1:5" s="7" customFormat="1" ht="18" customHeight="1">
      <c r="A42" s="53" t="s">
        <v>212</v>
      </c>
      <c r="B42" s="54">
        <v>388000</v>
      </c>
      <c r="C42" s="27">
        <v>308291.8</v>
      </c>
      <c r="D42" s="54">
        <f t="shared" si="0"/>
        <v>79.45664948453609</v>
      </c>
      <c r="E42" s="40">
        <f t="shared" si="1"/>
        <v>-79708.20000000001</v>
      </c>
    </row>
    <row r="43" spans="1:5" s="7" customFormat="1" ht="18" customHeight="1">
      <c r="A43" s="16" t="s">
        <v>228</v>
      </c>
      <c r="B43" s="54">
        <v>85800</v>
      </c>
      <c r="C43" s="27">
        <v>68077.3</v>
      </c>
      <c r="D43" s="54">
        <f t="shared" si="0"/>
        <v>79.3441724941725</v>
      </c>
      <c r="E43" s="40">
        <f t="shared" si="1"/>
        <v>-17722.699999999997</v>
      </c>
    </row>
    <row r="44" spans="1:5" ht="18.75" customHeight="1">
      <c r="A44" s="183" t="s">
        <v>11</v>
      </c>
      <c r="B44" s="159">
        <f>SUM(B30:B31,)</f>
        <v>3191500</v>
      </c>
      <c r="C44" s="159">
        <f>SUM(C30:C31,)</f>
        <v>1494910.51</v>
      </c>
      <c r="D44" s="149">
        <f t="shared" si="0"/>
        <v>46.840373178756074</v>
      </c>
      <c r="E44" s="150">
        <f t="shared" si="1"/>
        <v>-1696589.49</v>
      </c>
    </row>
    <row r="45" spans="1:5" ht="15" customHeight="1" thickBot="1">
      <c r="A45" s="114" t="s">
        <v>12</v>
      </c>
      <c r="B45" s="115"/>
      <c r="C45" s="116"/>
      <c r="D45" s="120" t="str">
        <f t="shared" si="0"/>
        <v>   </v>
      </c>
      <c r="E45" s="121">
        <f t="shared" si="1"/>
        <v>0</v>
      </c>
    </row>
    <row r="46" spans="1:5" ht="27.75" customHeight="1" thickBot="1">
      <c r="A46" s="137" t="s">
        <v>35</v>
      </c>
      <c r="B46" s="138">
        <f>SUM(B47,B49:B50)</f>
        <v>1245800</v>
      </c>
      <c r="C46" s="138">
        <f>SUM(C47,C49:C50)</f>
        <v>596838.31</v>
      </c>
      <c r="D46" s="139">
        <f t="shared" si="0"/>
        <v>47.90803580028897</v>
      </c>
      <c r="E46" s="140">
        <f t="shared" si="1"/>
        <v>-648961.69</v>
      </c>
    </row>
    <row r="47" spans="1:5" ht="15.75" customHeight="1">
      <c r="A47" s="125" t="s">
        <v>36</v>
      </c>
      <c r="B47" s="126">
        <v>1145300</v>
      </c>
      <c r="C47" s="126">
        <v>496838.31</v>
      </c>
      <c r="D47" s="127">
        <f t="shared" si="0"/>
        <v>43.380626036846245</v>
      </c>
      <c r="E47" s="128">
        <f t="shared" si="1"/>
        <v>-648461.69</v>
      </c>
    </row>
    <row r="48" spans="1:5" ht="14.25" customHeight="1">
      <c r="A48" s="93" t="s">
        <v>121</v>
      </c>
      <c r="B48" s="25">
        <v>729800</v>
      </c>
      <c r="C48" s="28">
        <v>352738.9</v>
      </c>
      <c r="D48" s="26">
        <f t="shared" si="0"/>
        <v>48.33363935324747</v>
      </c>
      <c r="E48" s="42">
        <f t="shared" si="1"/>
        <v>-377061.1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16" t="s">
        <v>52</v>
      </c>
      <c r="B50" s="25">
        <f>B51+B52</f>
        <v>100000</v>
      </c>
      <c r="C50" s="25">
        <f>C51+C52</f>
        <v>100000</v>
      </c>
      <c r="D50" s="26">
        <f t="shared" si="0"/>
        <v>100</v>
      </c>
      <c r="E50" s="42">
        <f t="shared" si="1"/>
        <v>0</v>
      </c>
    </row>
    <row r="51" spans="1:5" ht="24" customHeight="1">
      <c r="A51" s="113" t="s">
        <v>164</v>
      </c>
      <c r="B51" s="25">
        <v>0</v>
      </c>
      <c r="C51" s="27">
        <v>0</v>
      </c>
      <c r="D51" s="26" t="str">
        <f t="shared" si="0"/>
        <v>   </v>
      </c>
      <c r="E51" s="42">
        <f t="shared" si="1"/>
        <v>0</v>
      </c>
    </row>
    <row r="52" spans="1:5" ht="24" customHeight="1" thickBot="1">
      <c r="A52" s="113" t="s">
        <v>290</v>
      </c>
      <c r="B52" s="25">
        <v>100000</v>
      </c>
      <c r="C52" s="27">
        <v>100000</v>
      </c>
      <c r="D52" s="26">
        <f>IF(B52=0,"   ",C52/B52*100)</f>
        <v>100</v>
      </c>
      <c r="E52" s="42">
        <f>C52-B52</f>
        <v>0</v>
      </c>
    </row>
    <row r="53" spans="1:5" ht="14.25" customHeight="1" thickBot="1">
      <c r="A53" s="137" t="s">
        <v>49</v>
      </c>
      <c r="B53" s="285">
        <f>SUM(B54)</f>
        <v>89900</v>
      </c>
      <c r="C53" s="285">
        <f>SUM(C54)</f>
        <v>36160.68</v>
      </c>
      <c r="D53" s="139">
        <f t="shared" si="0"/>
        <v>40.22322580645161</v>
      </c>
      <c r="E53" s="140">
        <f t="shared" si="1"/>
        <v>-53739.32</v>
      </c>
    </row>
    <row r="54" spans="1:5" ht="22.5" customHeight="1" thickBot="1">
      <c r="A54" s="129" t="s">
        <v>108</v>
      </c>
      <c r="B54" s="130">
        <v>89900</v>
      </c>
      <c r="C54" s="131">
        <v>36160.68</v>
      </c>
      <c r="D54" s="139">
        <f t="shared" si="0"/>
        <v>40.22322580645161</v>
      </c>
      <c r="E54" s="133">
        <f t="shared" si="1"/>
        <v>-53739.32</v>
      </c>
    </row>
    <row r="55" spans="1:5" ht="17.25" customHeight="1" thickBot="1">
      <c r="A55" s="137" t="s">
        <v>37</v>
      </c>
      <c r="B55" s="138">
        <f>SUM(B56)</f>
        <v>400</v>
      </c>
      <c r="C55" s="138">
        <f>SUM(C56)</f>
        <v>400</v>
      </c>
      <c r="D55" s="139">
        <f t="shared" si="0"/>
        <v>100</v>
      </c>
      <c r="E55" s="140">
        <f t="shared" si="1"/>
        <v>0</v>
      </c>
    </row>
    <row r="56" spans="1:5" ht="15.75" customHeight="1">
      <c r="A56" s="83" t="s">
        <v>130</v>
      </c>
      <c r="B56" s="126">
        <v>400</v>
      </c>
      <c r="C56" s="134">
        <v>400</v>
      </c>
      <c r="D56" s="127">
        <f t="shared" si="0"/>
        <v>100</v>
      </c>
      <c r="E56" s="128">
        <f t="shared" si="1"/>
        <v>0</v>
      </c>
    </row>
    <row r="57" spans="1:5" ht="18.75" customHeight="1" thickBot="1">
      <c r="A57" s="155" t="s">
        <v>38</v>
      </c>
      <c r="B57" s="122">
        <f>B61+B58+B67</f>
        <v>1034100</v>
      </c>
      <c r="C57" s="122">
        <f>C61+C58+C67</f>
        <v>106108</v>
      </c>
      <c r="D57" s="120">
        <f t="shared" si="0"/>
        <v>10.260903200850983</v>
      </c>
      <c r="E57" s="121">
        <f t="shared" si="1"/>
        <v>-927992</v>
      </c>
    </row>
    <row r="58" spans="1:5" ht="18.75" customHeight="1" thickBot="1">
      <c r="A58" s="83" t="s">
        <v>176</v>
      </c>
      <c r="B58" s="107">
        <f>SUM(B59+B60)</f>
        <v>0</v>
      </c>
      <c r="C58" s="107">
        <f>SUM(C59+C60)</f>
        <v>0</v>
      </c>
      <c r="D58" s="120" t="str">
        <f>IF(B58=0,"   ",C58/B58*100)</f>
        <v>   </v>
      </c>
      <c r="E58" s="121">
        <f>C58-B58</f>
        <v>0</v>
      </c>
    </row>
    <row r="59" spans="1:5" ht="18.75" customHeight="1">
      <c r="A59" s="83" t="s">
        <v>177</v>
      </c>
      <c r="B59" s="130">
        <v>0</v>
      </c>
      <c r="C59" s="122">
        <v>0</v>
      </c>
      <c r="D59" s="120" t="str">
        <f>IF(B59=0,"   ",C59/B59*100)</f>
        <v>   </v>
      </c>
      <c r="E59" s="121">
        <f>C59-B59</f>
        <v>0</v>
      </c>
    </row>
    <row r="60" spans="1:5" ht="18.75" customHeight="1">
      <c r="A60" s="83" t="s">
        <v>213</v>
      </c>
      <c r="B60" s="130">
        <v>0</v>
      </c>
      <c r="C60" s="122">
        <v>0</v>
      </c>
      <c r="D60" s="120" t="str">
        <f>IF(B60=0,"   ",C60/B60*100)</f>
        <v>   </v>
      </c>
      <c r="E60" s="121">
        <f>C60-B60</f>
        <v>0</v>
      </c>
    </row>
    <row r="61" spans="1:5" ht="15" customHeight="1">
      <c r="A61" s="156" t="s">
        <v>134</v>
      </c>
      <c r="B61" s="25">
        <f>B62+B64+B66+B63+B65</f>
        <v>1034100</v>
      </c>
      <c r="C61" s="25">
        <f>C62+C64+C66+C63+C65</f>
        <v>106108</v>
      </c>
      <c r="D61" s="120">
        <f t="shared" si="0"/>
        <v>10.260903200850983</v>
      </c>
      <c r="E61" s="121">
        <f t="shared" si="1"/>
        <v>-927992</v>
      </c>
    </row>
    <row r="62" spans="1:5" ht="18.75" customHeight="1">
      <c r="A62" s="83" t="s">
        <v>146</v>
      </c>
      <c r="B62" s="25">
        <v>0</v>
      </c>
      <c r="C62" s="25">
        <v>0</v>
      </c>
      <c r="D62" s="120" t="str">
        <f t="shared" si="0"/>
        <v>   </v>
      </c>
      <c r="E62" s="121">
        <f t="shared" si="1"/>
        <v>0</v>
      </c>
    </row>
    <row r="63" spans="1:5" ht="18.75" customHeight="1">
      <c r="A63" s="83" t="s">
        <v>156</v>
      </c>
      <c r="B63" s="25">
        <v>0</v>
      </c>
      <c r="C63" s="25">
        <v>0</v>
      </c>
      <c r="D63" s="120" t="str">
        <f>IF(B63=0,"   ",C63/B63*100)</f>
        <v>   </v>
      </c>
      <c r="E63" s="121">
        <f>C63-B63</f>
        <v>0</v>
      </c>
    </row>
    <row r="64" spans="1:5" ht="30" customHeight="1">
      <c r="A64" s="156" t="s">
        <v>135</v>
      </c>
      <c r="B64" s="25">
        <v>731500</v>
      </c>
      <c r="C64" s="25">
        <v>62073</v>
      </c>
      <c r="D64" s="120">
        <f t="shared" si="0"/>
        <v>8.485714285714286</v>
      </c>
      <c r="E64" s="121">
        <f t="shared" si="1"/>
        <v>-669427</v>
      </c>
    </row>
    <row r="65" spans="1:5" ht="30" customHeight="1">
      <c r="A65" s="156" t="s">
        <v>188</v>
      </c>
      <c r="B65" s="25">
        <v>0</v>
      </c>
      <c r="C65" s="25">
        <v>0</v>
      </c>
      <c r="D65" s="120" t="str">
        <f t="shared" si="0"/>
        <v>   </v>
      </c>
      <c r="E65" s="121">
        <f t="shared" si="1"/>
        <v>0</v>
      </c>
    </row>
    <row r="66" spans="1:5" ht="31.5" customHeight="1" thickBot="1">
      <c r="A66" s="156" t="s">
        <v>187</v>
      </c>
      <c r="B66" s="25">
        <v>302600</v>
      </c>
      <c r="C66" s="25">
        <v>44035</v>
      </c>
      <c r="D66" s="120">
        <f t="shared" si="0"/>
        <v>14.5522141440846</v>
      </c>
      <c r="E66" s="121">
        <f t="shared" si="1"/>
        <v>-258565</v>
      </c>
    </row>
    <row r="67" spans="1:5" ht="18" customHeight="1" thickBot="1">
      <c r="A67" s="104" t="s">
        <v>199</v>
      </c>
      <c r="B67" s="107">
        <f>SUM(B68)</f>
        <v>0</v>
      </c>
      <c r="C67" s="107">
        <f>SUM(C68)</f>
        <v>0</v>
      </c>
      <c r="D67" s="120" t="str">
        <f>IF(B67=0,"   ",C67/B67*100)</f>
        <v>   </v>
      </c>
      <c r="E67" s="121">
        <f>C67-B67</f>
        <v>0</v>
      </c>
    </row>
    <row r="68" spans="1:5" ht="31.5" customHeight="1">
      <c r="A68" s="83" t="s">
        <v>200</v>
      </c>
      <c r="B68" s="130">
        <v>0</v>
      </c>
      <c r="C68" s="130"/>
      <c r="D68" s="120" t="str">
        <f>IF(B68=0,"   ",C68/B68*100)</f>
        <v>   </v>
      </c>
      <c r="E68" s="121">
        <f>C68-B68</f>
        <v>0</v>
      </c>
    </row>
    <row r="69" spans="1:5" ht="20.25" customHeight="1" thickBot="1">
      <c r="A69" s="152" t="s">
        <v>13</v>
      </c>
      <c r="B69" s="195">
        <f>SUM(B71,B70)</f>
        <v>900690</v>
      </c>
      <c r="C69" s="195">
        <f>SUM(C71,C70)</f>
        <v>719879.91</v>
      </c>
      <c r="D69" s="153">
        <f t="shared" si="0"/>
        <v>79.92538054158479</v>
      </c>
      <c r="E69" s="154">
        <f t="shared" si="1"/>
        <v>-180810.08999999997</v>
      </c>
    </row>
    <row r="70" spans="1:5" ht="15" customHeight="1">
      <c r="A70" s="41" t="s">
        <v>157</v>
      </c>
      <c r="B70" s="25">
        <v>0</v>
      </c>
      <c r="C70" s="25">
        <v>0</v>
      </c>
      <c r="D70" s="132"/>
      <c r="E70" s="133"/>
    </row>
    <row r="71" spans="1:5" ht="15" customHeight="1">
      <c r="A71" s="16" t="s">
        <v>58</v>
      </c>
      <c r="B71" s="25">
        <f>B72+B73+B74+B75</f>
        <v>900690</v>
      </c>
      <c r="C71" s="25">
        <f>C72+C73+C74+C75</f>
        <v>719879.91</v>
      </c>
      <c r="D71" s="26">
        <f t="shared" si="0"/>
        <v>79.92538054158479</v>
      </c>
      <c r="E71" s="42">
        <f t="shared" si="1"/>
        <v>-180810.08999999997</v>
      </c>
    </row>
    <row r="72" spans="1:5" ht="15" customHeight="1">
      <c r="A72" s="16" t="s">
        <v>60</v>
      </c>
      <c r="B72" s="25">
        <v>104000</v>
      </c>
      <c r="C72" s="27">
        <v>96853.99</v>
      </c>
      <c r="D72" s="26">
        <f t="shared" si="0"/>
        <v>93.12883653846154</v>
      </c>
      <c r="E72" s="42">
        <f t="shared" si="1"/>
        <v>-7146.009999999995</v>
      </c>
    </row>
    <row r="73" spans="1:5" ht="15" customHeight="1">
      <c r="A73" s="113" t="s">
        <v>59</v>
      </c>
      <c r="B73" s="122">
        <v>20000</v>
      </c>
      <c r="C73" s="123">
        <v>0</v>
      </c>
      <c r="D73" s="120">
        <f t="shared" si="0"/>
        <v>0</v>
      </c>
      <c r="E73" s="121">
        <f t="shared" si="1"/>
        <v>-20000</v>
      </c>
    </row>
    <row r="74" spans="1:5" ht="29.25" customHeight="1">
      <c r="A74" s="113" t="s">
        <v>178</v>
      </c>
      <c r="B74" s="25">
        <v>130000</v>
      </c>
      <c r="C74" s="27">
        <v>109195.72</v>
      </c>
      <c r="D74" s="26">
        <f t="shared" si="0"/>
        <v>83.9967076923077</v>
      </c>
      <c r="E74" s="27">
        <f t="shared" si="1"/>
        <v>-20804.28</v>
      </c>
    </row>
    <row r="75" spans="1:5" ht="21.75" customHeight="1">
      <c r="A75" s="113" t="s">
        <v>237</v>
      </c>
      <c r="B75" s="25">
        <f>SUM(B76+B77+B78)</f>
        <v>646690</v>
      </c>
      <c r="C75" s="25">
        <f>SUM(C76+C77+C78)</f>
        <v>513830.2</v>
      </c>
      <c r="D75" s="26">
        <f>IF(B75=0,"   ",C75/B75*100)</f>
        <v>79.45541140268135</v>
      </c>
      <c r="E75" s="27">
        <f>C75-B75</f>
        <v>-132859.8</v>
      </c>
    </row>
    <row r="76" spans="1:5" ht="29.25" customHeight="1">
      <c r="A76" s="113" t="s">
        <v>211</v>
      </c>
      <c r="B76" s="25">
        <v>388000</v>
      </c>
      <c r="C76" s="27">
        <v>308291.8</v>
      </c>
      <c r="D76" s="26">
        <f>IF(B76=0,"   ",C76/B76*100)</f>
        <v>79.45664948453609</v>
      </c>
      <c r="E76" s="27">
        <f>C76-B76</f>
        <v>-79708.20000000001</v>
      </c>
    </row>
    <row r="77" spans="1:5" ht="29.25" customHeight="1">
      <c r="A77" s="113" t="s">
        <v>214</v>
      </c>
      <c r="B77" s="25">
        <v>172890</v>
      </c>
      <c r="C77" s="27">
        <v>137461.1</v>
      </c>
      <c r="D77" s="26">
        <f>IF(B77=0,"   ",C77/B77*100)</f>
        <v>79.50783735323039</v>
      </c>
      <c r="E77" s="27">
        <f>C77-B77</f>
        <v>-35428.899999999994</v>
      </c>
    </row>
    <row r="78" spans="1:5" ht="29.25" customHeight="1">
      <c r="A78" s="113" t="s">
        <v>215</v>
      </c>
      <c r="B78" s="25">
        <v>85800</v>
      </c>
      <c r="C78" s="27">
        <v>68077.3</v>
      </c>
      <c r="D78" s="26">
        <f>IF(B78=0,"   ",C78/B78*100)</f>
        <v>79.3441724941725</v>
      </c>
      <c r="E78" s="27">
        <f>C78-B78</f>
        <v>-17722.699999999997</v>
      </c>
    </row>
    <row r="79" spans="1:5" ht="16.5" customHeight="1" thickBot="1">
      <c r="A79" s="16" t="s">
        <v>95</v>
      </c>
      <c r="B79" s="25">
        <v>0</v>
      </c>
      <c r="C79" s="27">
        <v>0</v>
      </c>
      <c r="D79" s="26" t="str">
        <f t="shared" si="0"/>
        <v>   </v>
      </c>
      <c r="E79" s="27">
        <f t="shared" si="1"/>
        <v>0</v>
      </c>
    </row>
    <row r="80" spans="1:5" ht="18.75" customHeight="1" thickBot="1">
      <c r="A80" s="141" t="s">
        <v>17</v>
      </c>
      <c r="B80" s="230">
        <v>8000</v>
      </c>
      <c r="C80" s="230">
        <v>0</v>
      </c>
      <c r="D80" s="153">
        <f t="shared" si="0"/>
        <v>0</v>
      </c>
      <c r="E80" s="154">
        <f t="shared" si="1"/>
        <v>-8000</v>
      </c>
    </row>
    <row r="81" spans="1:5" ht="19.5" customHeight="1" thickBot="1">
      <c r="A81" s="137" t="s">
        <v>41</v>
      </c>
      <c r="B81" s="194">
        <f>B82</f>
        <v>705500</v>
      </c>
      <c r="C81" s="194">
        <f>C82</f>
        <v>544500</v>
      </c>
      <c r="D81" s="139">
        <f t="shared" si="0"/>
        <v>77.17930545712261</v>
      </c>
      <c r="E81" s="140">
        <f t="shared" si="1"/>
        <v>-161000</v>
      </c>
    </row>
    <row r="82" spans="1:5" ht="12.75">
      <c r="A82" s="125" t="s">
        <v>42</v>
      </c>
      <c r="B82" s="126">
        <f>SUM(B83:B85)</f>
        <v>705500</v>
      </c>
      <c r="C82" s="126">
        <f>SUM(C83:C85)</f>
        <v>544500</v>
      </c>
      <c r="D82" s="127">
        <f t="shared" si="0"/>
        <v>77.17930545712261</v>
      </c>
      <c r="E82" s="128">
        <f t="shared" si="1"/>
        <v>-161000</v>
      </c>
    </row>
    <row r="83" spans="1:5" ht="12.75">
      <c r="A83" s="179" t="s">
        <v>149</v>
      </c>
      <c r="B83" s="126">
        <v>305500</v>
      </c>
      <c r="C83" s="134">
        <v>305500</v>
      </c>
      <c r="D83" s="127">
        <f t="shared" si="0"/>
        <v>100</v>
      </c>
      <c r="E83" s="128">
        <f t="shared" si="1"/>
        <v>0</v>
      </c>
    </row>
    <row r="84" spans="1:5" ht="12.75">
      <c r="A84" s="16" t="s">
        <v>263</v>
      </c>
      <c r="B84" s="126">
        <v>0</v>
      </c>
      <c r="C84" s="134">
        <v>0</v>
      </c>
      <c r="D84" s="127" t="str">
        <f t="shared" si="0"/>
        <v>   </v>
      </c>
      <c r="E84" s="128">
        <f t="shared" si="1"/>
        <v>0</v>
      </c>
    </row>
    <row r="85" spans="1:5" ht="12.75">
      <c r="A85" s="125" t="s">
        <v>235</v>
      </c>
      <c r="B85" s="126">
        <v>400000</v>
      </c>
      <c r="C85" s="134">
        <v>239000</v>
      </c>
      <c r="D85" s="127">
        <f t="shared" si="0"/>
        <v>59.75</v>
      </c>
      <c r="E85" s="128">
        <f t="shared" si="1"/>
        <v>-161000</v>
      </c>
    </row>
    <row r="86" spans="1:5" ht="18.75" customHeight="1">
      <c r="A86" s="16" t="s">
        <v>125</v>
      </c>
      <c r="B86" s="25">
        <f>SUM(B87,)</f>
        <v>10000</v>
      </c>
      <c r="C86" s="25">
        <f>SUM(C87,)</f>
        <v>0</v>
      </c>
      <c r="D86" s="26">
        <f t="shared" si="0"/>
        <v>0</v>
      </c>
      <c r="E86" s="42">
        <f t="shared" si="1"/>
        <v>-10000</v>
      </c>
    </row>
    <row r="87" spans="1:5" ht="14.25" customHeight="1">
      <c r="A87" s="113" t="s">
        <v>43</v>
      </c>
      <c r="B87" s="122">
        <v>10000</v>
      </c>
      <c r="C87" s="124">
        <v>0</v>
      </c>
      <c r="D87" s="120">
        <f t="shared" si="0"/>
        <v>0</v>
      </c>
      <c r="E87" s="121">
        <f t="shared" si="1"/>
        <v>-10000</v>
      </c>
    </row>
    <row r="88" spans="1:5" ht="22.5" customHeight="1">
      <c r="A88" s="183" t="s">
        <v>15</v>
      </c>
      <c r="B88" s="159">
        <f>SUM(B46,B53,B55,B57,B69,B80,B81,B86,)</f>
        <v>3994390</v>
      </c>
      <c r="C88" s="159">
        <f>SUM(C46,C53,C55,C57,C69,C80,C81,C86,)</f>
        <v>2003886.9000000001</v>
      </c>
      <c r="D88" s="149">
        <f>IF(B88=0,"   ",C88/B88*100)</f>
        <v>50.16753246428116</v>
      </c>
      <c r="E88" s="150">
        <f t="shared" si="1"/>
        <v>-1990503.0999999999</v>
      </c>
    </row>
    <row r="89" spans="1:5" ht="18.75" customHeight="1">
      <c r="A89" s="88" t="s">
        <v>262</v>
      </c>
      <c r="B89" s="88"/>
      <c r="C89" s="287"/>
      <c r="D89" s="287"/>
      <c r="E89" s="287"/>
    </row>
    <row r="90" spans="1:5" ht="18" customHeight="1">
      <c r="A90" s="88" t="s">
        <v>163</v>
      </c>
      <c r="B90" s="88"/>
      <c r="C90" s="89" t="s">
        <v>268</v>
      </c>
      <c r="D90" s="90"/>
      <c r="E90" s="91"/>
    </row>
    <row r="91" spans="1:5" s="66" customFormat="1" ht="23.25" customHeight="1">
      <c r="A91" s="7"/>
      <c r="B91" s="7"/>
      <c r="C91" s="6"/>
      <c r="D91" s="7"/>
      <c r="E91" s="2"/>
    </row>
    <row r="92" spans="1:5" s="66" customFormat="1" ht="12" customHeight="1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</sheetData>
  <sheetProtection/>
  <mergeCells count="2">
    <mergeCell ref="A1:E1"/>
    <mergeCell ref="C89:E89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61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27">
      <selection activeCell="C44" sqref="C44"/>
    </sheetView>
  </sheetViews>
  <sheetFormatPr defaultColWidth="9.00390625" defaultRowHeight="12.75"/>
  <cols>
    <col min="1" max="1" width="118.25390625" style="0" customWidth="1"/>
    <col min="2" max="2" width="15.12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89" t="s">
        <v>299</v>
      </c>
      <c r="B1" s="289"/>
      <c r="C1" s="289"/>
      <c r="D1" s="289"/>
      <c r="E1" s="28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279</v>
      </c>
      <c r="C4" s="32" t="s">
        <v>300</v>
      </c>
      <c r="D4" s="19" t="s">
        <v>280</v>
      </c>
      <c r="E4" s="36" t="s">
        <v>281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51">
        <f>SUM(B8)</f>
        <v>49700</v>
      </c>
      <c r="C7" s="252">
        <f>SUM(C8)</f>
        <v>21749.95</v>
      </c>
      <c r="D7" s="26">
        <f aca="true" t="shared" si="0" ref="D7:D79">IF(B7=0,"   ",C7/B7*100)</f>
        <v>43.762474849094566</v>
      </c>
      <c r="E7" s="42">
        <f aca="true" t="shared" si="1" ref="E7:E80">C7-B7</f>
        <v>-27950.05</v>
      </c>
    </row>
    <row r="8" spans="1:5" ht="12.75" customHeight="1">
      <c r="A8" s="16" t="s">
        <v>44</v>
      </c>
      <c r="B8" s="253">
        <v>49700</v>
      </c>
      <c r="C8" s="273">
        <v>21749.95</v>
      </c>
      <c r="D8" s="26">
        <f t="shared" si="0"/>
        <v>43.762474849094566</v>
      </c>
      <c r="E8" s="42">
        <f t="shared" si="1"/>
        <v>-27950.05</v>
      </c>
    </row>
    <row r="9" spans="1:5" ht="12.75" customHeight="1">
      <c r="A9" s="71" t="s">
        <v>142</v>
      </c>
      <c r="B9" s="251">
        <f>SUM(B10)</f>
        <v>647500</v>
      </c>
      <c r="C9" s="254">
        <f>SUM(C10)</f>
        <v>359725.47</v>
      </c>
      <c r="D9" s="26">
        <f t="shared" si="0"/>
        <v>55.55605714285714</v>
      </c>
      <c r="E9" s="42">
        <f t="shared" si="1"/>
        <v>-287774.53</v>
      </c>
    </row>
    <row r="10" spans="1:5" ht="12.75" customHeight="1">
      <c r="A10" s="41" t="s">
        <v>143</v>
      </c>
      <c r="B10" s="253">
        <v>647500</v>
      </c>
      <c r="C10" s="273">
        <v>359725.47</v>
      </c>
      <c r="D10" s="26">
        <f t="shared" si="0"/>
        <v>55.55605714285714</v>
      </c>
      <c r="E10" s="42">
        <f t="shared" si="1"/>
        <v>-287774.53</v>
      </c>
    </row>
    <row r="11" spans="1:5" ht="16.5" customHeight="1">
      <c r="A11" s="16" t="s">
        <v>7</v>
      </c>
      <c r="B11" s="253">
        <f>SUM(B12:B12)</f>
        <v>9800</v>
      </c>
      <c r="C11" s="255">
        <f>SUM(C12:C12)</f>
        <v>8786.05</v>
      </c>
      <c r="D11" s="26">
        <f t="shared" si="0"/>
        <v>89.65357142857142</v>
      </c>
      <c r="E11" s="42">
        <f t="shared" si="1"/>
        <v>-1013.9500000000007</v>
      </c>
    </row>
    <row r="12" spans="1:5" ht="16.5" customHeight="1">
      <c r="A12" s="16" t="s">
        <v>26</v>
      </c>
      <c r="B12" s="253">
        <v>9800</v>
      </c>
      <c r="C12" s="273">
        <v>8786.05</v>
      </c>
      <c r="D12" s="26">
        <f t="shared" si="0"/>
        <v>89.65357142857142</v>
      </c>
      <c r="E12" s="42">
        <f t="shared" si="1"/>
        <v>-1013.9500000000007</v>
      </c>
    </row>
    <row r="13" spans="1:5" ht="15.75" customHeight="1">
      <c r="A13" s="16" t="s">
        <v>9</v>
      </c>
      <c r="B13" s="253">
        <f>SUM(B14:B15)</f>
        <v>506000</v>
      </c>
      <c r="C13" s="255">
        <f>SUM(C14:C15)</f>
        <v>53345.64</v>
      </c>
      <c r="D13" s="26">
        <f t="shared" si="0"/>
        <v>10.542616600790513</v>
      </c>
      <c r="E13" s="42">
        <f t="shared" si="1"/>
        <v>-452654.36</v>
      </c>
    </row>
    <row r="14" spans="1:5" ht="15.75" customHeight="1">
      <c r="A14" s="16" t="s">
        <v>27</v>
      </c>
      <c r="B14" s="253">
        <v>196000</v>
      </c>
      <c r="C14" s="273">
        <v>208.53</v>
      </c>
      <c r="D14" s="26">
        <f t="shared" si="0"/>
        <v>0.10639285714285714</v>
      </c>
      <c r="E14" s="42">
        <f t="shared" si="1"/>
        <v>-195791.47</v>
      </c>
    </row>
    <row r="15" spans="1:5" ht="14.25" customHeight="1">
      <c r="A15" s="41" t="s">
        <v>171</v>
      </c>
      <c r="B15" s="238">
        <f>SUM(B16:B17)</f>
        <v>310000</v>
      </c>
      <c r="C15" s="255">
        <f>SUM(C16:C17)</f>
        <v>53137.11</v>
      </c>
      <c r="D15" s="26">
        <f t="shared" si="0"/>
        <v>17.14100322580645</v>
      </c>
      <c r="E15" s="42">
        <f t="shared" si="1"/>
        <v>-256862.89</v>
      </c>
    </row>
    <row r="16" spans="1:5" ht="14.25" customHeight="1">
      <c r="A16" s="41" t="s">
        <v>172</v>
      </c>
      <c r="B16" s="238">
        <v>58000</v>
      </c>
      <c r="C16" s="273">
        <v>40768.44</v>
      </c>
      <c r="D16" s="26">
        <f t="shared" si="0"/>
        <v>70.29041379310345</v>
      </c>
      <c r="E16" s="42">
        <f t="shared" si="1"/>
        <v>-17231.559999999998</v>
      </c>
    </row>
    <row r="17" spans="1:5" ht="14.25" customHeight="1">
      <c r="A17" s="41" t="s">
        <v>173</v>
      </c>
      <c r="B17" s="238">
        <v>252000</v>
      </c>
      <c r="C17" s="273">
        <v>12368.67</v>
      </c>
      <c r="D17" s="26">
        <f t="shared" si="0"/>
        <v>4.908202380952381</v>
      </c>
      <c r="E17" s="42">
        <f t="shared" si="1"/>
        <v>-239631.33</v>
      </c>
    </row>
    <row r="18" spans="1:5" ht="14.25" customHeight="1">
      <c r="A18" s="41" t="s">
        <v>225</v>
      </c>
      <c r="B18" s="238">
        <v>0</v>
      </c>
      <c r="C18" s="273">
        <v>2460</v>
      </c>
      <c r="D18" s="26" t="str">
        <f t="shared" si="0"/>
        <v>   </v>
      </c>
      <c r="E18" s="42">
        <f t="shared" si="1"/>
        <v>2460</v>
      </c>
    </row>
    <row r="19" spans="1:5" ht="15" customHeight="1">
      <c r="A19" s="16" t="s">
        <v>88</v>
      </c>
      <c r="B19" s="253">
        <v>0</v>
      </c>
      <c r="C19" s="255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53">
        <f>SUM(B21:B22)</f>
        <v>175900</v>
      </c>
      <c r="C20" s="255">
        <f>SUM(C21:C22)</f>
        <v>30247.74</v>
      </c>
      <c r="D20" s="26">
        <f t="shared" si="0"/>
        <v>17.195986355884028</v>
      </c>
      <c r="E20" s="42">
        <f t="shared" si="1"/>
        <v>-145652.26</v>
      </c>
    </row>
    <row r="21" spans="1:5" ht="13.5" customHeight="1">
      <c r="A21" s="41" t="s">
        <v>161</v>
      </c>
      <c r="B21" s="253">
        <v>55900</v>
      </c>
      <c r="C21" s="273">
        <v>0</v>
      </c>
      <c r="D21" s="26">
        <f t="shared" si="0"/>
        <v>0</v>
      </c>
      <c r="E21" s="42">
        <f t="shared" si="1"/>
        <v>-55900</v>
      </c>
    </row>
    <row r="22" spans="1:5" ht="15.75" customHeight="1">
      <c r="A22" s="16" t="s">
        <v>30</v>
      </c>
      <c r="B22" s="253">
        <v>120000</v>
      </c>
      <c r="C22" s="273">
        <v>30247.74</v>
      </c>
      <c r="D22" s="26">
        <f t="shared" si="0"/>
        <v>25.206450000000004</v>
      </c>
      <c r="E22" s="42">
        <f t="shared" si="1"/>
        <v>-89752.26</v>
      </c>
    </row>
    <row r="23" spans="1:5" ht="17.25" customHeight="1">
      <c r="A23" s="39" t="s">
        <v>92</v>
      </c>
      <c r="B23" s="253">
        <v>0</v>
      </c>
      <c r="C23" s="273">
        <v>8858.85</v>
      </c>
      <c r="D23" s="26" t="str">
        <f t="shared" si="0"/>
        <v>   </v>
      </c>
      <c r="E23" s="42">
        <f t="shared" si="1"/>
        <v>8858.85</v>
      </c>
    </row>
    <row r="24" spans="1:5" ht="18.75" customHeight="1">
      <c r="A24" s="16" t="s">
        <v>78</v>
      </c>
      <c r="B24" s="253">
        <f>SUM(B25)</f>
        <v>0</v>
      </c>
      <c r="C24" s="255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227</v>
      </c>
      <c r="B25" s="253">
        <v>0</v>
      </c>
      <c r="C25" s="275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53">
        <f>B27+B28</f>
        <v>0</v>
      </c>
      <c r="C26" s="255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53">
        <v>0</v>
      </c>
      <c r="C27" s="256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53">
        <v>0</v>
      </c>
      <c r="C28" s="256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53">
        <v>0</v>
      </c>
      <c r="C29" s="255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83" t="s">
        <v>10</v>
      </c>
      <c r="B30" s="247">
        <f>SUM(B7,B9,B11,B13,B20,B23,B24,B26,B29,B18)</f>
        <v>1388900</v>
      </c>
      <c r="C30" s="247">
        <f>SUM(C7,C9,C11,C13,C20,C23,C24,C26,C29,C18)</f>
        <v>485173.69999999995</v>
      </c>
      <c r="D30" s="149">
        <f t="shared" si="0"/>
        <v>34.93222694218446</v>
      </c>
      <c r="E30" s="150">
        <f t="shared" si="1"/>
        <v>-903726.3</v>
      </c>
    </row>
    <row r="31" spans="1:5" ht="21" customHeight="1">
      <c r="A31" s="202" t="s">
        <v>145</v>
      </c>
      <c r="B31" s="258">
        <f>SUM(B32:B35,B38:B40,B43)</f>
        <v>2999484.9</v>
      </c>
      <c r="C31" s="258">
        <f>SUM(C32:C35,C38:C40,C43)</f>
        <v>954338.5</v>
      </c>
      <c r="D31" s="149">
        <f t="shared" si="0"/>
        <v>31.816746268667668</v>
      </c>
      <c r="E31" s="150">
        <f t="shared" si="1"/>
        <v>-2045146.4</v>
      </c>
    </row>
    <row r="32" spans="1:5" ht="18" customHeight="1">
      <c r="A32" s="17" t="s">
        <v>34</v>
      </c>
      <c r="B32" s="251">
        <v>977800</v>
      </c>
      <c r="C32" s="276">
        <v>488700</v>
      </c>
      <c r="D32" s="26">
        <f t="shared" si="0"/>
        <v>49.979545919410924</v>
      </c>
      <c r="E32" s="42">
        <f t="shared" si="1"/>
        <v>-489100</v>
      </c>
    </row>
    <row r="33" spans="1:5" ht="18" customHeight="1">
      <c r="A33" s="17" t="s">
        <v>270</v>
      </c>
      <c r="B33" s="251">
        <v>0</v>
      </c>
      <c r="C33" s="276">
        <v>0</v>
      </c>
      <c r="D33" s="144" t="str">
        <f>IF(B33=0,"   ",C33/B33*100)</f>
        <v>   </v>
      </c>
      <c r="E33" s="145">
        <f>C33-B33</f>
        <v>0</v>
      </c>
    </row>
    <row r="34" spans="1:5" ht="28.5" customHeight="1">
      <c r="A34" s="142" t="s">
        <v>51</v>
      </c>
      <c r="B34" s="143">
        <v>90000</v>
      </c>
      <c r="C34" s="278">
        <v>48744</v>
      </c>
      <c r="D34" s="144">
        <f t="shared" si="0"/>
        <v>54.16</v>
      </c>
      <c r="E34" s="145">
        <f t="shared" si="1"/>
        <v>-41256</v>
      </c>
    </row>
    <row r="35" spans="1:5" ht="30.75" customHeight="1">
      <c r="A35" s="117" t="s">
        <v>155</v>
      </c>
      <c r="B35" s="143">
        <f>SUM(B36:B37)</f>
        <v>200</v>
      </c>
      <c r="C35" s="143">
        <f>SUM(C36:C37)</f>
        <v>200</v>
      </c>
      <c r="D35" s="144">
        <f t="shared" si="0"/>
        <v>100</v>
      </c>
      <c r="E35" s="145">
        <f t="shared" si="1"/>
        <v>0</v>
      </c>
    </row>
    <row r="36" spans="1:5" ht="16.5" customHeight="1">
      <c r="A36" s="117" t="s">
        <v>174</v>
      </c>
      <c r="B36" s="259">
        <v>200</v>
      </c>
      <c r="C36" s="265">
        <v>200</v>
      </c>
      <c r="D36" s="144">
        <f>IF(B36=0,"   ",C36/B36*100)</f>
        <v>100</v>
      </c>
      <c r="E36" s="145">
        <f>C36-B36</f>
        <v>0</v>
      </c>
    </row>
    <row r="37" spans="1:5" ht="30.75" customHeight="1">
      <c r="A37" s="117" t="s">
        <v>175</v>
      </c>
      <c r="B37" s="143">
        <v>0</v>
      </c>
      <c r="C37" s="146">
        <v>0</v>
      </c>
      <c r="D37" s="144" t="str">
        <f>IF(B37=0,"   ",C37/B37*100)</f>
        <v>   </v>
      </c>
      <c r="E37" s="145">
        <f>C37-B37</f>
        <v>0</v>
      </c>
    </row>
    <row r="38" spans="1:5" ht="25.5" customHeight="1">
      <c r="A38" s="16" t="s">
        <v>104</v>
      </c>
      <c r="B38" s="259">
        <v>0</v>
      </c>
      <c r="C38" s="259">
        <v>0</v>
      </c>
      <c r="D38" s="144" t="str">
        <f>IF(B38=0,"   ",C38/B38*100)</f>
        <v>   </v>
      </c>
      <c r="E38" s="145">
        <f>C38-B38</f>
        <v>0</v>
      </c>
    </row>
    <row r="39" spans="1:5" ht="51" customHeight="1">
      <c r="A39" s="16" t="s">
        <v>291</v>
      </c>
      <c r="B39" s="259">
        <v>1705500</v>
      </c>
      <c r="C39" s="259">
        <v>194100</v>
      </c>
      <c r="D39" s="144">
        <f>IF(B39=0,"   ",C39/B39*100)</f>
        <v>11.380826737027265</v>
      </c>
      <c r="E39" s="145">
        <f>C39-B39</f>
        <v>-1511400</v>
      </c>
    </row>
    <row r="40" spans="1:5" ht="15" customHeight="1">
      <c r="A40" s="16" t="s">
        <v>81</v>
      </c>
      <c r="B40" s="253">
        <f>B42+B41</f>
        <v>193700</v>
      </c>
      <c r="C40" s="253">
        <f>C42+C41</f>
        <v>190794.5</v>
      </c>
      <c r="D40" s="26">
        <f t="shared" si="0"/>
        <v>98.5</v>
      </c>
      <c r="E40" s="42">
        <f t="shared" si="1"/>
        <v>-2905.5</v>
      </c>
    </row>
    <row r="41" spans="1:5" ht="15" customHeight="1">
      <c r="A41" s="53" t="s">
        <v>212</v>
      </c>
      <c r="B41" s="253">
        <v>193700</v>
      </c>
      <c r="C41" s="253">
        <v>190794.5</v>
      </c>
      <c r="D41" s="26">
        <f t="shared" si="0"/>
        <v>98.5</v>
      </c>
      <c r="E41" s="42">
        <f t="shared" si="1"/>
        <v>-2905.5</v>
      </c>
    </row>
    <row r="42" spans="1:5" s="7" customFormat="1" ht="15" customHeight="1">
      <c r="A42" s="53" t="s">
        <v>110</v>
      </c>
      <c r="B42" s="261">
        <v>0</v>
      </c>
      <c r="C42" s="261">
        <v>0</v>
      </c>
      <c r="D42" s="144" t="str">
        <f>IF(B42=0,"   ",C42/B42*100)</f>
        <v>   </v>
      </c>
      <c r="E42" s="145">
        <f>C42-B42</f>
        <v>0</v>
      </c>
    </row>
    <row r="43" spans="1:5" s="7" customFormat="1" ht="15" customHeight="1">
      <c r="A43" s="16" t="s">
        <v>228</v>
      </c>
      <c r="B43" s="261">
        <v>32284.9</v>
      </c>
      <c r="C43" s="261">
        <v>31800</v>
      </c>
      <c r="D43" s="54">
        <f t="shared" si="0"/>
        <v>98.49805946433162</v>
      </c>
      <c r="E43" s="40">
        <f t="shared" si="1"/>
        <v>-484.90000000000146</v>
      </c>
    </row>
    <row r="44" spans="1:5" ht="21" customHeight="1">
      <c r="A44" s="183" t="s">
        <v>11</v>
      </c>
      <c r="B44" s="247">
        <f>SUM(B30:B31,)</f>
        <v>4388384.9</v>
      </c>
      <c r="C44" s="247">
        <f>SUM(C30:C31,)</f>
        <v>1439512.2</v>
      </c>
      <c r="D44" s="26">
        <f t="shared" si="0"/>
        <v>32.802778990511975</v>
      </c>
      <c r="E44" s="42">
        <f t="shared" si="1"/>
        <v>-2948872.7</v>
      </c>
    </row>
    <row r="45" spans="1:5" ht="12.75" customHeight="1">
      <c r="A45" s="22" t="s">
        <v>12</v>
      </c>
      <c r="B45" s="44"/>
      <c r="C45" s="45"/>
      <c r="D45" s="26" t="str">
        <f t="shared" si="0"/>
        <v>   </v>
      </c>
      <c r="E45" s="42">
        <f t="shared" si="1"/>
        <v>0</v>
      </c>
    </row>
    <row r="46" spans="1:5" ht="21" customHeight="1">
      <c r="A46" s="16" t="s">
        <v>35</v>
      </c>
      <c r="B46" s="25">
        <f>SUM(B47,B49,B50)</f>
        <v>1114000</v>
      </c>
      <c r="C46" s="25">
        <f>SUM(C47,C49,C50)</f>
        <v>410964.21</v>
      </c>
      <c r="D46" s="26">
        <f t="shared" si="0"/>
        <v>36.89086265709157</v>
      </c>
      <c r="E46" s="42">
        <f t="shared" si="1"/>
        <v>-703035.79</v>
      </c>
    </row>
    <row r="47" spans="1:5" ht="15" customHeight="1">
      <c r="A47" s="16" t="s">
        <v>36</v>
      </c>
      <c r="B47" s="25">
        <v>1096200</v>
      </c>
      <c r="C47" s="25">
        <v>393664.21</v>
      </c>
      <c r="D47" s="26">
        <f t="shared" si="0"/>
        <v>35.91171410326583</v>
      </c>
      <c r="E47" s="42">
        <f t="shared" si="1"/>
        <v>-702535.79</v>
      </c>
    </row>
    <row r="48" spans="1:5" ht="15" customHeight="1">
      <c r="A48" s="93" t="s">
        <v>122</v>
      </c>
      <c r="B48" s="25">
        <v>724347</v>
      </c>
      <c r="C48" s="28">
        <v>289500</v>
      </c>
      <c r="D48" s="26">
        <f t="shared" si="0"/>
        <v>39.967032375367054</v>
      </c>
      <c r="E48" s="42">
        <f t="shared" si="1"/>
        <v>-434847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41" t="s">
        <v>52</v>
      </c>
      <c r="B50" s="27">
        <f>SUM(B52+B51)</f>
        <v>17300</v>
      </c>
      <c r="C50" s="27">
        <f>SUM(C52+C51)</f>
        <v>17300</v>
      </c>
      <c r="D50" s="26">
        <f t="shared" si="0"/>
        <v>100</v>
      </c>
      <c r="E50" s="42">
        <f t="shared" si="1"/>
        <v>0</v>
      </c>
    </row>
    <row r="51" spans="1:5" ht="18.75" customHeight="1">
      <c r="A51" s="113" t="s">
        <v>289</v>
      </c>
      <c r="B51" s="27">
        <v>17300</v>
      </c>
      <c r="C51" s="27">
        <v>17300</v>
      </c>
      <c r="D51" s="26">
        <f>IF(B51=0,"   ",C51/B51*100)</f>
        <v>100</v>
      </c>
      <c r="E51" s="42">
        <f>C51-B51</f>
        <v>0</v>
      </c>
    </row>
    <row r="52" spans="1:5" ht="23.25" customHeight="1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21.75" customHeight="1">
      <c r="A53" s="16" t="s">
        <v>49</v>
      </c>
      <c r="B53" s="27">
        <f>SUM(B54)</f>
        <v>90000</v>
      </c>
      <c r="C53" s="27">
        <f>SUM(C54)</f>
        <v>37716.43</v>
      </c>
      <c r="D53" s="26">
        <f t="shared" si="0"/>
        <v>41.90714444444444</v>
      </c>
      <c r="E53" s="42">
        <f t="shared" si="1"/>
        <v>-52283.57</v>
      </c>
    </row>
    <row r="54" spans="1:5" ht="13.5" customHeight="1">
      <c r="A54" s="39" t="s">
        <v>108</v>
      </c>
      <c r="B54" s="25">
        <v>90000</v>
      </c>
      <c r="C54" s="27">
        <v>37716.43</v>
      </c>
      <c r="D54" s="26">
        <f t="shared" si="0"/>
        <v>41.90714444444444</v>
      </c>
      <c r="E54" s="42">
        <f t="shared" si="1"/>
        <v>-52283.57</v>
      </c>
    </row>
    <row r="55" spans="1:5" ht="16.5" customHeight="1">
      <c r="A55" s="16" t="s">
        <v>37</v>
      </c>
      <c r="B55" s="25">
        <f>SUM(B56)</f>
        <v>400</v>
      </c>
      <c r="C55" s="27">
        <f>SUM(C56)</f>
        <v>400</v>
      </c>
      <c r="D55" s="26">
        <f t="shared" si="0"/>
        <v>100</v>
      </c>
      <c r="E55" s="42">
        <f t="shared" si="1"/>
        <v>0</v>
      </c>
    </row>
    <row r="56" spans="1:5" ht="15" customHeight="1">
      <c r="A56" s="83" t="s">
        <v>130</v>
      </c>
      <c r="B56" s="25">
        <v>400</v>
      </c>
      <c r="C56" s="27">
        <v>400</v>
      </c>
      <c r="D56" s="26">
        <f t="shared" si="0"/>
        <v>100</v>
      </c>
      <c r="E56" s="42">
        <f t="shared" si="1"/>
        <v>0</v>
      </c>
    </row>
    <row r="57" spans="1:5" ht="18.75" customHeight="1">
      <c r="A57" s="16" t="s">
        <v>38</v>
      </c>
      <c r="B57" s="25">
        <f>SUM(B61,B58)</f>
        <v>2487000</v>
      </c>
      <c r="C57" s="25">
        <f>SUM(C61,)</f>
        <v>300000</v>
      </c>
      <c r="D57" s="26">
        <f t="shared" si="0"/>
        <v>12.062726176115802</v>
      </c>
      <c r="E57" s="42">
        <f t="shared" si="1"/>
        <v>-2187000</v>
      </c>
    </row>
    <row r="58" spans="1:5" ht="18.75" customHeight="1">
      <c r="A58" s="83" t="s">
        <v>176</v>
      </c>
      <c r="B58" s="25">
        <f>SUM(B59+B60)</f>
        <v>0</v>
      </c>
      <c r="C58" s="25">
        <f>SUM(C59+C60)</f>
        <v>0</v>
      </c>
      <c r="D58" s="26" t="str">
        <f>IF(B58=0,"   ",C58/B58*100)</f>
        <v>   </v>
      </c>
      <c r="E58" s="42">
        <f>C58-B58</f>
        <v>0</v>
      </c>
    </row>
    <row r="59" spans="1:5" ht="15" customHeight="1">
      <c r="A59" s="83" t="s">
        <v>177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5" customHeight="1">
      <c r="A60" s="83" t="s">
        <v>213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3.5" customHeight="1">
      <c r="A61" s="16" t="s">
        <v>39</v>
      </c>
      <c r="B61" s="25">
        <f>B62+B63+B64</f>
        <v>2487000</v>
      </c>
      <c r="C61" s="25">
        <f>C62+C63+C64</f>
        <v>300000</v>
      </c>
      <c r="D61" s="26">
        <f t="shared" si="0"/>
        <v>12.062726176115802</v>
      </c>
      <c r="E61" s="42">
        <f t="shared" si="1"/>
        <v>-2187000</v>
      </c>
    </row>
    <row r="62" spans="1:5" ht="17.25" customHeight="1">
      <c r="A62" s="83" t="s">
        <v>156</v>
      </c>
      <c r="B62" s="25">
        <v>134000</v>
      </c>
      <c r="C62" s="25">
        <v>0</v>
      </c>
      <c r="D62" s="26">
        <f t="shared" si="0"/>
        <v>0</v>
      </c>
      <c r="E62" s="42">
        <f t="shared" si="1"/>
        <v>-134000</v>
      </c>
    </row>
    <row r="63" spans="1:5" ht="24" customHeight="1">
      <c r="A63" s="78" t="s">
        <v>135</v>
      </c>
      <c r="B63" s="25">
        <v>1705500</v>
      </c>
      <c r="C63" s="25">
        <v>194100</v>
      </c>
      <c r="D63" s="26">
        <f t="shared" si="0"/>
        <v>11.380826737027265</v>
      </c>
      <c r="E63" s="42">
        <f t="shared" si="1"/>
        <v>-1511400</v>
      </c>
    </row>
    <row r="64" spans="1:5" ht="26.25" customHeight="1">
      <c r="A64" s="78" t="s">
        <v>136</v>
      </c>
      <c r="B64" s="25">
        <v>647500</v>
      </c>
      <c r="C64" s="25">
        <v>105900</v>
      </c>
      <c r="D64" s="26">
        <f t="shared" si="0"/>
        <v>16.355212355212355</v>
      </c>
      <c r="E64" s="42">
        <f t="shared" si="1"/>
        <v>-541600</v>
      </c>
    </row>
    <row r="65" spans="1:5" ht="20.25" customHeight="1">
      <c r="A65" s="16" t="s">
        <v>13</v>
      </c>
      <c r="B65" s="25">
        <f>B67+B66</f>
        <v>447139.60000000003</v>
      </c>
      <c r="C65" s="25">
        <f>C67+C66</f>
        <v>306774.11</v>
      </c>
      <c r="D65" s="26">
        <f t="shared" si="0"/>
        <v>68.60812819978368</v>
      </c>
      <c r="E65" s="42">
        <f t="shared" si="1"/>
        <v>-140365.49000000005</v>
      </c>
    </row>
    <row r="66" spans="1:5" ht="20.25" customHeight="1">
      <c r="A66" s="41" t="s">
        <v>157</v>
      </c>
      <c r="B66" s="25">
        <v>0</v>
      </c>
      <c r="C66" s="25">
        <v>0</v>
      </c>
      <c r="D66" s="26" t="str">
        <f t="shared" si="0"/>
        <v>   </v>
      </c>
      <c r="E66" s="42">
        <f t="shared" si="1"/>
        <v>0</v>
      </c>
    </row>
    <row r="67" spans="1:5" ht="12.75" customHeight="1">
      <c r="A67" s="16" t="s">
        <v>100</v>
      </c>
      <c r="B67" s="25">
        <f>B68+B69+B74+B70</f>
        <v>447139.60000000003</v>
      </c>
      <c r="C67" s="25">
        <f>C68+C69+C74+C70</f>
        <v>306774.11</v>
      </c>
      <c r="D67" s="26">
        <f t="shared" si="0"/>
        <v>68.60812819978368</v>
      </c>
      <c r="E67" s="42">
        <f t="shared" si="1"/>
        <v>-140365.49000000005</v>
      </c>
    </row>
    <row r="68" spans="1:5" ht="12.75" customHeight="1">
      <c r="A68" s="16" t="s">
        <v>101</v>
      </c>
      <c r="B68" s="25">
        <v>113000</v>
      </c>
      <c r="C68" s="25">
        <v>20577.73</v>
      </c>
      <c r="D68" s="26">
        <f t="shared" si="0"/>
        <v>18.210380530973453</v>
      </c>
      <c r="E68" s="42">
        <f t="shared" si="1"/>
        <v>-92422.27</v>
      </c>
    </row>
    <row r="69" spans="1:5" ht="12.75" customHeight="1">
      <c r="A69" s="16" t="s">
        <v>61</v>
      </c>
      <c r="B69" s="25">
        <v>11300</v>
      </c>
      <c r="C69" s="27">
        <v>0</v>
      </c>
      <c r="D69" s="26">
        <v>0</v>
      </c>
      <c r="E69" s="42">
        <f t="shared" si="1"/>
        <v>-11300</v>
      </c>
    </row>
    <row r="70" spans="1:5" ht="12.75" customHeight="1">
      <c r="A70" s="113" t="s">
        <v>239</v>
      </c>
      <c r="B70" s="25">
        <f>SUM(B71:B73)</f>
        <v>322839.60000000003</v>
      </c>
      <c r="C70" s="25">
        <f>SUM(C71:C73)</f>
        <v>286196.38</v>
      </c>
      <c r="D70" s="26">
        <v>0</v>
      </c>
      <c r="E70" s="42">
        <f>C70-B70</f>
        <v>-36643.22000000003</v>
      </c>
    </row>
    <row r="71" spans="1:5" ht="29.25" customHeight="1">
      <c r="A71" s="113" t="s">
        <v>240</v>
      </c>
      <c r="B71" s="25">
        <v>193700</v>
      </c>
      <c r="C71" s="27">
        <v>190794.5</v>
      </c>
      <c r="D71" s="26">
        <f t="shared" si="0"/>
        <v>98.5</v>
      </c>
      <c r="E71" s="27">
        <f t="shared" si="1"/>
        <v>-2905.5</v>
      </c>
    </row>
    <row r="72" spans="1:5" ht="25.5" customHeight="1">
      <c r="A72" s="113" t="s">
        <v>241</v>
      </c>
      <c r="B72" s="25">
        <v>96854.7</v>
      </c>
      <c r="C72" s="27">
        <v>95401.88</v>
      </c>
      <c r="D72" s="26">
        <f t="shared" si="0"/>
        <v>98.50000051623722</v>
      </c>
      <c r="E72" s="27">
        <f t="shared" si="1"/>
        <v>-1452.8199999999924</v>
      </c>
    </row>
    <row r="73" spans="1:5" ht="23.25" customHeight="1">
      <c r="A73" s="113" t="s">
        <v>242</v>
      </c>
      <c r="B73" s="25">
        <v>32284.9</v>
      </c>
      <c r="C73" s="27">
        <v>0</v>
      </c>
      <c r="D73" s="26">
        <f t="shared" si="0"/>
        <v>0</v>
      </c>
      <c r="E73" s="27">
        <f t="shared" si="1"/>
        <v>-32284.9</v>
      </c>
    </row>
    <row r="74" spans="1:5" ht="29.25" customHeight="1">
      <c r="A74" s="113" t="s">
        <v>178</v>
      </c>
      <c r="B74" s="130">
        <v>0</v>
      </c>
      <c r="C74" s="131">
        <v>0</v>
      </c>
      <c r="D74" s="26" t="str">
        <f t="shared" si="0"/>
        <v>   </v>
      </c>
      <c r="E74" s="133">
        <f t="shared" si="1"/>
        <v>0</v>
      </c>
    </row>
    <row r="75" spans="1:5" ht="20.25" customHeight="1">
      <c r="A75" s="35" t="s">
        <v>17</v>
      </c>
      <c r="B75" s="31">
        <v>8000</v>
      </c>
      <c r="C75" s="31">
        <v>8000</v>
      </c>
      <c r="D75" s="26">
        <f t="shared" si="0"/>
        <v>100</v>
      </c>
      <c r="E75" s="42">
        <f t="shared" si="1"/>
        <v>0</v>
      </c>
    </row>
    <row r="76" spans="1:5" ht="18" customHeight="1">
      <c r="A76" s="16" t="s">
        <v>41</v>
      </c>
      <c r="B76" s="24">
        <f>B77</f>
        <v>478000</v>
      </c>
      <c r="C76" s="24">
        <f>C77</f>
        <v>315500</v>
      </c>
      <c r="D76" s="26">
        <f t="shared" si="0"/>
        <v>66.0041841004184</v>
      </c>
      <c r="E76" s="42">
        <f t="shared" si="1"/>
        <v>-162500</v>
      </c>
    </row>
    <row r="77" spans="1:5" ht="12.75" customHeight="1">
      <c r="A77" s="16" t="s">
        <v>42</v>
      </c>
      <c r="B77" s="25">
        <v>478000</v>
      </c>
      <c r="C77" s="27">
        <v>315500</v>
      </c>
      <c r="D77" s="26">
        <f t="shared" si="0"/>
        <v>66.0041841004184</v>
      </c>
      <c r="E77" s="42">
        <f t="shared" si="1"/>
        <v>-162500</v>
      </c>
    </row>
    <row r="78" spans="1:5" ht="16.5" customHeight="1">
      <c r="A78" s="16" t="s">
        <v>125</v>
      </c>
      <c r="B78" s="25">
        <f>SUM(B79,)</f>
        <v>12000</v>
      </c>
      <c r="C78" s="25">
        <f>SUM(C79,)</f>
        <v>0</v>
      </c>
      <c r="D78" s="26">
        <f t="shared" si="0"/>
        <v>0</v>
      </c>
      <c r="E78" s="42">
        <f t="shared" si="1"/>
        <v>-12000</v>
      </c>
    </row>
    <row r="79" spans="1:5" ht="13.5" customHeight="1">
      <c r="A79" s="16" t="s">
        <v>43</v>
      </c>
      <c r="B79" s="25">
        <v>12000</v>
      </c>
      <c r="C79" s="28">
        <v>0</v>
      </c>
      <c r="D79" s="26">
        <f t="shared" si="0"/>
        <v>0</v>
      </c>
      <c r="E79" s="42">
        <f t="shared" si="1"/>
        <v>-12000</v>
      </c>
    </row>
    <row r="80" spans="1:5" ht="22.5" customHeight="1">
      <c r="A80" s="183" t="s">
        <v>15</v>
      </c>
      <c r="B80" s="159">
        <f>SUM(B46,B53,B55,B57,B65,B75,B76,B78,)</f>
        <v>4636539.6</v>
      </c>
      <c r="C80" s="159">
        <f>SUM(C46,C53,C55,C57,C65,C75,C76,C78,)</f>
        <v>1379354.75</v>
      </c>
      <c r="D80" s="149">
        <f>IF(B80=0,"   ",C80/B80*100)</f>
        <v>29.74965963840792</v>
      </c>
      <c r="E80" s="150">
        <f t="shared" si="1"/>
        <v>-3257184.8499999996</v>
      </c>
    </row>
    <row r="81" spans="1:5" s="66" customFormat="1" ht="23.25" customHeight="1">
      <c r="A81" s="88" t="s">
        <v>262</v>
      </c>
      <c r="B81" s="88"/>
      <c r="C81" s="287"/>
      <c r="D81" s="287"/>
      <c r="E81" s="287"/>
    </row>
    <row r="82" spans="1:5" s="66" customFormat="1" ht="18" customHeight="1">
      <c r="A82" s="88" t="s">
        <v>163</v>
      </c>
      <c r="B82" s="88"/>
      <c r="C82" s="89" t="s">
        <v>268</v>
      </c>
      <c r="D82" s="90"/>
      <c r="E82" s="91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  <row r="85" spans="1:5" ht="12.75">
      <c r="A85" s="7"/>
      <c r="B85" s="7"/>
      <c r="C85" s="6"/>
      <c r="D85" s="7"/>
      <c r="E85" s="2"/>
    </row>
    <row r="86" spans="1:5" ht="12.75">
      <c r="A86" s="7"/>
      <c r="B86" s="7"/>
      <c r="C86" s="6"/>
      <c r="D86" s="7"/>
      <c r="E86" s="2"/>
    </row>
  </sheetData>
  <sheetProtection/>
  <mergeCells count="2">
    <mergeCell ref="A1:E1"/>
    <mergeCell ref="C81:E81"/>
  </mergeCells>
  <printOptions/>
  <pageMargins left="0.984251968503937" right="0.5905511811023623" top="0.5118110236220472" bottom="0.5118110236220472" header="0.5118110236220472" footer="0.5118110236220472"/>
  <pageSetup fitToHeight="2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zoomScalePageLayoutView="0" workbookViewId="0" topLeftCell="A19">
      <selection activeCell="C43" sqref="C43"/>
    </sheetView>
  </sheetViews>
  <sheetFormatPr defaultColWidth="9.00390625" defaultRowHeight="12.75"/>
  <cols>
    <col min="1" max="1" width="107.75390625" style="0" customWidth="1"/>
    <col min="2" max="2" width="14.375" style="0" customWidth="1"/>
    <col min="3" max="3" width="16.875" style="0" customWidth="1"/>
    <col min="4" max="4" width="18.00390625" style="0" customWidth="1"/>
    <col min="5" max="5" width="16.25390625" style="0" customWidth="1"/>
  </cols>
  <sheetData>
    <row r="1" spans="1:5" ht="18">
      <c r="A1" s="289" t="s">
        <v>301</v>
      </c>
      <c r="B1" s="289"/>
      <c r="C1" s="289"/>
      <c r="D1" s="289"/>
      <c r="E1" s="28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279</v>
      </c>
      <c r="C4" s="32" t="s">
        <v>296</v>
      </c>
      <c r="D4" s="19" t="s">
        <v>283</v>
      </c>
      <c r="E4" s="36" t="s">
        <v>281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60" t="s">
        <v>45</v>
      </c>
      <c r="B7" s="157">
        <f>SUM(B8)</f>
        <v>47000</v>
      </c>
      <c r="C7" s="157">
        <f>SUM(C8)</f>
        <v>26901.67</v>
      </c>
      <c r="D7" s="147">
        <f aca="true" t="shared" si="0" ref="D7:D84">IF(B7=0,"   ",C7/B7*100)</f>
        <v>57.237595744680846</v>
      </c>
      <c r="E7" s="148">
        <f aca="true" t="shared" si="1" ref="E7:E85">C7-B7</f>
        <v>-20098.33</v>
      </c>
    </row>
    <row r="8" spans="1:5" ht="12" customHeight="1">
      <c r="A8" s="93" t="s">
        <v>44</v>
      </c>
      <c r="B8" s="92">
        <v>47000</v>
      </c>
      <c r="C8" s="277">
        <v>26901.67</v>
      </c>
      <c r="D8" s="147">
        <f t="shared" si="0"/>
        <v>57.237595744680846</v>
      </c>
      <c r="E8" s="148">
        <f t="shared" si="1"/>
        <v>-20098.33</v>
      </c>
    </row>
    <row r="9" spans="1:5" ht="16.5" customHeight="1">
      <c r="A9" s="160" t="s">
        <v>142</v>
      </c>
      <c r="B9" s="234">
        <f>SUM(B10)</f>
        <v>714300</v>
      </c>
      <c r="C9" s="234">
        <f>SUM(C10)</f>
        <v>396810.59</v>
      </c>
      <c r="D9" s="147">
        <f t="shared" si="0"/>
        <v>55.55237155256896</v>
      </c>
      <c r="E9" s="148">
        <f t="shared" si="1"/>
        <v>-317489.41</v>
      </c>
    </row>
    <row r="10" spans="1:5" ht="11.25" customHeight="1">
      <c r="A10" s="93" t="s">
        <v>143</v>
      </c>
      <c r="B10" s="235">
        <v>714300</v>
      </c>
      <c r="C10" s="277">
        <v>396810.59</v>
      </c>
      <c r="D10" s="147">
        <f t="shared" si="0"/>
        <v>55.55237155256896</v>
      </c>
      <c r="E10" s="148">
        <f t="shared" si="1"/>
        <v>-317489.41</v>
      </c>
    </row>
    <row r="11" spans="1:5" ht="12.75">
      <c r="A11" s="93" t="s">
        <v>7</v>
      </c>
      <c r="B11" s="235">
        <f>SUM(B12:B12)</f>
        <v>76800</v>
      </c>
      <c r="C11" s="235">
        <f>SUM(C12:C12)</f>
        <v>57286.25</v>
      </c>
      <c r="D11" s="147">
        <f t="shared" si="0"/>
        <v>74.59147135416667</v>
      </c>
      <c r="E11" s="148">
        <f t="shared" si="1"/>
        <v>-19513.75</v>
      </c>
    </row>
    <row r="12" spans="1:5" ht="16.5" customHeight="1">
      <c r="A12" s="93" t="s">
        <v>26</v>
      </c>
      <c r="B12" s="235">
        <v>76800</v>
      </c>
      <c r="C12" s="277">
        <v>57286.25</v>
      </c>
      <c r="D12" s="147">
        <f t="shared" si="0"/>
        <v>74.59147135416667</v>
      </c>
      <c r="E12" s="148">
        <f t="shared" si="1"/>
        <v>-19513.75</v>
      </c>
    </row>
    <row r="13" spans="1:5" ht="16.5" customHeight="1">
      <c r="A13" s="93" t="s">
        <v>9</v>
      </c>
      <c r="B13" s="235">
        <f>SUM(B14:B15)</f>
        <v>531000</v>
      </c>
      <c r="C13" s="235">
        <f>SUM(C14:C15)</f>
        <v>22384.449999999997</v>
      </c>
      <c r="D13" s="147">
        <f t="shared" si="0"/>
        <v>4.215527306967984</v>
      </c>
      <c r="E13" s="148">
        <f t="shared" si="1"/>
        <v>-508615.55</v>
      </c>
    </row>
    <row r="14" spans="1:5" ht="15" customHeight="1">
      <c r="A14" s="93" t="s">
        <v>27</v>
      </c>
      <c r="B14" s="235">
        <v>307000</v>
      </c>
      <c r="C14" s="277">
        <v>1723.33</v>
      </c>
      <c r="D14" s="147">
        <f t="shared" si="0"/>
        <v>0.5613452768729641</v>
      </c>
      <c r="E14" s="148">
        <f t="shared" si="1"/>
        <v>-305276.67</v>
      </c>
    </row>
    <row r="15" spans="1:5" ht="15.75" customHeight="1">
      <c r="A15" s="41" t="s">
        <v>171</v>
      </c>
      <c r="B15" s="235">
        <f>SUM(B16:B17)</f>
        <v>224000</v>
      </c>
      <c r="C15" s="235">
        <f>SUM(C16:C17)</f>
        <v>20661.12</v>
      </c>
      <c r="D15" s="147">
        <f t="shared" si="0"/>
        <v>9.223714285714285</v>
      </c>
      <c r="E15" s="148">
        <f t="shared" si="1"/>
        <v>-203338.88</v>
      </c>
    </row>
    <row r="16" spans="1:5" ht="14.25" customHeight="1">
      <c r="A16" s="41" t="s">
        <v>172</v>
      </c>
      <c r="B16" s="235">
        <v>18000</v>
      </c>
      <c r="C16" s="277">
        <v>15127</v>
      </c>
      <c r="D16" s="147">
        <f t="shared" si="0"/>
        <v>84.03888888888889</v>
      </c>
      <c r="E16" s="148">
        <f t="shared" si="1"/>
        <v>-2873</v>
      </c>
    </row>
    <row r="17" spans="1:5" ht="12.75" customHeight="1">
      <c r="A17" s="41" t="s">
        <v>173</v>
      </c>
      <c r="B17" s="235">
        <v>206000</v>
      </c>
      <c r="C17" s="277">
        <v>5534.12</v>
      </c>
      <c r="D17" s="147">
        <f t="shared" si="0"/>
        <v>2.686466019417476</v>
      </c>
      <c r="E17" s="148">
        <f t="shared" si="1"/>
        <v>-200465.88</v>
      </c>
    </row>
    <row r="18" spans="1:5" ht="12.75" customHeight="1">
      <c r="A18" s="41" t="s">
        <v>225</v>
      </c>
      <c r="B18" s="235">
        <v>0</v>
      </c>
      <c r="C18" s="277">
        <v>660</v>
      </c>
      <c r="D18" s="147" t="str">
        <f t="shared" si="0"/>
        <v>   </v>
      </c>
      <c r="E18" s="148">
        <f t="shared" si="1"/>
        <v>660</v>
      </c>
    </row>
    <row r="19" spans="1:5" ht="13.5" customHeight="1">
      <c r="A19" s="93" t="s">
        <v>88</v>
      </c>
      <c r="B19" s="235">
        <v>0</v>
      </c>
      <c r="C19" s="236">
        <v>0</v>
      </c>
      <c r="D19" s="147" t="str">
        <f t="shared" si="0"/>
        <v>   </v>
      </c>
      <c r="E19" s="148">
        <f t="shared" si="1"/>
        <v>0</v>
      </c>
    </row>
    <row r="20" spans="1:5" ht="24.75" customHeight="1">
      <c r="A20" s="93" t="s">
        <v>28</v>
      </c>
      <c r="B20" s="235">
        <f>B21+B22</f>
        <v>31600</v>
      </c>
      <c r="C20" s="235">
        <f>SUM(C21:C22)</f>
        <v>5001.99</v>
      </c>
      <c r="D20" s="147">
        <f t="shared" si="0"/>
        <v>15.829082278481014</v>
      </c>
      <c r="E20" s="148">
        <f t="shared" si="1"/>
        <v>-26598.010000000002</v>
      </c>
    </row>
    <row r="21" spans="1:5" ht="14.25" customHeight="1">
      <c r="A21" s="41" t="s">
        <v>161</v>
      </c>
      <c r="B21" s="235">
        <v>31600</v>
      </c>
      <c r="C21" s="235">
        <v>5001.99</v>
      </c>
      <c r="D21" s="147">
        <f t="shared" si="0"/>
        <v>15.829082278481014</v>
      </c>
      <c r="E21" s="148">
        <f t="shared" si="1"/>
        <v>-26598.010000000002</v>
      </c>
    </row>
    <row r="22" spans="1:5" ht="12" customHeight="1">
      <c r="A22" s="93" t="s">
        <v>30</v>
      </c>
      <c r="B22" s="235">
        <v>0</v>
      </c>
      <c r="C22" s="236">
        <v>0</v>
      </c>
      <c r="D22" s="147" t="str">
        <f t="shared" si="0"/>
        <v>   </v>
      </c>
      <c r="E22" s="148">
        <f t="shared" si="1"/>
        <v>0</v>
      </c>
    </row>
    <row r="23" spans="1:5" ht="12.75" customHeight="1">
      <c r="A23" s="93" t="s">
        <v>83</v>
      </c>
      <c r="B23" s="235">
        <v>0</v>
      </c>
      <c r="C23" s="236">
        <v>0</v>
      </c>
      <c r="D23" s="147" t="str">
        <f t="shared" si="0"/>
        <v>   </v>
      </c>
      <c r="E23" s="148">
        <f t="shared" si="1"/>
        <v>0</v>
      </c>
    </row>
    <row r="24" spans="1:5" ht="13.5" customHeight="1">
      <c r="A24" s="93" t="s">
        <v>78</v>
      </c>
      <c r="B24" s="235">
        <f>SUM(B25:B25)</f>
        <v>0</v>
      </c>
      <c r="C24" s="235">
        <f>SUM(C25:C25)</f>
        <v>0</v>
      </c>
      <c r="D24" s="147" t="str">
        <f t="shared" si="0"/>
        <v>   </v>
      </c>
      <c r="E24" s="148">
        <f t="shared" si="1"/>
        <v>0</v>
      </c>
    </row>
    <row r="25" spans="1:5" ht="13.5" customHeight="1">
      <c r="A25" s="93" t="s">
        <v>127</v>
      </c>
      <c r="B25" s="235">
        <v>0</v>
      </c>
      <c r="C25" s="235"/>
      <c r="D25" s="147" t="str">
        <f t="shared" si="0"/>
        <v>   </v>
      </c>
      <c r="E25" s="148"/>
    </row>
    <row r="26" spans="1:5" ht="12.75">
      <c r="A26" s="93" t="s">
        <v>32</v>
      </c>
      <c r="B26" s="235">
        <f>B27</f>
        <v>0</v>
      </c>
      <c r="C26" s="235">
        <f>C27</f>
        <v>0</v>
      </c>
      <c r="D26" s="147" t="str">
        <f t="shared" si="0"/>
        <v>   </v>
      </c>
      <c r="E26" s="148">
        <f t="shared" si="1"/>
        <v>0</v>
      </c>
    </row>
    <row r="27" spans="1:5" ht="12.75">
      <c r="A27" s="16" t="s">
        <v>46</v>
      </c>
      <c r="B27" s="235">
        <v>0</v>
      </c>
      <c r="C27" s="235">
        <v>0</v>
      </c>
      <c r="D27" s="147" t="str">
        <f t="shared" si="0"/>
        <v>   </v>
      </c>
      <c r="E27" s="148">
        <f t="shared" si="1"/>
        <v>0</v>
      </c>
    </row>
    <row r="28" spans="1:5" ht="12.75">
      <c r="A28" s="93" t="s">
        <v>31</v>
      </c>
      <c r="B28" s="235">
        <v>0</v>
      </c>
      <c r="C28" s="235">
        <v>0</v>
      </c>
      <c r="D28" s="147" t="str">
        <f t="shared" si="0"/>
        <v>   </v>
      </c>
      <c r="E28" s="148">
        <f t="shared" si="1"/>
        <v>0</v>
      </c>
    </row>
    <row r="29" spans="1:5" ht="18" customHeight="1">
      <c r="A29" s="166" t="s">
        <v>10</v>
      </c>
      <c r="B29" s="185">
        <f>B7+B9+B11+B13+B19+B20+B24+B26+B28+B18</f>
        <v>1400700</v>
      </c>
      <c r="C29" s="185">
        <f>C7+C9+C11+C13+C19+C20+C24+C26+C28+C18</f>
        <v>509044.95</v>
      </c>
      <c r="D29" s="149">
        <f t="shared" si="0"/>
        <v>36.34218248018848</v>
      </c>
      <c r="E29" s="150">
        <f t="shared" si="1"/>
        <v>-891655.05</v>
      </c>
    </row>
    <row r="30" spans="1:5" ht="18" customHeight="1">
      <c r="A30" s="167" t="s">
        <v>145</v>
      </c>
      <c r="B30" s="201">
        <f>SUM(B31:B34,B37,B38,B41,B42)</f>
        <v>5489690</v>
      </c>
      <c r="C30" s="201">
        <f>SUM(C31:C34,C37,C38,C41,C42)</f>
        <v>2420494.7</v>
      </c>
      <c r="D30" s="149">
        <f t="shared" si="0"/>
        <v>44.091646340685905</v>
      </c>
      <c r="E30" s="150">
        <f t="shared" si="1"/>
        <v>-3069195.3</v>
      </c>
    </row>
    <row r="31" spans="1:5" ht="16.5" customHeight="1">
      <c r="A31" s="168" t="s">
        <v>34</v>
      </c>
      <c r="B31" s="169">
        <v>2709400</v>
      </c>
      <c r="C31" s="277">
        <v>1354600</v>
      </c>
      <c r="D31" s="163">
        <f t="shared" si="0"/>
        <v>49.996309145936365</v>
      </c>
      <c r="E31" s="164">
        <f t="shared" si="1"/>
        <v>-1354800</v>
      </c>
    </row>
    <row r="32" spans="1:5" ht="16.5" customHeight="1">
      <c r="A32" s="17" t="s">
        <v>270</v>
      </c>
      <c r="B32" s="169">
        <v>194700</v>
      </c>
      <c r="C32" s="277">
        <v>194700</v>
      </c>
      <c r="D32" s="163">
        <f>IF(B32=0,"   ",C32/B32*100)</f>
        <v>100</v>
      </c>
      <c r="E32" s="164">
        <f>C32-B32</f>
        <v>0</v>
      </c>
    </row>
    <row r="33" spans="1:5" ht="27" customHeight="1">
      <c r="A33" s="165" t="s">
        <v>51</v>
      </c>
      <c r="B33" s="235">
        <v>90000</v>
      </c>
      <c r="C33" s="277">
        <v>48644</v>
      </c>
      <c r="D33" s="163">
        <f t="shared" si="0"/>
        <v>54.04888888888889</v>
      </c>
      <c r="E33" s="164">
        <f t="shared" si="1"/>
        <v>-41356</v>
      </c>
    </row>
    <row r="34" spans="1:5" ht="27" customHeight="1">
      <c r="A34" s="165" t="s">
        <v>155</v>
      </c>
      <c r="B34" s="235">
        <f>SUM(B35:B36)</f>
        <v>300</v>
      </c>
      <c r="C34" s="235">
        <f>SUM(C35:C36)</f>
        <v>300</v>
      </c>
      <c r="D34" s="163">
        <f t="shared" si="0"/>
        <v>100</v>
      </c>
      <c r="E34" s="164">
        <f t="shared" si="1"/>
        <v>0</v>
      </c>
    </row>
    <row r="35" spans="1:5" ht="17.25" customHeight="1">
      <c r="A35" s="117" t="s">
        <v>174</v>
      </c>
      <c r="B35" s="235">
        <v>300</v>
      </c>
      <c r="C35" s="235">
        <v>300</v>
      </c>
      <c r="D35" s="163">
        <f t="shared" si="0"/>
        <v>100</v>
      </c>
      <c r="E35" s="164">
        <f t="shared" si="1"/>
        <v>0</v>
      </c>
    </row>
    <row r="36" spans="1:5" ht="27" customHeight="1">
      <c r="A36" s="117" t="s">
        <v>175</v>
      </c>
      <c r="B36" s="235">
        <v>0</v>
      </c>
      <c r="C36" s="235">
        <v>0</v>
      </c>
      <c r="D36" s="163" t="str">
        <f>IF(B36=0,"   ",C36/B36*100)</f>
        <v>   </v>
      </c>
      <c r="E36" s="164">
        <f>C36-B36</f>
        <v>0</v>
      </c>
    </row>
    <row r="37" spans="1:5" ht="54.75" customHeight="1">
      <c r="A37" s="16" t="s">
        <v>291</v>
      </c>
      <c r="B37" s="235">
        <v>1766700</v>
      </c>
      <c r="C37" s="235">
        <v>237313</v>
      </c>
      <c r="D37" s="163">
        <f>IF(B37=0,"   ",C37/B37*100)</f>
        <v>13.432557876266484</v>
      </c>
      <c r="E37" s="164">
        <f>C37-B37</f>
        <v>-1529387</v>
      </c>
    </row>
    <row r="38" spans="1:5" ht="17.25" customHeight="1">
      <c r="A38" s="165" t="s">
        <v>55</v>
      </c>
      <c r="B38" s="235">
        <f>B39+B40</f>
        <v>624500</v>
      </c>
      <c r="C38" s="235">
        <f>C39+C40</f>
        <v>501366.6</v>
      </c>
      <c r="D38" s="163">
        <f t="shared" si="0"/>
        <v>80.28288230584467</v>
      </c>
      <c r="E38" s="164">
        <f t="shared" si="1"/>
        <v>-123133.40000000002</v>
      </c>
    </row>
    <row r="39" spans="1:5" s="7" customFormat="1" ht="14.25" customHeight="1">
      <c r="A39" s="53" t="s">
        <v>110</v>
      </c>
      <c r="B39" s="235">
        <v>0</v>
      </c>
      <c r="C39" s="235">
        <v>0</v>
      </c>
      <c r="D39" s="54" t="str">
        <f t="shared" si="0"/>
        <v>   </v>
      </c>
      <c r="E39" s="186">
        <f t="shared" si="1"/>
        <v>0</v>
      </c>
    </row>
    <row r="40" spans="1:5" s="7" customFormat="1" ht="14.25" customHeight="1">
      <c r="A40" s="53" t="s">
        <v>212</v>
      </c>
      <c r="B40" s="235">
        <v>624500</v>
      </c>
      <c r="C40" s="235">
        <v>501366.6</v>
      </c>
      <c r="D40" s="54">
        <f t="shared" si="0"/>
        <v>80.28288230584467</v>
      </c>
      <c r="E40" s="186">
        <f t="shared" si="1"/>
        <v>-123133.40000000002</v>
      </c>
    </row>
    <row r="41" spans="1:5" ht="39" customHeight="1">
      <c r="A41" s="165" t="s">
        <v>104</v>
      </c>
      <c r="B41" s="235">
        <v>0</v>
      </c>
      <c r="C41" s="277">
        <v>0</v>
      </c>
      <c r="D41" s="163" t="str">
        <f t="shared" si="0"/>
        <v>   </v>
      </c>
      <c r="E41" s="164">
        <f t="shared" si="1"/>
        <v>0</v>
      </c>
    </row>
    <row r="42" spans="1:5" ht="15.75" customHeight="1">
      <c r="A42" s="16" t="s">
        <v>228</v>
      </c>
      <c r="B42" s="235">
        <v>104090</v>
      </c>
      <c r="C42" s="235">
        <v>83571.1</v>
      </c>
      <c r="D42" s="163">
        <f t="shared" si="0"/>
        <v>80.28734748775099</v>
      </c>
      <c r="E42" s="164">
        <f t="shared" si="1"/>
        <v>-20518.899999999994</v>
      </c>
    </row>
    <row r="43" spans="1:5" ht="16.5" customHeight="1">
      <c r="A43" s="166" t="s">
        <v>11</v>
      </c>
      <c r="B43" s="159">
        <f>SUM(B29,B30,)</f>
        <v>6890390</v>
      </c>
      <c r="C43" s="159">
        <f>SUM(C29,C30,)</f>
        <v>2929539.6500000004</v>
      </c>
      <c r="D43" s="149">
        <f t="shared" si="0"/>
        <v>42.516311123173004</v>
      </c>
      <c r="E43" s="150">
        <f t="shared" si="1"/>
        <v>-3960850.3499999996</v>
      </c>
    </row>
    <row r="44" spans="1:5" ht="20.25" customHeight="1">
      <c r="A44" s="30"/>
      <c r="B44" s="169"/>
      <c r="C44" s="161"/>
      <c r="D44" s="163" t="str">
        <f t="shared" si="0"/>
        <v>   </v>
      </c>
      <c r="E44" s="164">
        <f t="shared" si="1"/>
        <v>0</v>
      </c>
    </row>
    <row r="45" spans="1:5" ht="12.75">
      <c r="A45" s="170" t="s">
        <v>12</v>
      </c>
      <c r="B45" s="159"/>
      <c r="C45" s="171"/>
      <c r="D45" s="163" t="str">
        <f t="shared" si="0"/>
        <v>   </v>
      </c>
      <c r="E45" s="164">
        <f t="shared" si="1"/>
        <v>0</v>
      </c>
    </row>
    <row r="46" spans="1:5" ht="19.5" customHeight="1">
      <c r="A46" s="165" t="s">
        <v>35</v>
      </c>
      <c r="B46" s="161">
        <f>SUM(B47,B49,B50)</f>
        <v>1116000</v>
      </c>
      <c r="C46" s="161">
        <f>SUM(C47,C49,C50)</f>
        <v>593970.53</v>
      </c>
      <c r="D46" s="163">
        <f t="shared" si="0"/>
        <v>53.22316577060933</v>
      </c>
      <c r="E46" s="164">
        <f t="shared" si="1"/>
        <v>-522029.47</v>
      </c>
    </row>
    <row r="47" spans="1:5" ht="13.5" customHeight="1">
      <c r="A47" s="165" t="s">
        <v>36</v>
      </c>
      <c r="B47" s="161">
        <v>1115500</v>
      </c>
      <c r="C47" s="161">
        <v>593970.53</v>
      </c>
      <c r="D47" s="163">
        <f t="shared" si="0"/>
        <v>53.24702196324519</v>
      </c>
      <c r="E47" s="164">
        <f t="shared" si="1"/>
        <v>-521529.47</v>
      </c>
    </row>
    <row r="48" spans="1:5" ht="12.75">
      <c r="A48" s="165" t="s">
        <v>122</v>
      </c>
      <c r="B48" s="161">
        <v>712212</v>
      </c>
      <c r="C48" s="171">
        <v>419152.12</v>
      </c>
      <c r="D48" s="163">
        <f t="shared" si="0"/>
        <v>58.852156380403585</v>
      </c>
      <c r="E48" s="164">
        <f t="shared" si="1"/>
        <v>-293059.88</v>
      </c>
    </row>
    <row r="49" spans="1:5" ht="12.75">
      <c r="A49" s="165" t="s">
        <v>96</v>
      </c>
      <c r="B49" s="161">
        <v>500</v>
      </c>
      <c r="C49" s="162">
        <v>0</v>
      </c>
      <c r="D49" s="163">
        <f t="shared" si="0"/>
        <v>0</v>
      </c>
      <c r="E49" s="164">
        <f t="shared" si="1"/>
        <v>-500</v>
      </c>
    </row>
    <row r="50" spans="1:5" ht="12.75">
      <c r="A50" s="41" t="s">
        <v>52</v>
      </c>
      <c r="B50" s="162">
        <f>SUM(B51+B52)</f>
        <v>0</v>
      </c>
      <c r="C50" s="162">
        <f>SUM(C51+C52)</f>
        <v>0</v>
      </c>
      <c r="D50" s="163" t="str">
        <f>IF(B50=0,"   ",C50/B50*100)</f>
        <v>   </v>
      </c>
      <c r="E50" s="164">
        <f>C50-B50</f>
        <v>0</v>
      </c>
    </row>
    <row r="51" spans="1:5" ht="25.5">
      <c r="A51" s="113" t="s">
        <v>164</v>
      </c>
      <c r="B51" s="161">
        <v>0</v>
      </c>
      <c r="C51" s="162">
        <v>0</v>
      </c>
      <c r="D51" s="163" t="str">
        <f>IF(B51=0,"   ",C51/B51*100)</f>
        <v>   </v>
      </c>
      <c r="E51" s="164">
        <f>C51-B51</f>
        <v>0</v>
      </c>
    </row>
    <row r="52" spans="1:5" ht="12.75">
      <c r="A52" s="113" t="s">
        <v>255</v>
      </c>
      <c r="B52" s="161">
        <v>0</v>
      </c>
      <c r="C52" s="162">
        <v>0</v>
      </c>
      <c r="D52" s="163" t="str">
        <f>IF(B52=0,"   ",C52/B52*100)</f>
        <v>   </v>
      </c>
      <c r="E52" s="164">
        <f>C52-B52</f>
        <v>0</v>
      </c>
    </row>
    <row r="53" spans="1:5" ht="18.75" customHeight="1">
      <c r="A53" s="165" t="s">
        <v>49</v>
      </c>
      <c r="B53" s="162">
        <f>SUM(B54)</f>
        <v>90000</v>
      </c>
      <c r="C53" s="162">
        <f>SUM(C54)</f>
        <v>39916.4</v>
      </c>
      <c r="D53" s="163">
        <f t="shared" si="0"/>
        <v>44.35155555555556</v>
      </c>
      <c r="E53" s="164">
        <f t="shared" si="1"/>
        <v>-50083.6</v>
      </c>
    </row>
    <row r="54" spans="1:5" ht="13.5" customHeight="1">
      <c r="A54" s="53" t="s">
        <v>108</v>
      </c>
      <c r="B54" s="161">
        <v>90000</v>
      </c>
      <c r="C54" s="162">
        <v>39916.4</v>
      </c>
      <c r="D54" s="163">
        <f t="shared" si="0"/>
        <v>44.35155555555556</v>
      </c>
      <c r="E54" s="164">
        <f t="shared" si="1"/>
        <v>-50083.6</v>
      </c>
    </row>
    <row r="55" spans="1:5" ht="17.25" customHeight="1">
      <c r="A55" s="165" t="s">
        <v>37</v>
      </c>
      <c r="B55" s="161">
        <f>SUM(B56)</f>
        <v>400</v>
      </c>
      <c r="C55" s="161">
        <f>SUM(C56)</f>
        <v>400</v>
      </c>
      <c r="D55" s="163">
        <f t="shared" si="0"/>
        <v>100</v>
      </c>
      <c r="E55" s="164">
        <f t="shared" si="1"/>
        <v>0</v>
      </c>
    </row>
    <row r="56" spans="1:5" ht="15" customHeight="1">
      <c r="A56" s="83" t="s">
        <v>130</v>
      </c>
      <c r="B56" s="161">
        <v>400</v>
      </c>
      <c r="C56" s="162">
        <v>400</v>
      </c>
      <c r="D56" s="163">
        <f t="shared" si="0"/>
        <v>100</v>
      </c>
      <c r="E56" s="164">
        <f t="shared" si="1"/>
        <v>0</v>
      </c>
    </row>
    <row r="57" spans="1:5" ht="15.75" customHeight="1">
      <c r="A57" s="165" t="s">
        <v>38</v>
      </c>
      <c r="B57" s="161">
        <f>B61+B58</f>
        <v>2481000</v>
      </c>
      <c r="C57" s="161">
        <f>C61+C58</f>
        <v>349050</v>
      </c>
      <c r="D57" s="163">
        <f t="shared" si="0"/>
        <v>14.068923821039903</v>
      </c>
      <c r="E57" s="164">
        <f t="shared" si="1"/>
        <v>-2131950</v>
      </c>
    </row>
    <row r="58" spans="1:5" ht="15.75" customHeight="1">
      <c r="A58" s="83" t="s">
        <v>176</v>
      </c>
      <c r="B58" s="25">
        <f>SUM(B59+B60)</f>
        <v>0</v>
      </c>
      <c r="C58" s="25">
        <f>SUM(C59+C60)</f>
        <v>0</v>
      </c>
      <c r="D58" s="163" t="str">
        <f>IF(B58=0,"   ",C58/B58*100)</f>
        <v>   </v>
      </c>
      <c r="E58" s="164">
        <f>C58-B58</f>
        <v>0</v>
      </c>
    </row>
    <row r="59" spans="1:5" ht="15.75" customHeight="1">
      <c r="A59" s="83" t="s">
        <v>177</v>
      </c>
      <c r="B59" s="25">
        <v>0</v>
      </c>
      <c r="C59" s="161">
        <v>0</v>
      </c>
      <c r="D59" s="163" t="str">
        <f>IF(B59=0,"   ",C59/B59*100)</f>
        <v>   </v>
      </c>
      <c r="E59" s="164">
        <f>C59-B59</f>
        <v>0</v>
      </c>
    </row>
    <row r="60" spans="1:5" ht="15.75" customHeight="1">
      <c r="A60" s="83" t="s">
        <v>213</v>
      </c>
      <c r="B60" s="25">
        <v>0</v>
      </c>
      <c r="C60" s="161">
        <v>0</v>
      </c>
      <c r="D60" s="163"/>
      <c r="E60" s="164"/>
    </row>
    <row r="61" spans="1:5" ht="12.75">
      <c r="A61" s="173" t="s">
        <v>134</v>
      </c>
      <c r="B61" s="161">
        <f>B63+B64+B62</f>
        <v>2481000</v>
      </c>
      <c r="C61" s="161">
        <f>C63+C64+C62</f>
        <v>349050</v>
      </c>
      <c r="D61" s="163">
        <f t="shared" si="0"/>
        <v>14.068923821039903</v>
      </c>
      <c r="E61" s="164">
        <f t="shared" si="1"/>
        <v>-2131950</v>
      </c>
    </row>
    <row r="62" spans="1:5" ht="21.75" customHeight="1">
      <c r="A62" s="174" t="s">
        <v>156</v>
      </c>
      <c r="B62" s="161">
        <v>0</v>
      </c>
      <c r="C62" s="161">
        <v>0</v>
      </c>
      <c r="D62" s="163" t="str">
        <f t="shared" si="0"/>
        <v>   </v>
      </c>
      <c r="E62" s="164">
        <f t="shared" si="1"/>
        <v>0</v>
      </c>
    </row>
    <row r="63" spans="1:5" ht="22.5" customHeight="1">
      <c r="A63" s="172" t="s">
        <v>135</v>
      </c>
      <c r="B63" s="161">
        <v>1766700</v>
      </c>
      <c r="C63" s="161">
        <v>237313</v>
      </c>
      <c r="D63" s="163">
        <f t="shared" si="0"/>
        <v>13.432557876266484</v>
      </c>
      <c r="E63" s="164">
        <f t="shared" si="1"/>
        <v>-1529387</v>
      </c>
    </row>
    <row r="64" spans="1:5" ht="23.25" customHeight="1">
      <c r="A64" s="172" t="s">
        <v>136</v>
      </c>
      <c r="B64" s="161">
        <v>714300</v>
      </c>
      <c r="C64" s="161">
        <v>111737</v>
      </c>
      <c r="D64" s="163">
        <f t="shared" si="0"/>
        <v>15.642867142657146</v>
      </c>
      <c r="E64" s="164">
        <f t="shared" si="1"/>
        <v>-602563</v>
      </c>
    </row>
    <row r="65" spans="1:5" ht="17.25" customHeight="1">
      <c r="A65" s="165" t="s">
        <v>13</v>
      </c>
      <c r="B65" s="161">
        <f>SUM(B71,B66)</f>
        <v>1433790</v>
      </c>
      <c r="C65" s="161">
        <f>C66+C71</f>
        <v>864894.56</v>
      </c>
      <c r="D65" s="163">
        <f t="shared" si="0"/>
        <v>60.32226197699803</v>
      </c>
      <c r="E65" s="164">
        <f t="shared" si="1"/>
        <v>-568895.44</v>
      </c>
    </row>
    <row r="66" spans="1:5" ht="15.75" customHeight="1">
      <c r="A66" s="165" t="s">
        <v>91</v>
      </c>
      <c r="B66" s="161">
        <f>B67</f>
        <v>746360</v>
      </c>
      <c r="C66" s="161">
        <f>C67</f>
        <v>541111</v>
      </c>
      <c r="D66" s="163">
        <f t="shared" si="0"/>
        <v>72.5</v>
      </c>
      <c r="E66" s="164">
        <f t="shared" si="1"/>
        <v>-205249</v>
      </c>
    </row>
    <row r="67" spans="1:5" ht="15.75" customHeight="1">
      <c r="A67" s="113" t="s">
        <v>237</v>
      </c>
      <c r="B67" s="161">
        <f>B69+B68+B70</f>
        <v>746360</v>
      </c>
      <c r="C67" s="161">
        <f>C69+C68+C70</f>
        <v>541111</v>
      </c>
      <c r="D67" s="163">
        <f>IF(B67=0,"   ",C67/B67*100)</f>
        <v>72.5</v>
      </c>
      <c r="E67" s="164">
        <f>C67-B67</f>
        <v>-205249</v>
      </c>
    </row>
    <row r="68" spans="1:5" ht="27.75" customHeight="1">
      <c r="A68" s="113" t="s">
        <v>211</v>
      </c>
      <c r="B68" s="161">
        <v>447800</v>
      </c>
      <c r="C68" s="161">
        <v>324666.6</v>
      </c>
      <c r="D68" s="163">
        <f t="shared" si="0"/>
        <v>72.50259044216168</v>
      </c>
      <c r="E68" s="164">
        <f t="shared" si="1"/>
        <v>-123133.40000000002</v>
      </c>
    </row>
    <row r="69" spans="1:5" ht="27.75" customHeight="1">
      <c r="A69" s="113" t="s">
        <v>229</v>
      </c>
      <c r="B69" s="161">
        <v>223920</v>
      </c>
      <c r="C69" s="161">
        <v>162330.4</v>
      </c>
      <c r="D69" s="163">
        <f t="shared" si="0"/>
        <v>72.49481957842086</v>
      </c>
      <c r="E69" s="164">
        <f t="shared" si="1"/>
        <v>-61589.600000000006</v>
      </c>
    </row>
    <row r="70" spans="1:5" ht="27.75" customHeight="1">
      <c r="A70" s="113" t="s">
        <v>243</v>
      </c>
      <c r="B70" s="161">
        <v>74640</v>
      </c>
      <c r="C70" s="161">
        <v>54114</v>
      </c>
      <c r="D70" s="163">
        <f t="shared" si="0"/>
        <v>72.5</v>
      </c>
      <c r="E70" s="164">
        <f t="shared" si="1"/>
        <v>-20526</v>
      </c>
    </row>
    <row r="71" spans="1:5" ht="12.75">
      <c r="A71" s="165" t="s">
        <v>58</v>
      </c>
      <c r="B71" s="161">
        <f>B72+B73+B74+B75</f>
        <v>687430</v>
      </c>
      <c r="C71" s="161">
        <f>C72+C73+C74+C75</f>
        <v>323783.56</v>
      </c>
      <c r="D71" s="163">
        <f t="shared" si="0"/>
        <v>47.100586241508225</v>
      </c>
      <c r="E71" s="164">
        <f t="shared" si="1"/>
        <v>-363646.44</v>
      </c>
    </row>
    <row r="72" spans="1:5" ht="12.75">
      <c r="A72" s="165" t="s">
        <v>56</v>
      </c>
      <c r="B72" s="161">
        <v>363000</v>
      </c>
      <c r="C72" s="161">
        <v>29253.56</v>
      </c>
      <c r="D72" s="163">
        <f t="shared" si="0"/>
        <v>8.058831955922866</v>
      </c>
      <c r="E72" s="164">
        <f t="shared" si="1"/>
        <v>-333746.44</v>
      </c>
    </row>
    <row r="73" spans="1:5" ht="12.75">
      <c r="A73" s="165" t="s">
        <v>59</v>
      </c>
      <c r="B73" s="161">
        <v>29900</v>
      </c>
      <c r="C73" s="162">
        <v>0</v>
      </c>
      <c r="D73" s="163">
        <f t="shared" si="0"/>
        <v>0</v>
      </c>
      <c r="E73" s="164">
        <f t="shared" si="1"/>
        <v>-29900</v>
      </c>
    </row>
    <row r="74" spans="1:5" ht="25.5">
      <c r="A74" s="113" t="s">
        <v>178</v>
      </c>
      <c r="B74" s="161">
        <v>0</v>
      </c>
      <c r="C74" s="162">
        <v>0</v>
      </c>
      <c r="D74" s="163" t="str">
        <f>IF(B74=0,"   ",C74/B74*100)</f>
        <v>   </v>
      </c>
      <c r="E74" s="164">
        <f>C74-B74</f>
        <v>0</v>
      </c>
    </row>
    <row r="75" spans="1:5" ht="12.75">
      <c r="A75" s="113" t="s">
        <v>237</v>
      </c>
      <c r="B75" s="161">
        <f>B77+B76+B78</f>
        <v>294530</v>
      </c>
      <c r="C75" s="161">
        <f>C77+C76+C78</f>
        <v>294530</v>
      </c>
      <c r="D75" s="163">
        <f>IF(B75=0,"   ",C75/B75*100)</f>
        <v>100</v>
      </c>
      <c r="E75" s="164">
        <f>C75-B75</f>
        <v>0</v>
      </c>
    </row>
    <row r="76" spans="1:5" ht="25.5">
      <c r="A76" s="113" t="s">
        <v>211</v>
      </c>
      <c r="B76" s="161">
        <v>176700</v>
      </c>
      <c r="C76" s="162">
        <v>176700</v>
      </c>
      <c r="D76" s="163">
        <f>IF(B76=0,"   ",C76/B76*100)</f>
        <v>100</v>
      </c>
      <c r="E76" s="164">
        <f>C76-B76</f>
        <v>0</v>
      </c>
    </row>
    <row r="77" spans="1:5" ht="25.5">
      <c r="A77" s="113" t="s">
        <v>229</v>
      </c>
      <c r="B77" s="161">
        <v>88380</v>
      </c>
      <c r="C77" s="162">
        <v>88380</v>
      </c>
      <c r="D77" s="163">
        <f>IF(B77=0,"   ",C77/B77*100)</f>
        <v>100</v>
      </c>
      <c r="E77" s="164">
        <f>C77-B77</f>
        <v>0</v>
      </c>
    </row>
    <row r="78" spans="1:5" ht="25.5">
      <c r="A78" s="113" t="s">
        <v>243</v>
      </c>
      <c r="B78" s="161">
        <v>29450</v>
      </c>
      <c r="C78" s="162">
        <v>29450</v>
      </c>
      <c r="D78" s="163">
        <f>IF(B78=0,"   ",C78/B78*100)</f>
        <v>100</v>
      </c>
      <c r="E78" s="164">
        <f>C78-B78</f>
        <v>0</v>
      </c>
    </row>
    <row r="79" spans="1:5" ht="12.75" customHeight="1">
      <c r="A79" s="16" t="s">
        <v>95</v>
      </c>
      <c r="B79" s="161">
        <v>0</v>
      </c>
      <c r="C79" s="162">
        <v>0</v>
      </c>
      <c r="D79" s="163" t="str">
        <f t="shared" si="0"/>
        <v>   </v>
      </c>
      <c r="E79" s="164">
        <f t="shared" si="1"/>
        <v>0</v>
      </c>
    </row>
    <row r="80" spans="1:5" ht="12.75" customHeight="1">
      <c r="A80" s="175" t="s">
        <v>17</v>
      </c>
      <c r="B80" s="176">
        <v>8000</v>
      </c>
      <c r="C80" s="176">
        <v>8000</v>
      </c>
      <c r="D80" s="177">
        <f t="shared" si="0"/>
        <v>100</v>
      </c>
      <c r="E80" s="178">
        <f t="shared" si="1"/>
        <v>0</v>
      </c>
    </row>
    <row r="81" spans="1:5" ht="19.5" customHeight="1">
      <c r="A81" s="179" t="s">
        <v>41</v>
      </c>
      <c r="B81" s="180">
        <f>B82</f>
        <v>1858800</v>
      </c>
      <c r="C81" s="180">
        <f>C82</f>
        <v>824589.6</v>
      </c>
      <c r="D81" s="177">
        <f t="shared" si="0"/>
        <v>44.361394448030985</v>
      </c>
      <c r="E81" s="178">
        <f t="shared" si="1"/>
        <v>-1034210.4</v>
      </c>
    </row>
    <row r="82" spans="1:5" ht="15" customHeight="1">
      <c r="A82" s="179" t="s">
        <v>42</v>
      </c>
      <c r="B82" s="176">
        <v>1858800</v>
      </c>
      <c r="C82" s="181">
        <v>824589.6</v>
      </c>
      <c r="D82" s="177">
        <f t="shared" si="0"/>
        <v>44.361394448030985</v>
      </c>
      <c r="E82" s="178">
        <f t="shared" si="1"/>
        <v>-1034210.4</v>
      </c>
    </row>
    <row r="83" spans="1:5" ht="14.25" customHeight="1">
      <c r="A83" s="179" t="s">
        <v>125</v>
      </c>
      <c r="B83" s="176">
        <f>SUM(B84,)</f>
        <v>20000</v>
      </c>
      <c r="C83" s="176">
        <f>SUM(C84,)</f>
        <v>0</v>
      </c>
      <c r="D83" s="177">
        <f t="shared" si="0"/>
        <v>0</v>
      </c>
      <c r="E83" s="178">
        <f t="shared" si="1"/>
        <v>-20000</v>
      </c>
    </row>
    <row r="84" spans="1:5" ht="12.75">
      <c r="A84" s="179" t="s">
        <v>43</v>
      </c>
      <c r="B84" s="176">
        <v>20000</v>
      </c>
      <c r="C84" s="182">
        <v>0</v>
      </c>
      <c r="D84" s="177">
        <f t="shared" si="0"/>
        <v>0</v>
      </c>
      <c r="E84" s="178">
        <f t="shared" si="1"/>
        <v>-20000</v>
      </c>
    </row>
    <row r="85" spans="1:5" ht="23.25" customHeight="1">
      <c r="A85" s="166" t="s">
        <v>15</v>
      </c>
      <c r="B85" s="159">
        <f>SUM(B46,B53,B55,B57,B65,B80,B81,B83,)</f>
        <v>7007990</v>
      </c>
      <c r="C85" s="159">
        <f>SUM(C46,C53,C55,C57,C65,C80,C81,C83,)</f>
        <v>2680821.0900000003</v>
      </c>
      <c r="D85" s="149">
        <f>IF(B85=0,"   ",C85/B85*100)</f>
        <v>38.253780185188624</v>
      </c>
      <c r="E85" s="150">
        <f t="shared" si="1"/>
        <v>-4327168.91</v>
      </c>
    </row>
    <row r="86" spans="1:5" s="66" customFormat="1" ht="23.25" customHeight="1">
      <c r="A86" s="88" t="s">
        <v>262</v>
      </c>
      <c r="B86" s="88"/>
      <c r="C86" s="287"/>
      <c r="D86" s="287"/>
      <c r="E86" s="287"/>
    </row>
    <row r="87" spans="1:5" s="66" customFormat="1" ht="12" customHeight="1">
      <c r="A87" s="88" t="s">
        <v>163</v>
      </c>
      <c r="B87" s="88"/>
      <c r="C87" s="89" t="s">
        <v>268</v>
      </c>
      <c r="D87" s="90"/>
      <c r="E87" s="91"/>
    </row>
    <row r="88" spans="1:5" ht="12.75">
      <c r="A88" s="187"/>
      <c r="B88" s="187"/>
      <c r="C88" s="188"/>
      <c r="D88" s="187"/>
      <c r="E88" s="189"/>
    </row>
    <row r="89" spans="1:5" ht="12.75">
      <c r="A89" s="187"/>
      <c r="B89" s="187"/>
      <c r="C89" s="188"/>
      <c r="D89" s="187"/>
      <c r="E89" s="189"/>
    </row>
    <row r="90" spans="1:5" ht="12.75">
      <c r="A90" s="190"/>
      <c r="B90" s="190"/>
      <c r="C90" s="190"/>
      <c r="D90" s="190"/>
      <c r="E90" s="190"/>
    </row>
    <row r="91" spans="1:5" ht="12.75">
      <c r="A91" s="190"/>
      <c r="B91" s="190"/>
      <c r="C91" s="190"/>
      <c r="D91" s="190"/>
      <c r="E91" s="190"/>
    </row>
    <row r="92" spans="1:5" ht="12.75">
      <c r="A92" s="190"/>
      <c r="B92" s="190"/>
      <c r="C92" s="190"/>
      <c r="D92" s="190"/>
      <c r="E92" s="190"/>
    </row>
    <row r="93" spans="1:5" ht="12.75">
      <c r="A93" s="190"/>
      <c r="B93" s="190"/>
      <c r="C93" s="190"/>
      <c r="D93" s="190"/>
      <c r="E93" s="190"/>
    </row>
    <row r="94" spans="1:5" ht="12.75">
      <c r="A94" s="190"/>
      <c r="B94" s="190"/>
      <c r="C94" s="190"/>
      <c r="D94" s="190"/>
      <c r="E94" s="190"/>
    </row>
    <row r="95" spans="1:5" ht="12.75">
      <c r="A95" s="190"/>
      <c r="B95" s="190"/>
      <c r="C95" s="190"/>
      <c r="D95" s="190"/>
      <c r="E95" s="190"/>
    </row>
  </sheetData>
  <sheetProtection/>
  <mergeCells count="2">
    <mergeCell ref="A1:E1"/>
    <mergeCell ref="C86:E86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zoomScalePageLayoutView="0" workbookViewId="0" topLeftCell="A25">
      <selection activeCell="C44" sqref="C44"/>
    </sheetView>
  </sheetViews>
  <sheetFormatPr defaultColWidth="9.00390625" defaultRowHeight="12.75"/>
  <cols>
    <col min="1" max="1" width="109.875" style="0" customWidth="1"/>
    <col min="2" max="2" width="17.375" style="0" customWidth="1"/>
    <col min="3" max="3" width="17.75390625" style="0" customWidth="1"/>
    <col min="4" max="4" width="17.125" style="0" customWidth="1"/>
    <col min="5" max="5" width="15.00390625" style="0" customWidth="1"/>
  </cols>
  <sheetData>
    <row r="1" spans="1:5" ht="18">
      <c r="A1" s="289" t="s">
        <v>302</v>
      </c>
      <c r="B1" s="289"/>
      <c r="C1" s="289"/>
      <c r="D1" s="289"/>
      <c r="E1" s="28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94.5">
      <c r="A4" s="34" t="s">
        <v>1</v>
      </c>
      <c r="B4" s="19" t="s">
        <v>279</v>
      </c>
      <c r="C4" s="32" t="s">
        <v>303</v>
      </c>
      <c r="D4" s="19" t="s">
        <v>280</v>
      </c>
      <c r="E4" s="36" t="s">
        <v>281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57">
        <f>SUM(B8)</f>
        <v>64200</v>
      </c>
      <c r="C7" s="157">
        <f>C8</f>
        <v>32342.29</v>
      </c>
      <c r="D7" s="147">
        <f aca="true" t="shared" si="0" ref="D7:D85">IF(B7=0,"   ",C7/B7*100)</f>
        <v>50.377398753894084</v>
      </c>
      <c r="E7" s="148">
        <f aca="true" t="shared" si="1" ref="E7:E86">C7-B7</f>
        <v>-31857.71</v>
      </c>
    </row>
    <row r="8" spans="1:5" ht="12.75">
      <c r="A8" s="16" t="s">
        <v>44</v>
      </c>
      <c r="B8" s="92">
        <v>64200</v>
      </c>
      <c r="C8" s="277">
        <v>32342.29</v>
      </c>
      <c r="D8" s="147">
        <f t="shared" si="0"/>
        <v>50.377398753894084</v>
      </c>
      <c r="E8" s="148">
        <f t="shared" si="1"/>
        <v>-31857.71</v>
      </c>
    </row>
    <row r="9" spans="1:5" ht="12.75">
      <c r="A9" s="71" t="s">
        <v>142</v>
      </c>
      <c r="B9" s="234">
        <f>SUM(B10)</f>
        <v>445000</v>
      </c>
      <c r="C9" s="234">
        <f>SUM(C10)</f>
        <v>247233.99</v>
      </c>
      <c r="D9" s="147">
        <f t="shared" si="0"/>
        <v>55.5582</v>
      </c>
      <c r="E9" s="148">
        <f t="shared" si="1"/>
        <v>-197766.01</v>
      </c>
    </row>
    <row r="10" spans="1:5" ht="12.75">
      <c r="A10" s="41" t="s">
        <v>143</v>
      </c>
      <c r="B10" s="235">
        <v>445000</v>
      </c>
      <c r="C10" s="277">
        <v>247233.99</v>
      </c>
      <c r="D10" s="147">
        <f t="shared" si="0"/>
        <v>55.5582</v>
      </c>
      <c r="E10" s="148">
        <f t="shared" si="1"/>
        <v>-197766.01</v>
      </c>
    </row>
    <row r="11" spans="1:5" ht="13.5" customHeight="1">
      <c r="A11" s="16" t="s">
        <v>7</v>
      </c>
      <c r="B11" s="235">
        <f>SUM(B12:B12)</f>
        <v>22300</v>
      </c>
      <c r="C11" s="235">
        <f>SUM(C12:C12)</f>
        <v>62057.4</v>
      </c>
      <c r="D11" s="147">
        <f t="shared" si="0"/>
        <v>278.28430493273544</v>
      </c>
      <c r="E11" s="148">
        <f t="shared" si="1"/>
        <v>39757.4</v>
      </c>
    </row>
    <row r="12" spans="1:5" ht="13.5" customHeight="1">
      <c r="A12" s="16" t="s">
        <v>26</v>
      </c>
      <c r="B12" s="235">
        <v>22300</v>
      </c>
      <c r="C12" s="277">
        <v>62057.4</v>
      </c>
      <c r="D12" s="147">
        <f t="shared" si="0"/>
        <v>278.28430493273544</v>
      </c>
      <c r="E12" s="148">
        <f t="shared" si="1"/>
        <v>39757.4</v>
      </c>
    </row>
    <row r="13" spans="1:5" ht="12.75">
      <c r="A13" s="16" t="s">
        <v>9</v>
      </c>
      <c r="B13" s="235">
        <f>SUM(B14:B15)</f>
        <v>338000</v>
      </c>
      <c r="C13" s="235">
        <f>SUM(C14:C15)</f>
        <v>34176.61</v>
      </c>
      <c r="D13" s="147">
        <f t="shared" si="0"/>
        <v>10.111423076923078</v>
      </c>
      <c r="E13" s="148">
        <f t="shared" si="1"/>
        <v>-303823.39</v>
      </c>
    </row>
    <row r="14" spans="1:5" ht="19.5" customHeight="1">
      <c r="A14" s="16" t="s">
        <v>27</v>
      </c>
      <c r="B14" s="235">
        <v>81000</v>
      </c>
      <c r="C14" s="277">
        <v>1524.95</v>
      </c>
      <c r="D14" s="147">
        <f t="shared" si="0"/>
        <v>1.8826543209876545</v>
      </c>
      <c r="E14" s="148">
        <f t="shared" si="1"/>
        <v>-79475.05</v>
      </c>
    </row>
    <row r="15" spans="1:5" ht="18.75" customHeight="1">
      <c r="A15" s="41" t="s">
        <v>171</v>
      </c>
      <c r="B15" s="235">
        <f>SUM(B16:B17)</f>
        <v>257000</v>
      </c>
      <c r="C15" s="235">
        <f>SUM(C16:C17)</f>
        <v>32651.66</v>
      </c>
      <c r="D15" s="147">
        <f t="shared" si="0"/>
        <v>12.70492607003891</v>
      </c>
      <c r="E15" s="148">
        <f t="shared" si="1"/>
        <v>-224348.34</v>
      </c>
    </row>
    <row r="16" spans="1:5" ht="18.75" customHeight="1">
      <c r="A16" s="41" t="s">
        <v>172</v>
      </c>
      <c r="B16" s="235">
        <v>40000</v>
      </c>
      <c r="C16" s="277">
        <v>28877.71</v>
      </c>
      <c r="D16" s="147">
        <f t="shared" si="0"/>
        <v>72.19427499999999</v>
      </c>
      <c r="E16" s="148">
        <f t="shared" si="1"/>
        <v>-11122.29</v>
      </c>
    </row>
    <row r="17" spans="1:5" ht="18" customHeight="1">
      <c r="A17" s="41" t="s">
        <v>173</v>
      </c>
      <c r="B17" s="235">
        <v>217000</v>
      </c>
      <c r="C17" s="277">
        <v>3773.95</v>
      </c>
      <c r="D17" s="147">
        <f t="shared" si="0"/>
        <v>1.7391474654377879</v>
      </c>
      <c r="E17" s="148">
        <f t="shared" si="1"/>
        <v>-213226.05</v>
      </c>
    </row>
    <row r="18" spans="1:5" ht="18" customHeight="1">
      <c r="A18" s="41" t="s">
        <v>225</v>
      </c>
      <c r="B18" s="235">
        <v>0</v>
      </c>
      <c r="C18" s="277">
        <v>300</v>
      </c>
      <c r="D18" s="147" t="str">
        <f t="shared" si="0"/>
        <v>   </v>
      </c>
      <c r="E18" s="148">
        <f t="shared" si="1"/>
        <v>300</v>
      </c>
    </row>
    <row r="19" spans="1:5" ht="15" customHeight="1">
      <c r="A19" s="16" t="s">
        <v>88</v>
      </c>
      <c r="B19" s="235">
        <v>0</v>
      </c>
      <c r="C19" s="236">
        <v>0</v>
      </c>
      <c r="D19" s="147" t="str">
        <f t="shared" si="0"/>
        <v>   </v>
      </c>
      <c r="E19" s="148">
        <f t="shared" si="1"/>
        <v>0</v>
      </c>
    </row>
    <row r="20" spans="1:5" ht="26.25" customHeight="1">
      <c r="A20" s="16" t="s">
        <v>28</v>
      </c>
      <c r="B20" s="235">
        <f>B22+B21</f>
        <v>88800</v>
      </c>
      <c r="C20" s="234">
        <f>SUM(C21:C22)</f>
        <v>0</v>
      </c>
      <c r="D20" s="147">
        <f t="shared" si="0"/>
        <v>0</v>
      </c>
      <c r="E20" s="148">
        <f t="shared" si="1"/>
        <v>-88800</v>
      </c>
    </row>
    <row r="21" spans="1:5" ht="15.75" customHeight="1">
      <c r="A21" s="41" t="s">
        <v>161</v>
      </c>
      <c r="B21" s="235">
        <v>88800</v>
      </c>
      <c r="C21" s="236">
        <v>0</v>
      </c>
      <c r="D21" s="147">
        <f t="shared" si="0"/>
        <v>0</v>
      </c>
      <c r="E21" s="148">
        <f t="shared" si="1"/>
        <v>-88800</v>
      </c>
    </row>
    <row r="22" spans="1:5" ht="15" customHeight="1">
      <c r="A22" s="16" t="s">
        <v>30</v>
      </c>
      <c r="B22" s="235">
        <v>0</v>
      </c>
      <c r="C22" s="236">
        <v>0</v>
      </c>
      <c r="D22" s="147" t="str">
        <f t="shared" si="0"/>
        <v>   </v>
      </c>
      <c r="E22" s="148">
        <f t="shared" si="1"/>
        <v>0</v>
      </c>
    </row>
    <row r="23" spans="1:5" ht="18.75" customHeight="1">
      <c r="A23" s="39" t="s">
        <v>92</v>
      </c>
      <c r="B23" s="235">
        <v>0</v>
      </c>
      <c r="C23" s="236">
        <v>0</v>
      </c>
      <c r="D23" s="147" t="str">
        <f t="shared" si="0"/>
        <v>   </v>
      </c>
      <c r="E23" s="148">
        <f t="shared" si="1"/>
        <v>0</v>
      </c>
    </row>
    <row r="24" spans="1:5" ht="18.75" customHeight="1">
      <c r="A24" s="16" t="s">
        <v>76</v>
      </c>
      <c r="B24" s="235">
        <f>SUM(B25)</f>
        <v>0</v>
      </c>
      <c r="C24" s="235">
        <f>SUM(C25)</f>
        <v>0</v>
      </c>
      <c r="D24" s="147" t="str">
        <f t="shared" si="0"/>
        <v>   </v>
      </c>
      <c r="E24" s="148">
        <f t="shared" si="1"/>
        <v>0</v>
      </c>
    </row>
    <row r="25" spans="1:5" ht="24.75" customHeight="1">
      <c r="A25" s="16" t="s">
        <v>77</v>
      </c>
      <c r="B25" s="235">
        <v>0</v>
      </c>
      <c r="C25" s="236">
        <v>0</v>
      </c>
      <c r="D25" s="147" t="str">
        <f t="shared" si="0"/>
        <v>   </v>
      </c>
      <c r="E25" s="148">
        <f t="shared" si="1"/>
        <v>0</v>
      </c>
    </row>
    <row r="26" spans="1:5" ht="17.25" customHeight="1">
      <c r="A26" s="16" t="s">
        <v>32</v>
      </c>
      <c r="B26" s="234">
        <f>B27+B28</f>
        <v>0</v>
      </c>
      <c r="C26" s="234">
        <f>C27+C28</f>
        <v>0</v>
      </c>
      <c r="D26" s="147" t="str">
        <f t="shared" si="0"/>
        <v>   </v>
      </c>
      <c r="E26" s="148">
        <f t="shared" si="1"/>
        <v>0</v>
      </c>
    </row>
    <row r="27" spans="1:5" ht="14.25" customHeight="1">
      <c r="A27" s="16" t="s">
        <v>141</v>
      </c>
      <c r="B27" s="235">
        <v>0</v>
      </c>
      <c r="C27" s="236">
        <v>0</v>
      </c>
      <c r="D27" s="147" t="str">
        <f t="shared" si="0"/>
        <v>   </v>
      </c>
      <c r="E27" s="148">
        <f t="shared" si="1"/>
        <v>0</v>
      </c>
    </row>
    <row r="28" spans="1:5" ht="14.25" customHeight="1">
      <c r="A28" s="16" t="s">
        <v>111</v>
      </c>
      <c r="B28" s="235">
        <v>0</v>
      </c>
      <c r="C28" s="235">
        <v>0</v>
      </c>
      <c r="D28" s="147" t="str">
        <f t="shared" si="0"/>
        <v>   </v>
      </c>
      <c r="E28" s="148">
        <f t="shared" si="1"/>
        <v>0</v>
      </c>
    </row>
    <row r="29" spans="1:5" ht="18" customHeight="1">
      <c r="A29" s="183" t="s">
        <v>10</v>
      </c>
      <c r="B29" s="159">
        <f>SUM(B7,B9,B11,B13,B19,B20,B23,B24,B27,B28,B18)</f>
        <v>958300</v>
      </c>
      <c r="C29" s="159">
        <f>SUM(C7,C9,C11,C13,C19,C20,C23,C24,C27,C28,C18)</f>
        <v>376110.29</v>
      </c>
      <c r="D29" s="163">
        <f t="shared" si="0"/>
        <v>39.247656266304915</v>
      </c>
      <c r="E29" s="164">
        <f t="shared" si="1"/>
        <v>-582189.71</v>
      </c>
    </row>
    <row r="30" spans="1:5" ht="18" customHeight="1">
      <c r="A30" s="156" t="s">
        <v>145</v>
      </c>
      <c r="B30" s="201">
        <f>SUM(B31:B34,B37,B38,B41+B43)</f>
        <v>2862850</v>
      </c>
      <c r="C30" s="201">
        <f>SUM(C31:C34,C37,C38,C41+C43)</f>
        <v>1372892</v>
      </c>
      <c r="D30" s="149">
        <f t="shared" si="0"/>
        <v>47.95542903051155</v>
      </c>
      <c r="E30" s="150">
        <f t="shared" si="1"/>
        <v>-1489958</v>
      </c>
    </row>
    <row r="31" spans="1:5" ht="16.5" customHeight="1">
      <c r="A31" s="71" t="s">
        <v>34</v>
      </c>
      <c r="B31" s="169">
        <v>813800</v>
      </c>
      <c r="C31" s="277">
        <v>407100</v>
      </c>
      <c r="D31" s="163">
        <f t="shared" si="0"/>
        <v>50.02457606291472</v>
      </c>
      <c r="E31" s="164">
        <f t="shared" si="1"/>
        <v>-406700</v>
      </c>
    </row>
    <row r="32" spans="1:5" ht="16.5" customHeight="1">
      <c r="A32" s="17" t="s">
        <v>270</v>
      </c>
      <c r="B32" s="169">
        <v>112900</v>
      </c>
      <c r="C32" s="277">
        <v>112900</v>
      </c>
      <c r="D32" s="163">
        <f>IF(B32=0,"   ",C32/B32*100)</f>
        <v>100</v>
      </c>
      <c r="E32" s="164">
        <f>C32-B32</f>
        <v>0</v>
      </c>
    </row>
    <row r="33" spans="1:5" ht="24.75" customHeight="1">
      <c r="A33" s="41" t="s">
        <v>51</v>
      </c>
      <c r="B33" s="235">
        <v>89900</v>
      </c>
      <c r="C33" s="277">
        <v>47144</v>
      </c>
      <c r="D33" s="163">
        <f t="shared" si="0"/>
        <v>52.44048943270301</v>
      </c>
      <c r="E33" s="164">
        <f t="shared" si="1"/>
        <v>-42756</v>
      </c>
    </row>
    <row r="34" spans="1:5" ht="24.75" customHeight="1">
      <c r="A34" s="41" t="s">
        <v>155</v>
      </c>
      <c r="B34" s="235">
        <f>SUM(B35:B36)</f>
        <v>100</v>
      </c>
      <c r="C34" s="235">
        <f>SUM(C35:C36)</f>
        <v>100</v>
      </c>
      <c r="D34" s="163">
        <f t="shared" si="0"/>
        <v>100</v>
      </c>
      <c r="E34" s="164">
        <f t="shared" si="1"/>
        <v>0</v>
      </c>
    </row>
    <row r="35" spans="1:5" ht="16.5" customHeight="1">
      <c r="A35" s="117" t="s">
        <v>174</v>
      </c>
      <c r="B35" s="235">
        <v>100</v>
      </c>
      <c r="C35" s="236">
        <v>100</v>
      </c>
      <c r="D35" s="163">
        <f>IF(B35=0,"   ",C35/B35*100)</f>
        <v>100</v>
      </c>
      <c r="E35" s="164">
        <f>C35-B35</f>
        <v>0</v>
      </c>
    </row>
    <row r="36" spans="1:5" ht="26.25" customHeight="1">
      <c r="A36" s="117" t="s">
        <v>175</v>
      </c>
      <c r="B36" s="235">
        <v>0</v>
      </c>
      <c r="C36" s="236">
        <v>0</v>
      </c>
      <c r="D36" s="163" t="str">
        <f>IF(B36=0,"   ",C36/B36*100)</f>
        <v>   </v>
      </c>
      <c r="E36" s="164">
        <f>C36-B36</f>
        <v>0</v>
      </c>
    </row>
    <row r="37" spans="1:5" ht="50.25" customHeight="1">
      <c r="A37" s="16" t="s">
        <v>291</v>
      </c>
      <c r="B37" s="235">
        <v>1098000</v>
      </c>
      <c r="C37" s="236">
        <v>158388</v>
      </c>
      <c r="D37" s="163">
        <f>IF(B37=0,"   ",C37/B37*100)</f>
        <v>14.425136612021857</v>
      </c>
      <c r="E37" s="164">
        <f>C37-B37</f>
        <v>-939612</v>
      </c>
    </row>
    <row r="38" spans="1:5" ht="14.25" customHeight="1">
      <c r="A38" s="41" t="s">
        <v>80</v>
      </c>
      <c r="B38" s="235">
        <f>B39+B40</f>
        <v>561100</v>
      </c>
      <c r="C38" s="235">
        <f>C39+C40</f>
        <v>485432.5</v>
      </c>
      <c r="D38" s="163">
        <f t="shared" si="0"/>
        <v>86.51443592942435</v>
      </c>
      <c r="E38" s="164">
        <f t="shared" si="1"/>
        <v>-75667.5</v>
      </c>
    </row>
    <row r="39" spans="1:5" ht="16.5" customHeight="1">
      <c r="A39" s="41" t="s">
        <v>110</v>
      </c>
      <c r="B39" s="235">
        <v>0</v>
      </c>
      <c r="C39" s="236">
        <v>0</v>
      </c>
      <c r="D39" s="163" t="str">
        <f t="shared" si="0"/>
        <v>   </v>
      </c>
      <c r="E39" s="164">
        <f t="shared" si="1"/>
        <v>0</v>
      </c>
    </row>
    <row r="40" spans="1:5" ht="16.5" customHeight="1">
      <c r="A40" s="53" t="s">
        <v>212</v>
      </c>
      <c r="B40" s="235">
        <v>561100</v>
      </c>
      <c r="C40" s="236">
        <v>485432.5</v>
      </c>
      <c r="D40" s="163">
        <f t="shared" si="0"/>
        <v>86.51443592942435</v>
      </c>
      <c r="E40" s="164">
        <f t="shared" si="1"/>
        <v>-75667.5</v>
      </c>
    </row>
    <row r="41" spans="1:5" ht="16.5" customHeight="1">
      <c r="A41" s="41" t="s">
        <v>182</v>
      </c>
      <c r="B41" s="235">
        <v>0</v>
      </c>
      <c r="C41" s="236">
        <v>0</v>
      </c>
      <c r="D41" s="163" t="str">
        <f t="shared" si="0"/>
        <v>   </v>
      </c>
      <c r="E41" s="164">
        <f t="shared" si="1"/>
        <v>0</v>
      </c>
    </row>
    <row r="42" spans="1:5" ht="37.5" customHeight="1">
      <c r="A42" s="41" t="s">
        <v>104</v>
      </c>
      <c r="B42" s="235">
        <v>0</v>
      </c>
      <c r="C42" s="235">
        <v>0</v>
      </c>
      <c r="D42" s="163" t="str">
        <f t="shared" si="0"/>
        <v>   </v>
      </c>
      <c r="E42" s="164">
        <f t="shared" si="1"/>
        <v>0</v>
      </c>
    </row>
    <row r="43" spans="1:5" ht="15" customHeight="1">
      <c r="A43" s="16" t="s">
        <v>228</v>
      </c>
      <c r="B43" s="235">
        <v>187050</v>
      </c>
      <c r="C43" s="277">
        <v>161827.5</v>
      </c>
      <c r="D43" s="163">
        <f t="shared" si="0"/>
        <v>86.51563753007217</v>
      </c>
      <c r="E43" s="164">
        <f t="shared" si="1"/>
        <v>-25222.5</v>
      </c>
    </row>
    <row r="44" spans="1:5" ht="21" customHeight="1">
      <c r="A44" s="183" t="s">
        <v>11</v>
      </c>
      <c r="B44" s="159">
        <f>SUM(B29,B30,)</f>
        <v>3821150</v>
      </c>
      <c r="C44" s="159">
        <f>SUM(C29,C30,)</f>
        <v>1749002.29</v>
      </c>
      <c r="D44" s="149">
        <f t="shared" si="0"/>
        <v>45.771620847127174</v>
      </c>
      <c r="E44" s="150">
        <f t="shared" si="1"/>
        <v>-2072147.71</v>
      </c>
    </row>
    <row r="45" spans="1:5" ht="21.75" customHeight="1">
      <c r="A45" s="184" t="s">
        <v>12</v>
      </c>
      <c r="B45" s="159"/>
      <c r="C45" s="171"/>
      <c r="D45" s="163" t="str">
        <f t="shared" si="0"/>
        <v>   </v>
      </c>
      <c r="E45" s="164">
        <f t="shared" si="1"/>
        <v>0</v>
      </c>
    </row>
    <row r="46" spans="1:5" ht="16.5" customHeight="1">
      <c r="A46" s="41" t="s">
        <v>35</v>
      </c>
      <c r="B46" s="161">
        <f>SUM(B47,B49:B50)</f>
        <v>1090600</v>
      </c>
      <c r="C46" s="161">
        <f>SUM(C47,C49:C50)</f>
        <v>351582.57</v>
      </c>
      <c r="D46" s="163">
        <f t="shared" si="0"/>
        <v>32.23753621859527</v>
      </c>
      <c r="E46" s="164">
        <f t="shared" si="1"/>
        <v>-739017.4299999999</v>
      </c>
    </row>
    <row r="47" spans="1:5" ht="13.5" customHeight="1">
      <c r="A47" s="41" t="s">
        <v>36</v>
      </c>
      <c r="B47" s="161">
        <v>1090100</v>
      </c>
      <c r="C47" s="161">
        <v>351582.57</v>
      </c>
      <c r="D47" s="163">
        <f t="shared" si="0"/>
        <v>32.252322722685996</v>
      </c>
      <c r="E47" s="164">
        <f t="shared" si="1"/>
        <v>-738517.4299999999</v>
      </c>
    </row>
    <row r="48" spans="1:5" ht="12.75">
      <c r="A48" s="41" t="s">
        <v>123</v>
      </c>
      <c r="B48" s="161">
        <v>725115</v>
      </c>
      <c r="C48" s="171">
        <v>247433.75</v>
      </c>
      <c r="D48" s="163">
        <f t="shared" si="0"/>
        <v>34.12338042931121</v>
      </c>
      <c r="E48" s="164">
        <f t="shared" si="1"/>
        <v>-477681.25</v>
      </c>
    </row>
    <row r="49" spans="1:5" ht="12.75">
      <c r="A49" s="41" t="s">
        <v>96</v>
      </c>
      <c r="B49" s="161">
        <v>500</v>
      </c>
      <c r="C49" s="162">
        <v>0</v>
      </c>
      <c r="D49" s="163">
        <f t="shared" si="0"/>
        <v>0</v>
      </c>
      <c r="E49" s="164">
        <f t="shared" si="1"/>
        <v>-500</v>
      </c>
    </row>
    <row r="50" spans="1:5" ht="12.75">
      <c r="A50" s="41" t="s">
        <v>52</v>
      </c>
      <c r="B50" s="162">
        <f>SUM(B51)</f>
        <v>0</v>
      </c>
      <c r="C50" s="162">
        <f>SUM(C51)</f>
        <v>0</v>
      </c>
      <c r="D50" s="163" t="str">
        <f t="shared" si="0"/>
        <v>   </v>
      </c>
      <c r="E50" s="164">
        <f t="shared" si="1"/>
        <v>0</v>
      </c>
    </row>
    <row r="51" spans="1:5" ht="25.5">
      <c r="A51" s="113" t="s">
        <v>164</v>
      </c>
      <c r="B51" s="161">
        <v>0</v>
      </c>
      <c r="C51" s="162">
        <v>0</v>
      </c>
      <c r="D51" s="163" t="str">
        <f t="shared" si="0"/>
        <v>   </v>
      </c>
      <c r="E51" s="164">
        <f t="shared" si="1"/>
        <v>0</v>
      </c>
    </row>
    <row r="52" spans="1:5" ht="16.5" customHeight="1">
      <c r="A52" s="41" t="s">
        <v>49</v>
      </c>
      <c r="B52" s="162">
        <f>SUM(B53)</f>
        <v>89900</v>
      </c>
      <c r="C52" s="162">
        <f>SUM(C53)</f>
        <v>38121.43</v>
      </c>
      <c r="D52" s="163">
        <f t="shared" si="0"/>
        <v>42.404260289210235</v>
      </c>
      <c r="E52" s="164">
        <f t="shared" si="1"/>
        <v>-51778.57</v>
      </c>
    </row>
    <row r="53" spans="1:5" ht="17.25" customHeight="1">
      <c r="A53" s="39" t="s">
        <v>108</v>
      </c>
      <c r="B53" s="161">
        <v>89900</v>
      </c>
      <c r="C53" s="162">
        <v>38121.43</v>
      </c>
      <c r="D53" s="163">
        <f t="shared" si="0"/>
        <v>42.404260289210235</v>
      </c>
      <c r="E53" s="164">
        <f t="shared" si="1"/>
        <v>-51778.57</v>
      </c>
    </row>
    <row r="54" spans="1:5" ht="22.5" customHeight="1">
      <c r="A54" s="41" t="s">
        <v>37</v>
      </c>
      <c r="B54" s="161">
        <f>SUM(B55)</f>
        <v>1000</v>
      </c>
      <c r="C54" s="162">
        <f>SUM(C55)</f>
        <v>1000</v>
      </c>
      <c r="D54" s="163">
        <f t="shared" si="0"/>
        <v>100</v>
      </c>
      <c r="E54" s="164">
        <f t="shared" si="1"/>
        <v>0</v>
      </c>
    </row>
    <row r="55" spans="1:5" ht="17.25" customHeight="1">
      <c r="A55" s="83" t="s">
        <v>130</v>
      </c>
      <c r="B55" s="161">
        <v>1000</v>
      </c>
      <c r="C55" s="162">
        <v>1000</v>
      </c>
      <c r="D55" s="163">
        <f t="shared" si="0"/>
        <v>100</v>
      </c>
      <c r="E55" s="164">
        <f t="shared" si="1"/>
        <v>0</v>
      </c>
    </row>
    <row r="56" spans="1:5" ht="18.75" customHeight="1">
      <c r="A56" s="41" t="s">
        <v>38</v>
      </c>
      <c r="B56" s="161">
        <f>B60+B57+B65</f>
        <v>1590000</v>
      </c>
      <c r="C56" s="161">
        <f>C60+C57+C65</f>
        <v>241000</v>
      </c>
      <c r="D56" s="163">
        <f t="shared" si="0"/>
        <v>15.157232704402515</v>
      </c>
      <c r="E56" s="164">
        <f t="shared" si="1"/>
        <v>-1349000</v>
      </c>
    </row>
    <row r="57" spans="1:5" ht="18.75" customHeight="1">
      <c r="A57" s="83" t="s">
        <v>176</v>
      </c>
      <c r="B57" s="25">
        <f>SUM(B58,B59)</f>
        <v>0</v>
      </c>
      <c r="C57" s="161">
        <f>SUM(C58,C59)</f>
        <v>0</v>
      </c>
      <c r="D57" s="163" t="str">
        <f>IF(B57=0,"   ",C57/B57*100)</f>
        <v>   </v>
      </c>
      <c r="E57" s="164">
        <f>C57-B57</f>
        <v>0</v>
      </c>
    </row>
    <row r="58" spans="1:5" ht="18.75" customHeight="1">
      <c r="A58" s="83" t="s">
        <v>177</v>
      </c>
      <c r="B58" s="25">
        <v>0</v>
      </c>
      <c r="C58" s="161">
        <v>0</v>
      </c>
      <c r="D58" s="163" t="str">
        <f>IF(B58=0,"   ",C58/B58*100)</f>
        <v>   </v>
      </c>
      <c r="E58" s="164">
        <f>C58-B58</f>
        <v>0</v>
      </c>
    </row>
    <row r="59" spans="1:5" ht="18.75" customHeight="1">
      <c r="A59" s="83" t="s">
        <v>213</v>
      </c>
      <c r="B59" s="25">
        <v>0</v>
      </c>
      <c r="C59" s="161">
        <v>0</v>
      </c>
      <c r="D59" s="163"/>
      <c r="E59" s="164"/>
    </row>
    <row r="60" spans="1:5" ht="12.75">
      <c r="A60" s="104" t="s">
        <v>134</v>
      </c>
      <c r="B60" s="161">
        <f>B61+B63+B64+B62</f>
        <v>1543000</v>
      </c>
      <c r="C60" s="161">
        <f>C61+C63+C64+C62</f>
        <v>227500</v>
      </c>
      <c r="D60" s="163">
        <f t="shared" si="0"/>
        <v>14.74400518470512</v>
      </c>
      <c r="E60" s="164">
        <f t="shared" si="1"/>
        <v>-1315500</v>
      </c>
    </row>
    <row r="61" spans="1:5" ht="16.5" customHeight="1">
      <c r="A61" s="83" t="s">
        <v>146</v>
      </c>
      <c r="B61" s="161">
        <v>0</v>
      </c>
      <c r="C61" s="161">
        <v>0</v>
      </c>
      <c r="D61" s="163" t="str">
        <f t="shared" si="0"/>
        <v>   </v>
      </c>
      <c r="E61" s="164">
        <f t="shared" si="1"/>
        <v>0</v>
      </c>
    </row>
    <row r="62" spans="1:5" ht="13.5" customHeight="1">
      <c r="A62" s="83" t="s">
        <v>156</v>
      </c>
      <c r="B62" s="161">
        <v>0</v>
      </c>
      <c r="C62" s="161">
        <v>0</v>
      </c>
      <c r="D62" s="163" t="str">
        <f>IF(B62=0,"   ",C62/B62*100)</f>
        <v>   </v>
      </c>
      <c r="E62" s="164">
        <f>C62-B62</f>
        <v>0</v>
      </c>
    </row>
    <row r="63" spans="1:5" ht="25.5">
      <c r="A63" s="78" t="s">
        <v>135</v>
      </c>
      <c r="B63" s="161">
        <v>1098000</v>
      </c>
      <c r="C63" s="161">
        <v>158388</v>
      </c>
      <c r="D63" s="163">
        <f t="shared" si="0"/>
        <v>14.425136612021857</v>
      </c>
      <c r="E63" s="164">
        <f t="shared" si="1"/>
        <v>-939612</v>
      </c>
    </row>
    <row r="64" spans="1:5" ht="26.25" thickBot="1">
      <c r="A64" s="78" t="s">
        <v>136</v>
      </c>
      <c r="B64" s="161">
        <v>445000</v>
      </c>
      <c r="C64" s="161">
        <v>69112</v>
      </c>
      <c r="D64" s="163">
        <f t="shared" si="0"/>
        <v>15.530786516853933</v>
      </c>
      <c r="E64" s="164">
        <f t="shared" si="1"/>
        <v>-375888</v>
      </c>
    </row>
    <row r="65" spans="1:5" ht="13.5" thickBot="1">
      <c r="A65" s="104" t="s">
        <v>199</v>
      </c>
      <c r="B65" s="107">
        <f>SUM(B66)</f>
        <v>47000</v>
      </c>
      <c r="C65" s="107">
        <f>SUM(C66)</f>
        <v>13500</v>
      </c>
      <c r="D65" s="163"/>
      <c r="E65" s="164"/>
    </row>
    <row r="66" spans="1:5" ht="25.5">
      <c r="A66" s="83" t="s">
        <v>200</v>
      </c>
      <c r="B66" s="161">
        <v>47000</v>
      </c>
      <c r="C66" s="161">
        <v>13500</v>
      </c>
      <c r="D66" s="163"/>
      <c r="E66" s="164"/>
    </row>
    <row r="67" spans="1:5" ht="21.75" customHeight="1">
      <c r="A67" s="41" t="s">
        <v>13</v>
      </c>
      <c r="B67" s="161">
        <f>B73+B68</f>
        <v>1000250</v>
      </c>
      <c r="C67" s="161">
        <f>C73+C68</f>
        <v>826628.88</v>
      </c>
      <c r="D67" s="163">
        <f t="shared" si="0"/>
        <v>82.64222744313922</v>
      </c>
      <c r="E67" s="164">
        <f t="shared" si="1"/>
        <v>-173621.12</v>
      </c>
    </row>
    <row r="68" spans="1:5" ht="17.25" customHeight="1">
      <c r="A68" s="41" t="s">
        <v>157</v>
      </c>
      <c r="B68" s="161">
        <f>B69</f>
        <v>560550</v>
      </c>
      <c r="C68" s="161">
        <f>C69</f>
        <v>434426.25</v>
      </c>
      <c r="D68" s="163">
        <f>IF(B68=0,"   ",C68/B68*100)</f>
        <v>77.5</v>
      </c>
      <c r="E68" s="164">
        <f>C68-B68</f>
        <v>-126123.75</v>
      </c>
    </row>
    <row r="69" spans="1:5" ht="17.25" customHeight="1">
      <c r="A69" s="113" t="s">
        <v>237</v>
      </c>
      <c r="B69" s="161">
        <f>SUM(B70:B72)</f>
        <v>560550</v>
      </c>
      <c r="C69" s="161">
        <f>SUM(C70:C72)</f>
        <v>434426.25</v>
      </c>
      <c r="D69" s="163">
        <f>IF(B69=0,"   ",C69/B69*100)</f>
        <v>77.5</v>
      </c>
      <c r="E69" s="164">
        <f>C69-B69</f>
        <v>-126123.75</v>
      </c>
    </row>
    <row r="70" spans="1:5" ht="27.75" customHeight="1">
      <c r="A70" s="113" t="s">
        <v>211</v>
      </c>
      <c r="B70" s="162">
        <v>336300</v>
      </c>
      <c r="C70" s="162">
        <v>260632.5</v>
      </c>
      <c r="D70" s="163">
        <f>IF(B70=0,"   ",C70/B70*100)</f>
        <v>77.5</v>
      </c>
      <c r="E70" s="164">
        <f>C70-B70</f>
        <v>-75667.5</v>
      </c>
    </row>
    <row r="71" spans="1:5" ht="27.75" customHeight="1">
      <c r="A71" s="113" t="s">
        <v>229</v>
      </c>
      <c r="B71" s="162">
        <v>112150</v>
      </c>
      <c r="C71" s="162">
        <v>86916.25</v>
      </c>
      <c r="D71" s="163">
        <f>IF(B71=0,"   ",C71/B71*100)</f>
        <v>77.5</v>
      </c>
      <c r="E71" s="164">
        <f>C71-B71</f>
        <v>-25233.75</v>
      </c>
    </row>
    <row r="72" spans="1:5" ht="22.5" customHeight="1">
      <c r="A72" s="113" t="s">
        <v>243</v>
      </c>
      <c r="B72" s="162">
        <v>112100</v>
      </c>
      <c r="C72" s="162">
        <v>86877.5</v>
      </c>
      <c r="D72" s="163">
        <f>IF(B72=0,"   ",C72/B72*100)</f>
        <v>77.5</v>
      </c>
      <c r="E72" s="164">
        <f>C72-B72</f>
        <v>-25222.5</v>
      </c>
    </row>
    <row r="73" spans="1:5" ht="12.75">
      <c r="A73" s="41" t="s">
        <v>63</v>
      </c>
      <c r="B73" s="161">
        <f>B74+B75+B80+B76</f>
        <v>439700</v>
      </c>
      <c r="C73" s="161">
        <f>C74+C75+C80+C76</f>
        <v>392202.63</v>
      </c>
      <c r="D73" s="163">
        <f t="shared" si="0"/>
        <v>89.19777803047533</v>
      </c>
      <c r="E73" s="164">
        <f t="shared" si="1"/>
        <v>-47497.369999999995</v>
      </c>
    </row>
    <row r="74" spans="1:5" ht="12.75">
      <c r="A74" s="41" t="s">
        <v>62</v>
      </c>
      <c r="B74" s="161">
        <v>45000</v>
      </c>
      <c r="C74" s="162">
        <v>17502.63</v>
      </c>
      <c r="D74" s="163">
        <f t="shared" si="0"/>
        <v>38.894733333333335</v>
      </c>
      <c r="E74" s="164">
        <f t="shared" si="1"/>
        <v>-27497.37</v>
      </c>
    </row>
    <row r="75" spans="1:5" ht="12.75">
      <c r="A75" s="41" t="s">
        <v>133</v>
      </c>
      <c r="B75" s="161">
        <v>20000</v>
      </c>
      <c r="C75" s="161">
        <v>0</v>
      </c>
      <c r="D75" s="163">
        <f t="shared" si="0"/>
        <v>0</v>
      </c>
      <c r="E75" s="164">
        <f t="shared" si="1"/>
        <v>-20000</v>
      </c>
    </row>
    <row r="76" spans="1:5" ht="12.75">
      <c r="A76" s="113" t="s">
        <v>237</v>
      </c>
      <c r="B76" s="161">
        <f>SUM(B77:B79)</f>
        <v>374700</v>
      </c>
      <c r="C76" s="161">
        <f>SUM(C77:C79)</f>
        <v>374700</v>
      </c>
      <c r="D76" s="163">
        <f t="shared" si="0"/>
        <v>100</v>
      </c>
      <c r="E76" s="164">
        <f t="shared" si="1"/>
        <v>0</v>
      </c>
    </row>
    <row r="77" spans="1:5" ht="25.5">
      <c r="A77" s="113" t="s">
        <v>211</v>
      </c>
      <c r="B77" s="161">
        <v>224800</v>
      </c>
      <c r="C77" s="161">
        <v>224800</v>
      </c>
      <c r="D77" s="163">
        <f t="shared" si="0"/>
        <v>100</v>
      </c>
      <c r="E77" s="164">
        <f t="shared" si="1"/>
        <v>0</v>
      </c>
    </row>
    <row r="78" spans="1:5" ht="25.5">
      <c r="A78" s="113" t="s">
        <v>229</v>
      </c>
      <c r="B78" s="161">
        <v>74950</v>
      </c>
      <c r="C78" s="161">
        <v>74950</v>
      </c>
      <c r="D78" s="163">
        <f>IF(B78=0,"   ",C78/B78*100)</f>
        <v>100</v>
      </c>
      <c r="E78" s="164">
        <f>C78-B78</f>
        <v>0</v>
      </c>
    </row>
    <row r="79" spans="1:5" ht="25.5">
      <c r="A79" s="113" t="s">
        <v>243</v>
      </c>
      <c r="B79" s="161">
        <v>74950</v>
      </c>
      <c r="C79" s="161">
        <v>74950</v>
      </c>
      <c r="D79" s="163">
        <f>IF(B79=0,"   ",C79/B79*100)</f>
        <v>100</v>
      </c>
      <c r="E79" s="164">
        <f>C79-B79</f>
        <v>0</v>
      </c>
    </row>
    <row r="80" spans="1:5" ht="25.5">
      <c r="A80" s="113" t="s">
        <v>178</v>
      </c>
      <c r="B80" s="161">
        <v>0</v>
      </c>
      <c r="C80" s="162">
        <v>0</v>
      </c>
      <c r="D80" s="163" t="str">
        <f>IF(B80=0,"   ",C80/B80*100)</f>
        <v>   </v>
      </c>
      <c r="E80" s="164">
        <f>C80-B80</f>
        <v>0</v>
      </c>
    </row>
    <row r="81" spans="1:5" ht="21.75" customHeight="1">
      <c r="A81" s="18" t="s">
        <v>17</v>
      </c>
      <c r="B81" s="161">
        <v>8000</v>
      </c>
      <c r="C81" s="161">
        <v>8000</v>
      </c>
      <c r="D81" s="163">
        <f t="shared" si="0"/>
        <v>100</v>
      </c>
      <c r="E81" s="164">
        <f t="shared" si="1"/>
        <v>0</v>
      </c>
    </row>
    <row r="82" spans="1:5" ht="22.5" customHeight="1">
      <c r="A82" s="41" t="s">
        <v>41</v>
      </c>
      <c r="B82" s="169">
        <f>B83</f>
        <v>111600</v>
      </c>
      <c r="C82" s="169">
        <f>C83</f>
        <v>111600</v>
      </c>
      <c r="D82" s="163">
        <f t="shared" si="0"/>
        <v>100</v>
      </c>
      <c r="E82" s="164">
        <f t="shared" si="1"/>
        <v>0</v>
      </c>
    </row>
    <row r="83" spans="1:5" ht="12.75">
      <c r="A83" s="41" t="s">
        <v>42</v>
      </c>
      <c r="B83" s="161">
        <v>111600</v>
      </c>
      <c r="C83" s="162">
        <v>111600</v>
      </c>
      <c r="D83" s="163">
        <f t="shared" si="0"/>
        <v>100</v>
      </c>
      <c r="E83" s="164">
        <f t="shared" si="1"/>
        <v>0</v>
      </c>
    </row>
    <row r="84" spans="1:5" ht="16.5" customHeight="1">
      <c r="A84" s="41" t="s">
        <v>125</v>
      </c>
      <c r="B84" s="161">
        <f>SUM(B85,)</f>
        <v>4000</v>
      </c>
      <c r="C84" s="161">
        <f>SUM(C85,)</f>
        <v>0</v>
      </c>
      <c r="D84" s="163">
        <f t="shared" si="0"/>
        <v>0</v>
      </c>
      <c r="E84" s="164">
        <f t="shared" si="1"/>
        <v>-4000</v>
      </c>
    </row>
    <row r="85" spans="1:5" ht="12.75">
      <c r="A85" s="41" t="s">
        <v>43</v>
      </c>
      <c r="B85" s="161">
        <v>4000</v>
      </c>
      <c r="C85" s="171">
        <v>0</v>
      </c>
      <c r="D85" s="163">
        <f t="shared" si="0"/>
        <v>0</v>
      </c>
      <c r="E85" s="164">
        <f t="shared" si="1"/>
        <v>-4000</v>
      </c>
    </row>
    <row r="86" spans="1:5" ht="28.5" customHeight="1">
      <c r="A86" s="183" t="s">
        <v>15</v>
      </c>
      <c r="B86" s="159">
        <f>SUM(B46,B52,B54,B56,B67,B81,B82,B84,)</f>
        <v>3895350</v>
      </c>
      <c r="C86" s="159">
        <f>SUM(C46,C52,C54,C56,C67,C81,C82,C84,)</f>
        <v>1577932.88</v>
      </c>
      <c r="D86" s="149">
        <f>IF(B86=0,"   ",C86/B86*100)</f>
        <v>40.50811557369684</v>
      </c>
      <c r="E86" s="150">
        <f t="shared" si="1"/>
        <v>-2317417.12</v>
      </c>
    </row>
    <row r="87" spans="1:5" s="66" customFormat="1" ht="23.25" customHeight="1">
      <c r="A87" s="88" t="s">
        <v>262</v>
      </c>
      <c r="B87" s="88"/>
      <c r="C87" s="287"/>
      <c r="D87" s="287"/>
      <c r="E87" s="287"/>
    </row>
    <row r="88" spans="1:5" s="66" customFormat="1" ht="12" customHeight="1">
      <c r="A88" s="88" t="s">
        <v>163</v>
      </c>
      <c r="B88" s="88"/>
      <c r="C88" s="89" t="s">
        <v>268</v>
      </c>
      <c r="D88" s="90"/>
      <c r="E88" s="91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</sheetData>
  <sheetProtection/>
  <mergeCells count="2">
    <mergeCell ref="A1:E1"/>
    <mergeCell ref="C87:E87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zoomScalePageLayoutView="0" workbookViewId="0" topLeftCell="A47">
      <selection activeCell="B69" sqref="B69"/>
    </sheetView>
  </sheetViews>
  <sheetFormatPr defaultColWidth="9.00390625" defaultRowHeight="12.75"/>
  <cols>
    <col min="1" max="1" width="105.625" style="0" customWidth="1"/>
    <col min="2" max="2" width="16.00390625" style="0" customWidth="1"/>
    <col min="3" max="3" width="18.125" style="0" customWidth="1"/>
    <col min="4" max="4" width="20.125" style="0" customWidth="1"/>
    <col min="5" max="5" width="16.25390625" style="0" customWidth="1"/>
  </cols>
  <sheetData>
    <row r="1" spans="1:5" ht="18">
      <c r="A1" s="289" t="s">
        <v>304</v>
      </c>
      <c r="B1" s="289"/>
      <c r="C1" s="289"/>
      <c r="D1" s="289"/>
      <c r="E1" s="28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279</v>
      </c>
      <c r="C4" s="32" t="s">
        <v>305</v>
      </c>
      <c r="D4" s="19" t="s">
        <v>283</v>
      </c>
      <c r="E4" s="36" t="s">
        <v>281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60" t="s">
        <v>45</v>
      </c>
      <c r="B7" s="157">
        <f>SUM(B8)</f>
        <v>9916500</v>
      </c>
      <c r="C7" s="157">
        <f>SUM(C8)</f>
        <v>4172013.95</v>
      </c>
      <c r="D7" s="147">
        <f aca="true" t="shared" si="0" ref="D7:D102">IF(B7=0,"   ",C7/B7*100)</f>
        <v>42.07143599052085</v>
      </c>
      <c r="E7" s="148">
        <f aca="true" t="shared" si="1" ref="E7:E124">C7-B7</f>
        <v>-5744486.05</v>
      </c>
    </row>
    <row r="8" spans="1:5" ht="12.75">
      <c r="A8" s="93" t="s">
        <v>44</v>
      </c>
      <c r="B8" s="92">
        <v>9916500</v>
      </c>
      <c r="C8" s="278">
        <v>4172013.95</v>
      </c>
      <c r="D8" s="147">
        <f t="shared" si="0"/>
        <v>42.07143599052085</v>
      </c>
      <c r="E8" s="148">
        <f t="shared" si="1"/>
        <v>-5744486.05</v>
      </c>
    </row>
    <row r="9" spans="1:5" ht="18.75" customHeight="1">
      <c r="A9" s="160" t="s">
        <v>142</v>
      </c>
      <c r="B9" s="266">
        <f>SUM(B10)</f>
        <v>1054700</v>
      </c>
      <c r="C9" s="266">
        <f>SUM(C10)</f>
        <v>585944.62</v>
      </c>
      <c r="D9" s="147">
        <f t="shared" si="0"/>
        <v>55.55557220062577</v>
      </c>
      <c r="E9" s="148">
        <f t="shared" si="1"/>
        <v>-468755.38</v>
      </c>
    </row>
    <row r="10" spans="1:5" ht="12.75">
      <c r="A10" s="93" t="s">
        <v>143</v>
      </c>
      <c r="B10" s="267">
        <v>1054700</v>
      </c>
      <c r="C10" s="278">
        <v>585944.62</v>
      </c>
      <c r="D10" s="147">
        <f t="shared" si="0"/>
        <v>55.55557220062577</v>
      </c>
      <c r="E10" s="148">
        <f t="shared" si="1"/>
        <v>-468755.38</v>
      </c>
    </row>
    <row r="11" spans="1:5" ht="17.25" customHeight="1">
      <c r="A11" s="93" t="s">
        <v>7</v>
      </c>
      <c r="B11" s="267">
        <f>SUM(B12:B12)</f>
        <v>4200</v>
      </c>
      <c r="C11" s="266">
        <f>SUM(C12)</f>
        <v>879.72</v>
      </c>
      <c r="D11" s="147">
        <f t="shared" si="0"/>
        <v>20.94571428571429</v>
      </c>
      <c r="E11" s="148">
        <f t="shared" si="1"/>
        <v>-3320.2799999999997</v>
      </c>
    </row>
    <row r="12" spans="1:5" ht="12.75">
      <c r="A12" s="93" t="s">
        <v>26</v>
      </c>
      <c r="B12" s="267">
        <v>4200</v>
      </c>
      <c r="C12" s="278">
        <v>879.72</v>
      </c>
      <c r="D12" s="147">
        <f t="shared" si="0"/>
        <v>20.94571428571429</v>
      </c>
      <c r="E12" s="148">
        <f t="shared" si="1"/>
        <v>-3320.2799999999997</v>
      </c>
    </row>
    <row r="13" spans="1:5" ht="16.5" customHeight="1">
      <c r="A13" s="93" t="s">
        <v>9</v>
      </c>
      <c r="B13" s="267">
        <f>SUM(B14:B15)</f>
        <v>5579000</v>
      </c>
      <c r="C13" s="267">
        <f>SUM(C14:C15)</f>
        <v>955794.64</v>
      </c>
      <c r="D13" s="147">
        <f t="shared" si="0"/>
        <v>17.132006452769314</v>
      </c>
      <c r="E13" s="148">
        <f t="shared" si="1"/>
        <v>-4623205.36</v>
      </c>
    </row>
    <row r="14" spans="1:5" ht="12.75">
      <c r="A14" s="93" t="s">
        <v>27</v>
      </c>
      <c r="B14" s="267">
        <v>3158000</v>
      </c>
      <c r="C14" s="278">
        <v>243675.75</v>
      </c>
      <c r="D14" s="147">
        <f t="shared" si="0"/>
        <v>7.716141545281824</v>
      </c>
      <c r="E14" s="148">
        <f t="shared" si="1"/>
        <v>-2914324.25</v>
      </c>
    </row>
    <row r="15" spans="1:5" ht="12.75">
      <c r="A15" s="41" t="s">
        <v>171</v>
      </c>
      <c r="B15" s="31">
        <f>SUM(B16:B17)</f>
        <v>2421000</v>
      </c>
      <c r="C15" s="31">
        <f>SUM(C16:C17)</f>
        <v>712118.89</v>
      </c>
      <c r="D15" s="147">
        <f t="shared" si="0"/>
        <v>29.41424576621231</v>
      </c>
      <c r="E15" s="148">
        <f t="shared" si="1"/>
        <v>-1708881.1099999999</v>
      </c>
    </row>
    <row r="16" spans="1:5" ht="12.75">
      <c r="A16" s="41" t="s">
        <v>172</v>
      </c>
      <c r="B16" s="161">
        <v>963000</v>
      </c>
      <c r="C16" s="278">
        <v>532833.77</v>
      </c>
      <c r="D16" s="147">
        <f t="shared" si="0"/>
        <v>55.330609553478716</v>
      </c>
      <c r="E16" s="148">
        <f t="shared" si="1"/>
        <v>-430166.23</v>
      </c>
    </row>
    <row r="17" spans="1:5" ht="12.75">
      <c r="A17" s="41" t="s">
        <v>173</v>
      </c>
      <c r="B17" s="267">
        <v>1458000</v>
      </c>
      <c r="C17" s="278">
        <v>179285.12</v>
      </c>
      <c r="D17" s="147">
        <f t="shared" si="0"/>
        <v>12.296647462277091</v>
      </c>
      <c r="E17" s="148">
        <f t="shared" si="1"/>
        <v>-1278714.88</v>
      </c>
    </row>
    <row r="18" spans="1:5" ht="25.5">
      <c r="A18" s="93" t="s">
        <v>89</v>
      </c>
      <c r="B18" s="267">
        <v>0</v>
      </c>
      <c r="C18" s="268">
        <v>0</v>
      </c>
      <c r="D18" s="147" t="str">
        <f t="shared" si="0"/>
        <v>   </v>
      </c>
      <c r="E18" s="148">
        <f t="shared" si="1"/>
        <v>0</v>
      </c>
    </row>
    <row r="19" spans="1:5" ht="27" customHeight="1">
      <c r="A19" s="93" t="s">
        <v>28</v>
      </c>
      <c r="B19" s="267">
        <f>SUM(B20:B23)</f>
        <v>1890400</v>
      </c>
      <c r="C19" s="267">
        <f>SUM(C20:C23)</f>
        <v>590556.21</v>
      </c>
      <c r="D19" s="147">
        <f t="shared" si="0"/>
        <v>31.23974873042742</v>
      </c>
      <c r="E19" s="148">
        <f t="shared" si="1"/>
        <v>-1299843.79</v>
      </c>
    </row>
    <row r="20" spans="1:5" ht="12.75">
      <c r="A20" s="94" t="s">
        <v>162</v>
      </c>
      <c r="B20" s="267">
        <v>1273200</v>
      </c>
      <c r="C20" s="278">
        <v>325702.28</v>
      </c>
      <c r="D20" s="163">
        <f t="shared" si="0"/>
        <v>25.5813917687716</v>
      </c>
      <c r="E20" s="164">
        <f t="shared" si="1"/>
        <v>-947497.72</v>
      </c>
    </row>
    <row r="21" spans="1:5" ht="12.75">
      <c r="A21" s="41" t="s">
        <v>161</v>
      </c>
      <c r="B21" s="267">
        <v>0</v>
      </c>
      <c r="C21" s="268">
        <v>0</v>
      </c>
      <c r="D21" s="163" t="str">
        <f t="shared" si="0"/>
        <v>   </v>
      </c>
      <c r="E21" s="164">
        <f t="shared" si="1"/>
        <v>0</v>
      </c>
    </row>
    <row r="22" spans="1:5" ht="24" customHeight="1">
      <c r="A22" s="165" t="s">
        <v>30</v>
      </c>
      <c r="B22" s="267">
        <v>67200</v>
      </c>
      <c r="C22" s="278">
        <v>6484.86</v>
      </c>
      <c r="D22" s="163">
        <f t="shared" si="0"/>
        <v>9.650089285714285</v>
      </c>
      <c r="E22" s="164">
        <f t="shared" si="1"/>
        <v>-60715.14</v>
      </c>
    </row>
    <row r="23" spans="1:5" ht="42" customHeight="1">
      <c r="A23" s="16" t="s">
        <v>231</v>
      </c>
      <c r="B23" s="267">
        <v>550000</v>
      </c>
      <c r="C23" s="278">
        <v>258369.07</v>
      </c>
      <c r="D23" s="163">
        <f t="shared" si="0"/>
        <v>46.97619454545455</v>
      </c>
      <c r="E23" s="164">
        <f t="shared" si="1"/>
        <v>-291630.93</v>
      </c>
    </row>
    <row r="24" spans="1:5" ht="19.5" customHeight="1">
      <c r="A24" s="39" t="s">
        <v>92</v>
      </c>
      <c r="B24" s="267">
        <v>0</v>
      </c>
      <c r="C24" s="278">
        <v>7311.02</v>
      </c>
      <c r="D24" s="163" t="str">
        <f t="shared" si="0"/>
        <v>   </v>
      </c>
      <c r="E24" s="164">
        <f t="shared" si="1"/>
        <v>7311.02</v>
      </c>
    </row>
    <row r="25" spans="1:5" ht="15.75" customHeight="1">
      <c r="A25" s="165" t="s">
        <v>76</v>
      </c>
      <c r="B25" s="267">
        <f>SUM(B26:B27)</f>
        <v>0</v>
      </c>
      <c r="C25" s="267">
        <f>SUM(C26:C27)</f>
        <v>8326.96</v>
      </c>
      <c r="D25" s="163" t="str">
        <f t="shared" si="0"/>
        <v>   </v>
      </c>
      <c r="E25" s="164">
        <f t="shared" si="1"/>
        <v>8326.96</v>
      </c>
    </row>
    <row r="26" spans="1:5" ht="15.75" customHeight="1">
      <c r="A26" s="16" t="s">
        <v>232</v>
      </c>
      <c r="B26" s="267">
        <v>0</v>
      </c>
      <c r="C26" s="267">
        <v>0</v>
      </c>
      <c r="D26" s="163" t="str">
        <f t="shared" si="0"/>
        <v>   </v>
      </c>
      <c r="E26" s="164">
        <f t="shared" si="1"/>
        <v>0</v>
      </c>
    </row>
    <row r="27" spans="1:5" ht="25.5" customHeight="1">
      <c r="A27" s="16" t="s">
        <v>271</v>
      </c>
      <c r="B27" s="267">
        <v>0</v>
      </c>
      <c r="C27" s="278">
        <v>8326.96</v>
      </c>
      <c r="D27" s="163" t="str">
        <f t="shared" si="0"/>
        <v>   </v>
      </c>
      <c r="E27" s="164">
        <f t="shared" si="1"/>
        <v>8326.96</v>
      </c>
    </row>
    <row r="28" spans="1:5" ht="15" customHeight="1">
      <c r="A28" s="165" t="s">
        <v>31</v>
      </c>
      <c r="B28" s="267">
        <v>0</v>
      </c>
      <c r="C28" s="267">
        <v>1000</v>
      </c>
      <c r="D28" s="163" t="str">
        <f t="shared" si="0"/>
        <v>   </v>
      </c>
      <c r="E28" s="164">
        <f t="shared" si="1"/>
        <v>1000</v>
      </c>
    </row>
    <row r="29" spans="1:5" ht="12.75">
      <c r="A29" s="165" t="s">
        <v>32</v>
      </c>
      <c r="B29" s="267">
        <f>B30+B31</f>
        <v>0</v>
      </c>
      <c r="C29" s="267">
        <f>C30+C31</f>
        <v>0</v>
      </c>
      <c r="D29" s="163" t="str">
        <f t="shared" si="0"/>
        <v>   </v>
      </c>
      <c r="E29" s="164">
        <f t="shared" si="1"/>
        <v>0</v>
      </c>
    </row>
    <row r="30" spans="1:5" ht="13.5" customHeight="1">
      <c r="A30" s="165" t="s">
        <v>46</v>
      </c>
      <c r="B30" s="267">
        <v>0</v>
      </c>
      <c r="C30" s="267">
        <v>0</v>
      </c>
      <c r="D30" s="163" t="str">
        <f t="shared" si="0"/>
        <v>   </v>
      </c>
      <c r="E30" s="164">
        <f t="shared" si="1"/>
        <v>0</v>
      </c>
    </row>
    <row r="31" spans="1:5" ht="15.75" customHeight="1">
      <c r="A31" s="165" t="s">
        <v>111</v>
      </c>
      <c r="B31" s="267">
        <v>0</v>
      </c>
      <c r="C31" s="268">
        <v>0</v>
      </c>
      <c r="D31" s="163" t="str">
        <f t="shared" si="0"/>
        <v>   </v>
      </c>
      <c r="E31" s="164">
        <f t="shared" si="1"/>
        <v>0</v>
      </c>
    </row>
    <row r="32" spans="1:5" ht="15" customHeight="1">
      <c r="A32" s="166" t="s">
        <v>10</v>
      </c>
      <c r="B32" s="159">
        <f>SUM(B7,B9,B11,B13,B18,B19,B24,B25,B28,B29,)</f>
        <v>18444800</v>
      </c>
      <c r="C32" s="159">
        <f>SUM(C7,C9,C11,C13,C18,C19,C24,C25,C28,C29,)</f>
        <v>6321827.119999999</v>
      </c>
      <c r="D32" s="149">
        <f t="shared" si="0"/>
        <v>34.27430560374739</v>
      </c>
      <c r="E32" s="150">
        <f t="shared" si="1"/>
        <v>-12122972.88</v>
      </c>
    </row>
    <row r="33" spans="1:5" ht="18" customHeight="1">
      <c r="A33" s="167" t="s">
        <v>145</v>
      </c>
      <c r="B33" s="201">
        <f>B34+B36+B37+B40+B41+B42+B43+B44+B47</f>
        <v>14719816.46</v>
      </c>
      <c r="C33" s="201">
        <f>C34+C36+C37+C40+C41+C42+C43+C44+C47</f>
        <v>2518818.8</v>
      </c>
      <c r="D33" s="149">
        <f t="shared" si="0"/>
        <v>17.111754123053785</v>
      </c>
      <c r="E33" s="150">
        <f t="shared" si="1"/>
        <v>-12200997.66</v>
      </c>
    </row>
    <row r="34" spans="1:5" ht="15" customHeight="1">
      <c r="A34" s="168" t="s">
        <v>34</v>
      </c>
      <c r="B34" s="169">
        <v>3159000</v>
      </c>
      <c r="C34" s="278">
        <v>1579600</v>
      </c>
      <c r="D34" s="163">
        <f t="shared" si="0"/>
        <v>50.00316555872112</v>
      </c>
      <c r="E34" s="164">
        <f t="shared" si="1"/>
        <v>-1579400</v>
      </c>
    </row>
    <row r="35" spans="1:5" ht="15" customHeight="1">
      <c r="A35" s="17" t="s">
        <v>270</v>
      </c>
      <c r="B35" s="169">
        <v>0</v>
      </c>
      <c r="C35" s="278">
        <v>0</v>
      </c>
      <c r="D35" s="163" t="str">
        <f>IF(B35=0,"   ",C35/B35*100)</f>
        <v>   </v>
      </c>
      <c r="E35" s="164">
        <f>C35-B35</f>
        <v>0</v>
      </c>
    </row>
    <row r="36" spans="1:5" ht="24.75" customHeight="1">
      <c r="A36" s="165" t="s">
        <v>51</v>
      </c>
      <c r="B36" s="267">
        <v>359800</v>
      </c>
      <c r="C36" s="278">
        <v>172661</v>
      </c>
      <c r="D36" s="163">
        <f t="shared" si="0"/>
        <v>47.98804891606448</v>
      </c>
      <c r="E36" s="164">
        <f t="shared" si="1"/>
        <v>-187139</v>
      </c>
    </row>
    <row r="37" spans="1:5" ht="24.75" customHeight="1">
      <c r="A37" s="165" t="s">
        <v>155</v>
      </c>
      <c r="B37" s="267">
        <f>SUM(B38:B39)</f>
        <v>42000</v>
      </c>
      <c r="C37" s="267">
        <f>SUM(C38:C39)</f>
        <v>16129.8</v>
      </c>
      <c r="D37" s="163">
        <f t="shared" si="0"/>
        <v>38.40428571428571</v>
      </c>
      <c r="E37" s="164">
        <f t="shared" si="1"/>
        <v>-25870.2</v>
      </c>
    </row>
    <row r="38" spans="1:5" ht="13.5" customHeight="1">
      <c r="A38" s="117" t="s">
        <v>174</v>
      </c>
      <c r="B38" s="267">
        <v>1400</v>
      </c>
      <c r="C38" s="268">
        <v>0</v>
      </c>
      <c r="D38" s="163">
        <f>IF(B38=0,"   ",C38/B38*100)</f>
        <v>0</v>
      </c>
      <c r="E38" s="164">
        <f>C38-B38</f>
        <v>-1400</v>
      </c>
    </row>
    <row r="39" spans="1:5" ht="24.75" customHeight="1">
      <c r="A39" s="117" t="s">
        <v>175</v>
      </c>
      <c r="B39" s="267">
        <v>40600</v>
      </c>
      <c r="C39" s="268">
        <v>16129.8</v>
      </c>
      <c r="D39" s="163">
        <f>IF(B39=0,"   ",C39/B39*100)</f>
        <v>39.72857142857143</v>
      </c>
      <c r="E39" s="164">
        <f>C39-B39</f>
        <v>-24470.2</v>
      </c>
    </row>
    <row r="40" spans="1:5" ht="42" customHeight="1">
      <c r="A40" s="165" t="s">
        <v>124</v>
      </c>
      <c r="B40" s="267">
        <v>0</v>
      </c>
      <c r="C40" s="268">
        <v>0</v>
      </c>
      <c r="D40" s="163" t="str">
        <f t="shared" si="0"/>
        <v>   </v>
      </c>
      <c r="E40" s="164">
        <f t="shared" si="1"/>
        <v>0</v>
      </c>
    </row>
    <row r="41" spans="1:5" ht="47.25" customHeight="1">
      <c r="A41" s="16" t="s">
        <v>257</v>
      </c>
      <c r="B41" s="279">
        <v>6805686.46</v>
      </c>
      <c r="C41" s="280">
        <v>0</v>
      </c>
      <c r="D41" s="198">
        <f>IF(B41=0,"   ",C41/B41)</f>
        <v>0</v>
      </c>
      <c r="E41" s="199">
        <f>C41-B41</f>
        <v>-6805686.46</v>
      </c>
    </row>
    <row r="42" spans="1:5" ht="57" customHeight="1">
      <c r="A42" s="16" t="s">
        <v>291</v>
      </c>
      <c r="B42" s="279">
        <v>2237800</v>
      </c>
      <c r="C42" s="280">
        <v>750428</v>
      </c>
      <c r="D42" s="198">
        <f>IF(B42=0,"   ",C42/B42)</f>
        <v>0.3353418536062204</v>
      </c>
      <c r="E42" s="199">
        <f>C42-B42</f>
        <v>-1487372</v>
      </c>
    </row>
    <row r="43" spans="1:5" ht="51" customHeight="1">
      <c r="A43" s="16" t="s">
        <v>293</v>
      </c>
      <c r="B43" s="269">
        <v>1594900</v>
      </c>
      <c r="C43" s="270">
        <v>0</v>
      </c>
      <c r="D43" s="163">
        <f t="shared" si="0"/>
        <v>0</v>
      </c>
      <c r="E43" s="164">
        <f t="shared" si="1"/>
        <v>-1594900</v>
      </c>
    </row>
    <row r="44" spans="1:5" ht="15" customHeight="1">
      <c r="A44" s="165" t="s">
        <v>55</v>
      </c>
      <c r="B44" s="269">
        <f>B46+B45</f>
        <v>473300</v>
      </c>
      <c r="C44" s="269">
        <f>C46+C45</f>
        <v>0</v>
      </c>
      <c r="D44" s="163">
        <f t="shared" si="0"/>
        <v>0</v>
      </c>
      <c r="E44" s="164">
        <f t="shared" si="1"/>
        <v>-473300</v>
      </c>
    </row>
    <row r="45" spans="1:5" ht="15" customHeight="1">
      <c r="A45" s="53" t="s">
        <v>212</v>
      </c>
      <c r="B45" s="269">
        <v>473300</v>
      </c>
      <c r="C45" s="269">
        <v>0</v>
      </c>
      <c r="D45" s="163">
        <f t="shared" si="0"/>
        <v>0</v>
      </c>
      <c r="E45" s="164">
        <f t="shared" si="1"/>
        <v>-473300</v>
      </c>
    </row>
    <row r="46" spans="1:5" ht="18" customHeight="1">
      <c r="A46" s="165" t="s">
        <v>110</v>
      </c>
      <c r="B46" s="269">
        <v>0</v>
      </c>
      <c r="C46" s="270">
        <v>0</v>
      </c>
      <c r="D46" s="163" t="str">
        <f t="shared" si="0"/>
        <v>   </v>
      </c>
      <c r="E46" s="164">
        <f t="shared" si="1"/>
        <v>0</v>
      </c>
    </row>
    <row r="47" spans="1:5" ht="18" customHeight="1">
      <c r="A47" s="165" t="s">
        <v>208</v>
      </c>
      <c r="B47" s="269">
        <v>47330</v>
      </c>
      <c r="C47" s="270">
        <v>0</v>
      </c>
      <c r="D47" s="163">
        <f t="shared" si="0"/>
        <v>0</v>
      </c>
      <c r="E47" s="164">
        <f t="shared" si="1"/>
        <v>-47330</v>
      </c>
    </row>
    <row r="48" spans="1:5" ht="29.25" customHeight="1">
      <c r="A48" s="166" t="s">
        <v>11</v>
      </c>
      <c r="B48" s="159">
        <f>SUM(B32,B33,)</f>
        <v>33164616.46</v>
      </c>
      <c r="C48" s="159">
        <f>SUM(C32,C33,)</f>
        <v>8840645.919999998</v>
      </c>
      <c r="D48" s="149">
        <f t="shared" si="0"/>
        <v>26.65686163041488</v>
      </c>
      <c r="E48" s="150">
        <f t="shared" si="1"/>
        <v>-24323970.540000003</v>
      </c>
    </row>
    <row r="49" spans="1:5" ht="16.5" customHeight="1">
      <c r="A49" s="30"/>
      <c r="B49" s="169"/>
      <c r="C49" s="161"/>
      <c r="D49" s="163" t="str">
        <f t="shared" si="0"/>
        <v>   </v>
      </c>
      <c r="E49" s="164"/>
    </row>
    <row r="50" spans="1:5" ht="12.75">
      <c r="A50" s="170" t="s">
        <v>12</v>
      </c>
      <c r="B50" s="159"/>
      <c r="C50" s="171"/>
      <c r="D50" s="163" t="str">
        <f t="shared" si="0"/>
        <v>   </v>
      </c>
      <c r="E50" s="164"/>
    </row>
    <row r="51" spans="1:5" ht="18" customHeight="1">
      <c r="A51" s="165" t="s">
        <v>35</v>
      </c>
      <c r="B51" s="161">
        <f>SUM(B52,B54,B55)</f>
        <v>3354800</v>
      </c>
      <c r="C51" s="161">
        <f>SUM(C52,C54,C55)</f>
        <v>1258977.93</v>
      </c>
      <c r="D51" s="163">
        <f t="shared" si="0"/>
        <v>37.527659771074276</v>
      </c>
      <c r="E51" s="164">
        <f t="shared" si="1"/>
        <v>-2095822.07</v>
      </c>
    </row>
    <row r="52" spans="1:5" ht="16.5" customHeight="1">
      <c r="A52" s="165" t="s">
        <v>36</v>
      </c>
      <c r="B52" s="161">
        <v>3142800</v>
      </c>
      <c r="C52" s="162">
        <v>1152497.93</v>
      </c>
      <c r="D52" s="163">
        <f t="shared" si="0"/>
        <v>36.67105542828051</v>
      </c>
      <c r="E52" s="164">
        <f t="shared" si="1"/>
        <v>-1990302.07</v>
      </c>
    </row>
    <row r="53" spans="1:5" ht="12.75">
      <c r="A53" s="165" t="s">
        <v>122</v>
      </c>
      <c r="B53" s="161">
        <v>1501450</v>
      </c>
      <c r="C53" s="171">
        <v>726185.04</v>
      </c>
      <c r="D53" s="163">
        <f t="shared" si="0"/>
        <v>48.365582603483304</v>
      </c>
      <c r="E53" s="164">
        <f t="shared" si="1"/>
        <v>-775264.96</v>
      </c>
    </row>
    <row r="54" spans="1:5" ht="12.75">
      <c r="A54" s="165" t="s">
        <v>96</v>
      </c>
      <c r="B54" s="161">
        <v>10000</v>
      </c>
      <c r="C54" s="171">
        <v>0</v>
      </c>
      <c r="D54" s="163">
        <f t="shared" si="0"/>
        <v>0</v>
      </c>
      <c r="E54" s="164">
        <f t="shared" si="1"/>
        <v>-10000</v>
      </c>
    </row>
    <row r="55" spans="1:5" ht="12.75">
      <c r="A55" s="165" t="s">
        <v>52</v>
      </c>
      <c r="B55" s="162">
        <f>SUM(B56+B59+B57+B58)</f>
        <v>202000</v>
      </c>
      <c r="C55" s="162">
        <f>SUM(C56+C59+C57+C58)</f>
        <v>106480</v>
      </c>
      <c r="D55" s="163">
        <f t="shared" si="0"/>
        <v>52.71287128712871</v>
      </c>
      <c r="E55" s="164">
        <f t="shared" si="1"/>
        <v>-95520</v>
      </c>
    </row>
    <row r="56" spans="1:5" ht="26.25" customHeight="1">
      <c r="A56" s="113" t="s">
        <v>273</v>
      </c>
      <c r="B56" s="161">
        <v>0</v>
      </c>
      <c r="C56" s="161">
        <v>0</v>
      </c>
      <c r="D56" s="163" t="str">
        <f t="shared" si="0"/>
        <v>   </v>
      </c>
      <c r="E56" s="164">
        <f t="shared" si="1"/>
        <v>0</v>
      </c>
    </row>
    <row r="57" spans="1:5" ht="26.25" customHeight="1">
      <c r="A57" s="113" t="s">
        <v>314</v>
      </c>
      <c r="B57" s="161">
        <v>2000</v>
      </c>
      <c r="C57" s="161">
        <v>0</v>
      </c>
      <c r="D57" s="163">
        <f t="shared" si="0"/>
        <v>0</v>
      </c>
      <c r="E57" s="164">
        <f t="shared" si="1"/>
        <v>-2000</v>
      </c>
    </row>
    <row r="58" spans="1:5" ht="26.25" customHeight="1">
      <c r="A58" s="113" t="s">
        <v>285</v>
      </c>
      <c r="B58" s="161">
        <v>200000</v>
      </c>
      <c r="C58" s="161">
        <v>106480</v>
      </c>
      <c r="D58" s="163">
        <f t="shared" si="0"/>
        <v>53.239999999999995</v>
      </c>
      <c r="E58" s="164">
        <f t="shared" si="1"/>
        <v>-93520</v>
      </c>
    </row>
    <row r="59" spans="1:5" ht="12.75">
      <c r="A59" s="16" t="s">
        <v>272</v>
      </c>
      <c r="B59" s="161">
        <v>0</v>
      </c>
      <c r="C59" s="161">
        <v>0</v>
      </c>
      <c r="D59" s="163" t="str">
        <f t="shared" si="0"/>
        <v>   </v>
      </c>
      <c r="E59" s="164">
        <f t="shared" si="1"/>
        <v>0</v>
      </c>
    </row>
    <row r="60" spans="1:5" ht="21" customHeight="1">
      <c r="A60" s="165" t="s">
        <v>49</v>
      </c>
      <c r="B60" s="162">
        <f>SUM(B61)</f>
        <v>359800</v>
      </c>
      <c r="C60" s="162">
        <f>SUM(C61)</f>
        <v>159561.28</v>
      </c>
      <c r="D60" s="163">
        <f t="shared" si="0"/>
        <v>44.34721511951084</v>
      </c>
      <c r="E60" s="164">
        <f t="shared" si="1"/>
        <v>-200238.72</v>
      </c>
    </row>
    <row r="61" spans="1:5" ht="17.25" customHeight="1">
      <c r="A61" s="165" t="s">
        <v>108</v>
      </c>
      <c r="B61" s="161">
        <v>359800</v>
      </c>
      <c r="C61" s="162">
        <v>159561.28</v>
      </c>
      <c r="D61" s="163">
        <f t="shared" si="0"/>
        <v>44.34721511951084</v>
      </c>
      <c r="E61" s="164">
        <f t="shared" si="1"/>
        <v>-200238.72</v>
      </c>
    </row>
    <row r="62" spans="1:5" ht="15.75" customHeight="1">
      <c r="A62" s="165" t="s">
        <v>37</v>
      </c>
      <c r="B62" s="162">
        <f>SUM(B63+B66)</f>
        <v>994500</v>
      </c>
      <c r="C62" s="162">
        <f>SUM(C63+C66)</f>
        <v>420087.43</v>
      </c>
      <c r="D62" s="163">
        <f t="shared" si="0"/>
        <v>42.24106887883358</v>
      </c>
      <c r="E62" s="164">
        <f t="shared" si="1"/>
        <v>-574412.5700000001</v>
      </c>
    </row>
    <row r="63" spans="1:5" ht="27" customHeight="1">
      <c r="A63" s="165" t="s">
        <v>86</v>
      </c>
      <c r="B63" s="161">
        <f>B64</f>
        <v>940500</v>
      </c>
      <c r="C63" s="161">
        <v>366087.43</v>
      </c>
      <c r="D63" s="163">
        <f t="shared" si="0"/>
        <v>38.92476661350345</v>
      </c>
      <c r="E63" s="164">
        <f t="shared" si="1"/>
        <v>-574412.5700000001</v>
      </c>
    </row>
    <row r="64" spans="1:5" ht="16.5" customHeight="1">
      <c r="A64" s="165" t="s">
        <v>97</v>
      </c>
      <c r="B64" s="161">
        <v>940500</v>
      </c>
      <c r="C64" s="161">
        <v>366087.43</v>
      </c>
      <c r="D64" s="163">
        <f t="shared" si="0"/>
        <v>38.92476661350345</v>
      </c>
      <c r="E64" s="164">
        <f t="shared" si="1"/>
        <v>-574412.5700000001</v>
      </c>
    </row>
    <row r="65" spans="1:5" ht="14.25" customHeight="1">
      <c r="A65" s="165" t="s">
        <v>122</v>
      </c>
      <c r="B65" s="161">
        <v>660215</v>
      </c>
      <c r="C65" s="162">
        <v>263536.29</v>
      </c>
      <c r="D65" s="163">
        <f t="shared" si="0"/>
        <v>39.91673772937603</v>
      </c>
      <c r="E65" s="164">
        <f t="shared" si="1"/>
        <v>-396678.71</v>
      </c>
    </row>
    <row r="66" spans="1:5" ht="17.25" customHeight="1">
      <c r="A66" s="165" t="s">
        <v>129</v>
      </c>
      <c r="B66" s="161">
        <v>54000</v>
      </c>
      <c r="C66" s="162">
        <v>54000</v>
      </c>
      <c r="D66" s="163">
        <f t="shared" si="0"/>
        <v>100</v>
      </c>
      <c r="E66" s="164">
        <f t="shared" si="1"/>
        <v>0</v>
      </c>
    </row>
    <row r="67" spans="1:5" ht="18" customHeight="1">
      <c r="A67" s="165" t="s">
        <v>38</v>
      </c>
      <c r="B67" s="161">
        <f>B75+B70+B73+B86+B68</f>
        <v>5929200</v>
      </c>
      <c r="C67" s="161">
        <f>C75+C70+C73+C86+C68</f>
        <v>1808459.78</v>
      </c>
      <c r="D67" s="163">
        <f t="shared" si="0"/>
        <v>30.500907036362413</v>
      </c>
      <c r="E67" s="164">
        <f t="shared" si="1"/>
        <v>-4120740.2199999997</v>
      </c>
    </row>
    <row r="68" spans="1:5" ht="18" customHeight="1">
      <c r="A68" s="135" t="s">
        <v>312</v>
      </c>
      <c r="B68" s="25">
        <f>SUM(B69)</f>
        <v>260400</v>
      </c>
      <c r="C68" s="25">
        <f>SUM(C69)</f>
        <v>203737.98</v>
      </c>
      <c r="D68" s="163">
        <f t="shared" si="0"/>
        <v>78.24039170506913</v>
      </c>
      <c r="E68" s="164">
        <f t="shared" si="1"/>
        <v>-56662.01999999999</v>
      </c>
    </row>
    <row r="69" spans="1:5" ht="18" customHeight="1">
      <c r="A69" s="135" t="s">
        <v>313</v>
      </c>
      <c r="B69" s="161">
        <v>260400</v>
      </c>
      <c r="C69" s="161">
        <v>203737.98</v>
      </c>
      <c r="D69" s="163">
        <f t="shared" si="0"/>
        <v>78.24039170506913</v>
      </c>
      <c r="E69" s="164">
        <f t="shared" si="1"/>
        <v>-56662.01999999999</v>
      </c>
    </row>
    <row r="70" spans="1:5" ht="18" customHeight="1">
      <c r="A70" s="83" t="s">
        <v>176</v>
      </c>
      <c r="B70" s="25">
        <f>SUM(B72,B71)</f>
        <v>100600</v>
      </c>
      <c r="C70" s="25">
        <f>SUM(C72,C71)</f>
        <v>46109.34</v>
      </c>
      <c r="D70" s="163">
        <f>IF(B70=0,"   ",C70/B70*100)</f>
        <v>45.83433399602385</v>
      </c>
      <c r="E70" s="164">
        <f>C70-B70</f>
        <v>-54490.66</v>
      </c>
    </row>
    <row r="71" spans="1:5" ht="18" customHeight="1">
      <c r="A71" s="83" t="s">
        <v>181</v>
      </c>
      <c r="B71" s="25">
        <v>60000</v>
      </c>
      <c r="C71" s="25">
        <v>39009.34</v>
      </c>
      <c r="D71" s="163">
        <f>IF(B71=0,"   ",C71/B71*100)</f>
        <v>65.01556666666666</v>
      </c>
      <c r="E71" s="164">
        <f>C71-B71</f>
        <v>-20990.660000000003</v>
      </c>
    </row>
    <row r="72" spans="1:5" ht="18" customHeight="1">
      <c r="A72" s="83" t="s">
        <v>177</v>
      </c>
      <c r="B72" s="25">
        <v>40600</v>
      </c>
      <c r="C72" s="161">
        <v>7100</v>
      </c>
      <c r="D72" s="163">
        <f>IF(B72=0,"   ",C72/B72*100)</f>
        <v>17.48768472906404</v>
      </c>
      <c r="E72" s="164">
        <f>C72-B72</f>
        <v>-33500</v>
      </c>
    </row>
    <row r="73" spans="1:5" ht="18" customHeight="1">
      <c r="A73" s="83" t="s">
        <v>274</v>
      </c>
      <c r="B73" s="25">
        <f>SUM(B74)</f>
        <v>0</v>
      </c>
      <c r="C73" s="25">
        <f>SUM(C74)</f>
        <v>0</v>
      </c>
      <c r="D73" s="163" t="str">
        <f>IF(B73=0,"   ",C73/B73*100)</f>
        <v>   </v>
      </c>
      <c r="E73" s="164">
        <f>C73-B73</f>
        <v>0</v>
      </c>
    </row>
    <row r="74" spans="1:5" ht="18" customHeight="1">
      <c r="A74" s="83" t="s">
        <v>275</v>
      </c>
      <c r="B74" s="25">
        <v>0</v>
      </c>
      <c r="C74" s="161">
        <v>0</v>
      </c>
      <c r="D74" s="163" t="str">
        <f>IF(B74=0,"   ",C74/B74*100)</f>
        <v>   </v>
      </c>
      <c r="E74" s="164">
        <f>C74-B74</f>
        <v>0</v>
      </c>
    </row>
    <row r="75" spans="1:5" ht="18.75" customHeight="1">
      <c r="A75" s="173" t="s">
        <v>134</v>
      </c>
      <c r="B75" s="161">
        <f>B76+B80+B81+B82+B83+B77+B78+B79+B84+B85</f>
        <v>5568200</v>
      </c>
      <c r="C75" s="161">
        <f>C76+C80+C81+C82+C83+C77+C78+C79+C84+C85</f>
        <v>1558612.46</v>
      </c>
      <c r="D75" s="163">
        <f t="shared" si="0"/>
        <v>27.9913160446823</v>
      </c>
      <c r="E75" s="164">
        <f t="shared" si="1"/>
        <v>-4009587.54</v>
      </c>
    </row>
    <row r="76" spans="1:5" ht="18" customHeight="1">
      <c r="A76" s="174" t="s">
        <v>158</v>
      </c>
      <c r="B76" s="161">
        <v>0</v>
      </c>
      <c r="C76" s="161">
        <v>0</v>
      </c>
      <c r="D76" s="163" t="str">
        <f t="shared" si="0"/>
        <v>   </v>
      </c>
      <c r="E76" s="164">
        <f t="shared" si="1"/>
        <v>0</v>
      </c>
    </row>
    <row r="77" spans="1:5" ht="15" customHeight="1">
      <c r="A77" s="174" t="s">
        <v>154</v>
      </c>
      <c r="B77" s="161">
        <v>0</v>
      </c>
      <c r="C77" s="161">
        <v>0</v>
      </c>
      <c r="D77" s="163" t="str">
        <f t="shared" si="0"/>
        <v>   </v>
      </c>
      <c r="E77" s="164">
        <f t="shared" si="1"/>
        <v>0</v>
      </c>
    </row>
    <row r="78" spans="1:5" ht="14.25" customHeight="1">
      <c r="A78" s="174" t="s">
        <v>156</v>
      </c>
      <c r="B78" s="161">
        <v>440000</v>
      </c>
      <c r="C78" s="161">
        <v>125168.83</v>
      </c>
      <c r="D78" s="163">
        <f t="shared" si="0"/>
        <v>28.44746136363636</v>
      </c>
      <c r="E78" s="164">
        <f t="shared" si="1"/>
        <v>-314831.17</v>
      </c>
    </row>
    <row r="79" spans="1:5" ht="13.5" customHeight="1">
      <c r="A79" s="135" t="s">
        <v>217</v>
      </c>
      <c r="B79" s="161">
        <v>0</v>
      </c>
      <c r="C79" s="161">
        <v>0</v>
      </c>
      <c r="D79" s="163" t="str">
        <f t="shared" si="0"/>
        <v>   </v>
      </c>
      <c r="E79" s="164">
        <f t="shared" si="1"/>
        <v>0</v>
      </c>
    </row>
    <row r="80" spans="1:5" ht="25.5">
      <c r="A80" s="172" t="s">
        <v>135</v>
      </c>
      <c r="B80" s="161">
        <v>2237800</v>
      </c>
      <c r="C80" s="161">
        <v>750428</v>
      </c>
      <c r="D80" s="163">
        <f t="shared" si="0"/>
        <v>33.53418536062204</v>
      </c>
      <c r="E80" s="164">
        <f t="shared" si="1"/>
        <v>-1487372</v>
      </c>
    </row>
    <row r="81" spans="1:5" ht="22.5" customHeight="1">
      <c r="A81" s="172" t="s">
        <v>136</v>
      </c>
      <c r="B81" s="161">
        <v>1054000</v>
      </c>
      <c r="C81" s="161">
        <v>520819</v>
      </c>
      <c r="D81" s="163">
        <f t="shared" si="0"/>
        <v>49.41356736242884</v>
      </c>
      <c r="E81" s="164">
        <f t="shared" si="1"/>
        <v>-533181</v>
      </c>
    </row>
    <row r="82" spans="1:5" ht="25.5" customHeight="1">
      <c r="A82" s="172" t="s">
        <v>147</v>
      </c>
      <c r="B82" s="92">
        <v>1594900</v>
      </c>
      <c r="C82" s="161">
        <v>0</v>
      </c>
      <c r="D82" s="163">
        <f t="shared" si="0"/>
        <v>0</v>
      </c>
      <c r="E82" s="164">
        <f t="shared" si="1"/>
        <v>-1594900</v>
      </c>
    </row>
    <row r="83" spans="1:5" ht="17.25" customHeight="1">
      <c r="A83" s="172" t="s">
        <v>189</v>
      </c>
      <c r="B83" s="161">
        <v>241500</v>
      </c>
      <c r="C83" s="161">
        <v>162196.63</v>
      </c>
      <c r="D83" s="163">
        <f t="shared" si="0"/>
        <v>67.16216563146999</v>
      </c>
      <c r="E83" s="164">
        <f t="shared" si="1"/>
        <v>-79303.37</v>
      </c>
    </row>
    <row r="84" spans="1:5" ht="15" customHeight="1">
      <c r="A84" s="113" t="s">
        <v>218</v>
      </c>
      <c r="B84" s="161"/>
      <c r="C84" s="161"/>
      <c r="D84" s="163" t="str">
        <f t="shared" si="0"/>
        <v>   </v>
      </c>
      <c r="E84" s="164">
        <f t="shared" si="1"/>
        <v>0</v>
      </c>
    </row>
    <row r="85" spans="1:5" ht="17.25" customHeight="1">
      <c r="A85" s="113" t="s">
        <v>216</v>
      </c>
      <c r="B85" s="161">
        <v>0</v>
      </c>
      <c r="C85" s="161">
        <v>0</v>
      </c>
      <c r="D85" s="163" t="str">
        <f t="shared" si="0"/>
        <v>   </v>
      </c>
      <c r="E85" s="164">
        <f t="shared" si="1"/>
        <v>0</v>
      </c>
    </row>
    <row r="86" spans="1:5" ht="15">
      <c r="A86" s="104" t="s">
        <v>199</v>
      </c>
      <c r="B86" s="200">
        <f>B87</f>
        <v>0</v>
      </c>
      <c r="C86" s="200">
        <f>C87</f>
        <v>0</v>
      </c>
      <c r="D86" s="198" t="str">
        <f>IF(B86=0,"   ",C86/B86)</f>
        <v>   </v>
      </c>
      <c r="E86" s="199">
        <f>C86-B86</f>
        <v>0</v>
      </c>
    </row>
    <row r="87" spans="1:5" ht="26.25">
      <c r="A87" s="83" t="s">
        <v>200</v>
      </c>
      <c r="B87" s="200">
        <v>0</v>
      </c>
      <c r="C87" s="200">
        <v>0</v>
      </c>
      <c r="D87" s="198" t="str">
        <f>IF(B87=0,"   ",C87/B87)</f>
        <v>   </v>
      </c>
      <c r="E87" s="199">
        <f>C87-B87</f>
        <v>0</v>
      </c>
    </row>
    <row r="88" spans="1:5" ht="18" customHeight="1">
      <c r="A88" s="165" t="s">
        <v>13</v>
      </c>
      <c r="B88" s="161">
        <f>SUM(B89,B92,B100)</f>
        <v>16502616.459999999</v>
      </c>
      <c r="C88" s="161">
        <f>SUM(C89,C92,C100)</f>
        <v>4365348.9399999995</v>
      </c>
      <c r="D88" s="163">
        <f t="shared" si="0"/>
        <v>26.45246558678126</v>
      </c>
      <c r="E88" s="164">
        <f t="shared" si="1"/>
        <v>-12137267.52</v>
      </c>
    </row>
    <row r="89" spans="1:5" ht="18.75" customHeight="1">
      <c r="A89" s="94" t="s">
        <v>14</v>
      </c>
      <c r="B89" s="95">
        <f>SUM(B90:B91)</f>
        <v>400000</v>
      </c>
      <c r="C89" s="95">
        <f>SUM(C90:C91)</f>
        <v>154000</v>
      </c>
      <c r="D89" s="163">
        <f t="shared" si="0"/>
        <v>38.5</v>
      </c>
      <c r="E89" s="164">
        <f t="shared" si="1"/>
        <v>-246000</v>
      </c>
    </row>
    <row r="90" spans="1:5" ht="12.75">
      <c r="A90" s="165" t="s">
        <v>102</v>
      </c>
      <c r="B90" s="161">
        <v>400000</v>
      </c>
      <c r="C90" s="162">
        <v>154000</v>
      </c>
      <c r="D90" s="163">
        <f t="shared" si="0"/>
        <v>38.5</v>
      </c>
      <c r="E90" s="164">
        <f t="shared" si="1"/>
        <v>-246000</v>
      </c>
    </row>
    <row r="91" spans="1:5" ht="12.75">
      <c r="A91" s="165" t="s">
        <v>205</v>
      </c>
      <c r="B91" s="161">
        <v>0</v>
      </c>
      <c r="C91" s="162">
        <v>0</v>
      </c>
      <c r="D91" s="163" t="str">
        <f t="shared" si="0"/>
        <v>   </v>
      </c>
      <c r="E91" s="164">
        <f t="shared" si="1"/>
        <v>0</v>
      </c>
    </row>
    <row r="92" spans="1:5" ht="18" customHeight="1">
      <c r="A92" s="94" t="s">
        <v>64</v>
      </c>
      <c r="B92" s="95">
        <f>SUM(B93:B95,B99)</f>
        <v>1765220</v>
      </c>
      <c r="C92" s="95">
        <f>SUM(C93:C95,C99)</f>
        <v>102111.81</v>
      </c>
      <c r="D92" s="163">
        <f t="shared" si="0"/>
        <v>5.784650638447332</v>
      </c>
      <c r="E92" s="164">
        <f t="shared" si="1"/>
        <v>-1663108.19</v>
      </c>
    </row>
    <row r="93" spans="1:5" ht="12.75">
      <c r="A93" s="165" t="s">
        <v>148</v>
      </c>
      <c r="B93" s="161">
        <v>286000</v>
      </c>
      <c r="C93" s="161">
        <v>0</v>
      </c>
      <c r="D93" s="163">
        <f t="shared" si="0"/>
        <v>0</v>
      </c>
      <c r="E93" s="164">
        <f t="shared" si="1"/>
        <v>-286000</v>
      </c>
    </row>
    <row r="94" spans="1:5" ht="12.75">
      <c r="A94" s="165" t="s">
        <v>167</v>
      </c>
      <c r="B94" s="161">
        <v>290400</v>
      </c>
      <c r="C94" s="161">
        <v>5645.34</v>
      </c>
      <c r="D94" s="163">
        <f t="shared" si="0"/>
        <v>1.9439876033057852</v>
      </c>
      <c r="E94" s="164">
        <f t="shared" si="1"/>
        <v>-284754.66</v>
      </c>
    </row>
    <row r="95" spans="1:5" ht="25.5">
      <c r="A95" s="113" t="s">
        <v>237</v>
      </c>
      <c r="B95" s="233">
        <f>SUM(B96:B98)</f>
        <v>788820</v>
      </c>
      <c r="C95" s="233">
        <f>SUM(C96:C98)</f>
        <v>0</v>
      </c>
      <c r="D95" s="163">
        <f>IF(B95=0,"   ",C95/B95*100)</f>
        <v>0</v>
      </c>
      <c r="E95" s="164">
        <f>C95-B95</f>
        <v>-788820</v>
      </c>
    </row>
    <row r="96" spans="1:5" ht="25.5">
      <c r="A96" s="113" t="s">
        <v>211</v>
      </c>
      <c r="B96" s="161">
        <v>473300</v>
      </c>
      <c r="C96" s="161">
        <v>0</v>
      </c>
      <c r="D96" s="163">
        <f>IF(B96=0,"   ",C96/B96*100)</f>
        <v>0</v>
      </c>
      <c r="E96" s="164">
        <f>C96-B96</f>
        <v>-473300</v>
      </c>
    </row>
    <row r="97" spans="1:5" ht="25.5">
      <c r="A97" s="113" t="s">
        <v>229</v>
      </c>
      <c r="B97" s="161">
        <v>268190</v>
      </c>
      <c r="C97" s="161">
        <v>0</v>
      </c>
      <c r="D97" s="163">
        <f t="shared" si="0"/>
        <v>0</v>
      </c>
      <c r="E97" s="164">
        <f t="shared" si="1"/>
        <v>-268190</v>
      </c>
    </row>
    <row r="98" spans="1:5" ht="25.5">
      <c r="A98" s="113" t="s">
        <v>243</v>
      </c>
      <c r="B98" s="161">
        <v>47330</v>
      </c>
      <c r="C98" s="161">
        <v>0</v>
      </c>
      <c r="D98" s="163">
        <f t="shared" si="0"/>
        <v>0</v>
      </c>
      <c r="E98" s="164">
        <f t="shared" si="1"/>
        <v>-47330</v>
      </c>
    </row>
    <row r="99" spans="1:5" ht="12.75">
      <c r="A99" s="165" t="s">
        <v>140</v>
      </c>
      <c r="B99" s="161">
        <v>400000</v>
      </c>
      <c r="C99" s="161">
        <v>96466.47</v>
      </c>
      <c r="D99" s="163">
        <f t="shared" si="0"/>
        <v>24.1166175</v>
      </c>
      <c r="E99" s="164">
        <f t="shared" si="1"/>
        <v>-303533.53</v>
      </c>
    </row>
    <row r="100" spans="1:5" ht="16.5" customHeight="1">
      <c r="A100" s="94" t="s">
        <v>63</v>
      </c>
      <c r="B100" s="95">
        <f>B101+B103+B104+B105+B106+B107+B111+B102</f>
        <v>14337396.459999999</v>
      </c>
      <c r="C100" s="95">
        <f>C101+C103+C104+C105+C106+C107+C111+C102</f>
        <v>4109237.13</v>
      </c>
      <c r="D100" s="163">
        <f t="shared" si="0"/>
        <v>28.6609716168789</v>
      </c>
      <c r="E100" s="164">
        <f t="shared" si="1"/>
        <v>-10228159.329999998</v>
      </c>
    </row>
    <row r="101" spans="1:5" ht="12.75">
      <c r="A101" s="165" t="s">
        <v>65</v>
      </c>
      <c r="B101" s="161">
        <v>4250000</v>
      </c>
      <c r="C101" s="162">
        <v>1994071.25</v>
      </c>
      <c r="D101" s="163">
        <f t="shared" si="0"/>
        <v>46.91932352941176</v>
      </c>
      <c r="E101" s="164">
        <f t="shared" si="1"/>
        <v>-2255928.75</v>
      </c>
    </row>
    <row r="102" spans="1:5" ht="25.5">
      <c r="A102" s="16" t="s">
        <v>256</v>
      </c>
      <c r="B102" s="161">
        <v>30000</v>
      </c>
      <c r="C102" s="162">
        <v>0</v>
      </c>
      <c r="D102" s="163">
        <f t="shared" si="0"/>
        <v>0</v>
      </c>
      <c r="E102" s="164">
        <f t="shared" si="1"/>
        <v>-30000</v>
      </c>
    </row>
    <row r="103" spans="1:5" ht="12.75">
      <c r="A103" s="165" t="s">
        <v>66</v>
      </c>
      <c r="B103" s="161">
        <v>263000</v>
      </c>
      <c r="C103" s="162">
        <v>250000</v>
      </c>
      <c r="D103" s="163">
        <f aca="true" t="shared" si="2" ref="D103:D124">IF(B103=0,"   ",C103/B103*100)</f>
        <v>95.05703422053232</v>
      </c>
      <c r="E103" s="164">
        <f t="shared" si="1"/>
        <v>-13000</v>
      </c>
    </row>
    <row r="104" spans="1:5" ht="12.75">
      <c r="A104" s="165" t="s">
        <v>67</v>
      </c>
      <c r="B104" s="161">
        <v>693900</v>
      </c>
      <c r="C104" s="162">
        <v>516664.24</v>
      </c>
      <c r="D104" s="163">
        <f t="shared" si="2"/>
        <v>74.45802565211126</v>
      </c>
      <c r="E104" s="164">
        <f t="shared" si="1"/>
        <v>-177235.76</v>
      </c>
    </row>
    <row r="105" spans="1:5" ht="12.75">
      <c r="A105" s="165" t="s">
        <v>68</v>
      </c>
      <c r="B105" s="161">
        <v>2294810</v>
      </c>
      <c r="C105" s="162">
        <v>1347218.76</v>
      </c>
      <c r="D105" s="163">
        <f t="shared" si="2"/>
        <v>58.7072027749574</v>
      </c>
      <c r="E105" s="164">
        <f t="shared" si="1"/>
        <v>-947591.24</v>
      </c>
    </row>
    <row r="106" spans="1:5" ht="14.25" customHeight="1">
      <c r="A106" s="165" t="s">
        <v>95</v>
      </c>
      <c r="B106" s="161">
        <v>0</v>
      </c>
      <c r="C106" s="162">
        <v>0</v>
      </c>
      <c r="D106" s="163" t="str">
        <f t="shared" si="2"/>
        <v>   </v>
      </c>
      <c r="E106" s="164">
        <f t="shared" si="1"/>
        <v>0</v>
      </c>
    </row>
    <row r="107" spans="1:5" ht="18" customHeight="1">
      <c r="A107" s="172" t="s">
        <v>204</v>
      </c>
      <c r="B107" s="200">
        <f>B108+B110+B109</f>
        <v>6803686.459999999</v>
      </c>
      <c r="C107" s="200">
        <f>C108+C110+C109</f>
        <v>0</v>
      </c>
      <c r="D107" s="198">
        <f>IF(B107=0,"   ",C107/B107)</f>
        <v>0</v>
      </c>
      <c r="E107" s="199">
        <f>C107-B107</f>
        <v>-6803686.459999999</v>
      </c>
    </row>
    <row r="108" spans="1:5" ht="15">
      <c r="A108" s="172" t="s">
        <v>202</v>
      </c>
      <c r="B108" s="200">
        <v>6737629.6</v>
      </c>
      <c r="C108" s="200">
        <v>0</v>
      </c>
      <c r="D108" s="198">
        <f>IF(B108=0,"   ",C108/B108)</f>
        <v>0</v>
      </c>
      <c r="E108" s="199">
        <f>C108-B108</f>
        <v>-6737629.6</v>
      </c>
    </row>
    <row r="109" spans="1:5" ht="15">
      <c r="A109" s="172" t="s">
        <v>203</v>
      </c>
      <c r="B109" s="200">
        <v>59209.47</v>
      </c>
      <c r="C109" s="200">
        <v>0</v>
      </c>
      <c r="D109" s="198">
        <f>IF(B109=0,"   ",C109/B109)</f>
        <v>0</v>
      </c>
      <c r="E109" s="199">
        <f>C109-B109</f>
        <v>-59209.47</v>
      </c>
    </row>
    <row r="110" spans="1:5" ht="15">
      <c r="A110" s="113" t="s">
        <v>219</v>
      </c>
      <c r="B110" s="200">
        <v>6847.39</v>
      </c>
      <c r="C110" s="200">
        <v>0</v>
      </c>
      <c r="D110" s="198">
        <f>IF(B110=0,"   ",C110/B110)</f>
        <v>0</v>
      </c>
      <c r="E110" s="199">
        <f>C110-B110</f>
        <v>-6847.39</v>
      </c>
    </row>
    <row r="111" spans="1:5" ht="15">
      <c r="A111" s="113" t="s">
        <v>220</v>
      </c>
      <c r="B111" s="200">
        <v>2000</v>
      </c>
      <c r="C111" s="200">
        <v>1282.88</v>
      </c>
      <c r="D111" s="198">
        <f>IF(B111=0,"   ",C111/B111)</f>
        <v>0.64144</v>
      </c>
      <c r="E111" s="199">
        <f>C111-B111</f>
        <v>-717.1199999999999</v>
      </c>
    </row>
    <row r="112" spans="1:5" ht="15" customHeight="1">
      <c r="A112" s="175" t="s">
        <v>17</v>
      </c>
      <c r="B112" s="176">
        <v>50000</v>
      </c>
      <c r="C112" s="176">
        <v>0</v>
      </c>
      <c r="D112" s="177">
        <f t="shared" si="2"/>
        <v>0</v>
      </c>
      <c r="E112" s="178">
        <f t="shared" si="1"/>
        <v>-50000</v>
      </c>
    </row>
    <row r="113" spans="1:5" ht="18.75" customHeight="1">
      <c r="A113" s="179" t="s">
        <v>41</v>
      </c>
      <c r="B113" s="180">
        <f>B114</f>
        <v>7328700</v>
      </c>
      <c r="C113" s="180">
        <f>C114</f>
        <v>1433983.8</v>
      </c>
      <c r="D113" s="177">
        <f t="shared" si="2"/>
        <v>19.566687134143844</v>
      </c>
      <c r="E113" s="178">
        <f t="shared" si="1"/>
        <v>-5894716.2</v>
      </c>
    </row>
    <row r="114" spans="1:5" ht="15.75" customHeight="1">
      <c r="A114" s="179" t="s">
        <v>42</v>
      </c>
      <c r="B114" s="95">
        <f>B115+B116+B117+B119+B118</f>
        <v>7328700</v>
      </c>
      <c r="C114" s="95">
        <f>C115+C116+C117+C119+C118</f>
        <v>1433983.8</v>
      </c>
      <c r="D114" s="177">
        <f t="shared" si="2"/>
        <v>19.566687134143844</v>
      </c>
      <c r="E114" s="178">
        <f t="shared" si="1"/>
        <v>-5894716.2</v>
      </c>
    </row>
    <row r="115" spans="1:5" ht="19.5" customHeight="1">
      <c r="A115" s="179" t="s">
        <v>149</v>
      </c>
      <c r="B115" s="176">
        <v>3916900</v>
      </c>
      <c r="C115" s="181">
        <v>875200</v>
      </c>
      <c r="D115" s="177">
        <f t="shared" si="2"/>
        <v>22.344200771017896</v>
      </c>
      <c r="E115" s="178">
        <f t="shared" si="1"/>
        <v>-3041700</v>
      </c>
    </row>
    <row r="116" spans="1:5" ht="16.5" customHeight="1">
      <c r="A116" s="16" t="s">
        <v>221</v>
      </c>
      <c r="B116" s="176">
        <v>1238800</v>
      </c>
      <c r="C116" s="181">
        <v>0</v>
      </c>
      <c r="D116" s="177">
        <f t="shared" si="2"/>
        <v>0</v>
      </c>
      <c r="E116" s="178">
        <f t="shared" si="1"/>
        <v>-1238800</v>
      </c>
    </row>
    <row r="117" spans="1:5" ht="18" customHeight="1">
      <c r="A117" s="179" t="s">
        <v>150</v>
      </c>
      <c r="B117" s="176">
        <v>1234000</v>
      </c>
      <c r="C117" s="181">
        <v>558783.8</v>
      </c>
      <c r="D117" s="177">
        <f t="shared" si="2"/>
        <v>45.28231766612642</v>
      </c>
      <c r="E117" s="178">
        <f t="shared" si="1"/>
        <v>-675216.2</v>
      </c>
    </row>
    <row r="118" spans="1:5" ht="18" customHeight="1">
      <c r="A118" s="16" t="s">
        <v>294</v>
      </c>
      <c r="B118" s="176">
        <v>939000</v>
      </c>
      <c r="C118" s="181">
        <v>0</v>
      </c>
      <c r="D118" s="177">
        <f t="shared" si="2"/>
        <v>0</v>
      </c>
      <c r="E118" s="178">
        <f t="shared" si="1"/>
        <v>-939000</v>
      </c>
    </row>
    <row r="119" spans="1:5" ht="18" customHeight="1">
      <c r="A119" s="179" t="s">
        <v>210</v>
      </c>
      <c r="B119" s="176">
        <v>0</v>
      </c>
      <c r="C119" s="181">
        <v>0</v>
      </c>
      <c r="D119" s="177" t="str">
        <f t="shared" si="2"/>
        <v>   </v>
      </c>
      <c r="E119" s="178">
        <f t="shared" si="1"/>
        <v>0</v>
      </c>
    </row>
    <row r="120" spans="1:5" ht="12.75">
      <c r="A120" s="179" t="s">
        <v>125</v>
      </c>
      <c r="B120" s="176">
        <f>SUM(B121,)</f>
        <v>105000</v>
      </c>
      <c r="C120" s="176">
        <f>SUM(C121,)</f>
        <v>2000</v>
      </c>
      <c r="D120" s="177">
        <f t="shared" si="2"/>
        <v>1.9047619047619049</v>
      </c>
      <c r="E120" s="178">
        <f t="shared" si="1"/>
        <v>-103000</v>
      </c>
    </row>
    <row r="121" spans="1:5" ht="14.25" customHeight="1">
      <c r="A121" s="179" t="s">
        <v>43</v>
      </c>
      <c r="B121" s="176">
        <v>105000</v>
      </c>
      <c r="C121" s="182">
        <v>2000</v>
      </c>
      <c r="D121" s="177">
        <f t="shared" si="2"/>
        <v>1.9047619047619049</v>
      </c>
      <c r="E121" s="178">
        <f t="shared" si="1"/>
        <v>-103000</v>
      </c>
    </row>
    <row r="122" spans="1:5" ht="19.5" customHeight="1">
      <c r="A122" s="179" t="s">
        <v>151</v>
      </c>
      <c r="B122" s="233">
        <f>SUM(B123:B123)</f>
        <v>0</v>
      </c>
      <c r="C122" s="233">
        <f>SUM(C123:C123)</f>
        <v>0</v>
      </c>
      <c r="D122" s="163" t="str">
        <f t="shared" si="2"/>
        <v>   </v>
      </c>
      <c r="E122" s="164">
        <f t="shared" si="1"/>
        <v>0</v>
      </c>
    </row>
    <row r="123" spans="1:5" ht="19.5" customHeight="1">
      <c r="A123" s="165" t="s">
        <v>152</v>
      </c>
      <c r="B123" s="233">
        <v>0</v>
      </c>
      <c r="C123" s="162">
        <v>0</v>
      </c>
      <c r="D123" s="163" t="str">
        <f t="shared" si="2"/>
        <v>   </v>
      </c>
      <c r="E123" s="164">
        <f t="shared" si="1"/>
        <v>0</v>
      </c>
    </row>
    <row r="124" spans="1:5" ht="20.25" customHeight="1">
      <c r="A124" s="166" t="s">
        <v>15</v>
      </c>
      <c r="B124" s="159">
        <f>B51+B60+B62+B67+B88+B112+B113+B120+B122</f>
        <v>34624616.46</v>
      </c>
      <c r="C124" s="159">
        <f>C51+C60+C62+C67+C88+C112+C113+C120+C122</f>
        <v>9448419.16</v>
      </c>
      <c r="D124" s="149">
        <f t="shared" si="2"/>
        <v>27.288155439686278</v>
      </c>
      <c r="E124" s="150">
        <f t="shared" si="1"/>
        <v>-25176197.3</v>
      </c>
    </row>
    <row r="125" spans="1:5" s="66" customFormat="1" ht="23.25" customHeight="1">
      <c r="A125" s="88" t="s">
        <v>262</v>
      </c>
      <c r="B125" s="88"/>
      <c r="C125" s="287"/>
      <c r="D125" s="287"/>
      <c r="E125" s="287"/>
    </row>
    <row r="126" spans="1:5" s="66" customFormat="1" ht="12" customHeight="1">
      <c r="A126" s="88" t="s">
        <v>163</v>
      </c>
      <c r="B126" s="88"/>
      <c r="C126" s="89" t="s">
        <v>268</v>
      </c>
      <c r="D126" s="90"/>
      <c r="E126" s="91"/>
    </row>
    <row r="127" spans="1:5" ht="12.75">
      <c r="A127" s="7"/>
      <c r="B127" s="7"/>
      <c r="C127" s="6"/>
      <c r="D127" s="7"/>
      <c r="E127" s="2"/>
    </row>
    <row r="128" spans="1:5" ht="12.75">
      <c r="A128" s="7"/>
      <c r="B128" s="7"/>
      <c r="C128" s="6"/>
      <c r="D128" s="7"/>
      <c r="E128" s="2"/>
    </row>
    <row r="129" spans="1:5" ht="12.75">
      <c r="A129" s="7"/>
      <c r="B129" s="7"/>
      <c r="C129" s="6"/>
      <c r="D129" s="7"/>
      <c r="E129" s="2"/>
    </row>
    <row r="130" spans="1:5" ht="12.75">
      <c r="A130" s="7"/>
      <c r="B130" s="7"/>
      <c r="C130" s="6"/>
      <c r="D130" s="7"/>
      <c r="E130" s="2"/>
    </row>
  </sheetData>
  <sheetProtection/>
  <mergeCells count="2">
    <mergeCell ref="A1:E1"/>
    <mergeCell ref="C125:E125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1"/>
  <sheetViews>
    <sheetView zoomScalePageLayoutView="0" workbookViewId="0" topLeftCell="A44">
      <selection activeCell="C84" sqref="C84"/>
    </sheetView>
  </sheetViews>
  <sheetFormatPr defaultColWidth="9.00390625" defaultRowHeight="12.75"/>
  <cols>
    <col min="1" max="1" width="108.625" style="0" customWidth="1"/>
    <col min="2" max="2" width="17.00390625" style="0" customWidth="1"/>
    <col min="3" max="3" width="17.75390625" style="0" customWidth="1"/>
    <col min="4" max="4" width="18.125" style="0" customWidth="1"/>
    <col min="5" max="5" width="15.875" style="0" customWidth="1"/>
  </cols>
  <sheetData>
    <row r="1" spans="1:5" ht="18">
      <c r="A1" s="289" t="s">
        <v>306</v>
      </c>
      <c r="B1" s="289"/>
      <c r="C1" s="289"/>
      <c r="D1" s="289"/>
      <c r="E1" s="28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279</v>
      </c>
      <c r="C4" s="32" t="s">
        <v>307</v>
      </c>
      <c r="D4" s="19" t="s">
        <v>283</v>
      </c>
      <c r="E4" s="36" t="s">
        <v>281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57">
        <f>SUM(B8)</f>
        <v>30000</v>
      </c>
      <c r="C7" s="157">
        <f>SUM(C8)</f>
        <v>12857.58</v>
      </c>
      <c r="D7" s="26">
        <f aca="true" t="shared" si="0" ref="D7:D86">IF(B7=0,"   ",C7/B7*100)</f>
        <v>42.8586</v>
      </c>
      <c r="E7" s="42">
        <f aca="true" t="shared" si="1" ref="E7:E87">C7-B7</f>
        <v>-17142.42</v>
      </c>
    </row>
    <row r="8" spans="1:5" ht="12.75">
      <c r="A8" s="16" t="s">
        <v>44</v>
      </c>
      <c r="B8" s="92">
        <v>30000</v>
      </c>
      <c r="C8" s="277">
        <v>12857.58</v>
      </c>
      <c r="D8" s="26">
        <f t="shared" si="0"/>
        <v>42.8586</v>
      </c>
      <c r="E8" s="42">
        <f t="shared" si="1"/>
        <v>-17142.42</v>
      </c>
    </row>
    <row r="9" spans="1:5" ht="15" customHeight="1">
      <c r="A9" s="71" t="s">
        <v>142</v>
      </c>
      <c r="B9" s="234">
        <f>SUM(B10)</f>
        <v>571900</v>
      </c>
      <c r="C9" s="234">
        <f>SUM(C10)</f>
        <v>317695.7</v>
      </c>
      <c r="D9" s="26">
        <f t="shared" si="0"/>
        <v>55.55091799265605</v>
      </c>
      <c r="E9" s="42">
        <f t="shared" si="1"/>
        <v>-254204.3</v>
      </c>
    </row>
    <row r="10" spans="1:5" ht="12.75">
      <c r="A10" s="41" t="s">
        <v>143</v>
      </c>
      <c r="B10" s="235">
        <v>571900</v>
      </c>
      <c r="C10" s="277">
        <v>317695.7</v>
      </c>
      <c r="D10" s="26">
        <f t="shared" si="0"/>
        <v>55.55091799265605</v>
      </c>
      <c r="E10" s="42">
        <f t="shared" si="1"/>
        <v>-254204.3</v>
      </c>
    </row>
    <row r="11" spans="1:5" ht="18.75" customHeight="1">
      <c r="A11" s="16" t="s">
        <v>7</v>
      </c>
      <c r="B11" s="235">
        <f>SUM(B12:B12)</f>
        <v>0</v>
      </c>
      <c r="C11" s="235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2.75">
      <c r="A12" s="16" t="s">
        <v>26</v>
      </c>
      <c r="B12" s="235">
        <v>0</v>
      </c>
      <c r="C12" s="236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5">
        <f>SUM(B14:B15)</f>
        <v>291000</v>
      </c>
      <c r="C13" s="235">
        <f>SUM(C14:C15)</f>
        <v>22996.93</v>
      </c>
      <c r="D13" s="26">
        <f t="shared" si="0"/>
        <v>7.902725085910653</v>
      </c>
      <c r="E13" s="42">
        <f t="shared" si="1"/>
        <v>-268003.07</v>
      </c>
    </row>
    <row r="14" spans="1:5" ht="12.75">
      <c r="A14" s="16" t="s">
        <v>27</v>
      </c>
      <c r="B14" s="235">
        <v>86000</v>
      </c>
      <c r="C14" s="277">
        <v>6019.29</v>
      </c>
      <c r="D14" s="26">
        <f t="shared" si="0"/>
        <v>6.9991744186046505</v>
      </c>
      <c r="E14" s="42">
        <f t="shared" si="1"/>
        <v>-79980.71</v>
      </c>
    </row>
    <row r="15" spans="1:5" ht="12.75">
      <c r="A15" s="41" t="s">
        <v>171</v>
      </c>
      <c r="B15" s="235">
        <f>SUM(B16:B17)</f>
        <v>205000</v>
      </c>
      <c r="C15" s="235">
        <f>SUM(C16:C17)</f>
        <v>16977.64</v>
      </c>
      <c r="D15" s="26">
        <f t="shared" si="0"/>
        <v>8.281775609756098</v>
      </c>
      <c r="E15" s="42">
        <f t="shared" si="1"/>
        <v>-188022.36</v>
      </c>
    </row>
    <row r="16" spans="1:5" ht="12.75">
      <c r="A16" s="41" t="s">
        <v>172</v>
      </c>
      <c r="B16" s="235">
        <v>11000</v>
      </c>
      <c r="C16" s="277">
        <v>5127</v>
      </c>
      <c r="D16" s="26">
        <f t="shared" si="0"/>
        <v>46.60909090909091</v>
      </c>
      <c r="E16" s="42">
        <f t="shared" si="1"/>
        <v>-5873</v>
      </c>
    </row>
    <row r="17" spans="1:5" ht="12.75">
      <c r="A17" s="41" t="s">
        <v>173</v>
      </c>
      <c r="B17" s="235">
        <v>194000</v>
      </c>
      <c r="C17" s="277">
        <v>11850.64</v>
      </c>
      <c r="D17" s="26">
        <f t="shared" si="0"/>
        <v>6.108577319587629</v>
      </c>
      <c r="E17" s="42">
        <f t="shared" si="1"/>
        <v>-182149.36</v>
      </c>
    </row>
    <row r="18" spans="1:5" ht="12.75">
      <c r="A18" s="41" t="s">
        <v>225</v>
      </c>
      <c r="B18" s="235">
        <v>0</v>
      </c>
      <c r="C18" s="277">
        <v>400</v>
      </c>
      <c r="D18" s="26" t="str">
        <f t="shared" si="0"/>
        <v>   </v>
      </c>
      <c r="E18" s="42">
        <f t="shared" si="1"/>
        <v>400</v>
      </c>
    </row>
    <row r="19" spans="1:5" ht="13.5" customHeight="1">
      <c r="A19" s="16" t="s">
        <v>89</v>
      </c>
      <c r="B19" s="235">
        <v>0</v>
      </c>
      <c r="C19" s="277">
        <v>51045.05</v>
      </c>
      <c r="D19" s="26" t="str">
        <f t="shared" si="0"/>
        <v>   </v>
      </c>
      <c r="E19" s="42">
        <f t="shared" si="1"/>
        <v>51045.05</v>
      </c>
    </row>
    <row r="20" spans="1:5" ht="24" customHeight="1">
      <c r="A20" s="16" t="s">
        <v>28</v>
      </c>
      <c r="B20" s="235">
        <f>SUM(B21:B22)</f>
        <v>96000</v>
      </c>
      <c r="C20" s="234">
        <f>SUM(C21:C22)</f>
        <v>10017.58</v>
      </c>
      <c r="D20" s="26">
        <f t="shared" si="0"/>
        <v>10.434979166666666</v>
      </c>
      <c r="E20" s="42">
        <f t="shared" si="1"/>
        <v>-85982.42</v>
      </c>
    </row>
    <row r="21" spans="1:5" ht="12.75">
      <c r="A21" s="41" t="s">
        <v>161</v>
      </c>
      <c r="B21" s="235">
        <v>74000</v>
      </c>
      <c r="C21" s="236">
        <v>10017.58</v>
      </c>
      <c r="D21" s="26">
        <f t="shared" si="0"/>
        <v>13.537270270270271</v>
      </c>
      <c r="E21" s="42">
        <f t="shared" si="1"/>
        <v>-63982.42</v>
      </c>
    </row>
    <row r="22" spans="1:5" ht="15" customHeight="1">
      <c r="A22" s="16" t="s">
        <v>30</v>
      </c>
      <c r="B22" s="235">
        <v>22000</v>
      </c>
      <c r="C22" s="236">
        <v>0</v>
      </c>
      <c r="D22" s="26">
        <f t="shared" si="0"/>
        <v>0</v>
      </c>
      <c r="E22" s="42">
        <f t="shared" si="1"/>
        <v>-22000</v>
      </c>
    </row>
    <row r="23" spans="1:5" ht="20.25" customHeight="1">
      <c r="A23" s="16" t="s">
        <v>83</v>
      </c>
      <c r="B23" s="235">
        <v>0</v>
      </c>
      <c r="C23" s="236">
        <v>0</v>
      </c>
      <c r="D23" s="26" t="str">
        <f t="shared" si="0"/>
        <v>   </v>
      </c>
      <c r="E23" s="42">
        <f t="shared" si="1"/>
        <v>0</v>
      </c>
    </row>
    <row r="24" spans="1:5" ht="17.25" customHeight="1">
      <c r="A24" s="16" t="s">
        <v>76</v>
      </c>
      <c r="B24" s="234">
        <f>B25</f>
        <v>0</v>
      </c>
      <c r="C24" s="234">
        <f>C25</f>
        <v>0</v>
      </c>
      <c r="D24" s="26" t="str">
        <f t="shared" si="0"/>
        <v>   </v>
      </c>
      <c r="E24" s="42">
        <f t="shared" si="1"/>
        <v>0</v>
      </c>
    </row>
    <row r="25" spans="1:5" ht="27.75" customHeight="1">
      <c r="A25" s="16" t="s">
        <v>77</v>
      </c>
      <c r="B25" s="235">
        <v>0</v>
      </c>
      <c r="C25" s="236">
        <v>0</v>
      </c>
      <c r="D25" s="26" t="str">
        <f t="shared" si="0"/>
        <v>   </v>
      </c>
      <c r="E25" s="42">
        <f t="shared" si="1"/>
        <v>0</v>
      </c>
    </row>
    <row r="26" spans="1:5" ht="17.25" customHeight="1">
      <c r="A26" s="16" t="s">
        <v>32</v>
      </c>
      <c r="B26" s="235">
        <f>B27+B28</f>
        <v>0</v>
      </c>
      <c r="C26" s="235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2.75">
      <c r="A27" s="16" t="s">
        <v>46</v>
      </c>
      <c r="B27" s="235">
        <v>0</v>
      </c>
      <c r="C27" s="235">
        <v>-17.58</v>
      </c>
      <c r="D27" s="26" t="str">
        <f t="shared" si="0"/>
        <v>   </v>
      </c>
      <c r="E27" s="42"/>
    </row>
    <row r="28" spans="1:5" ht="12.75">
      <c r="A28" s="16" t="s">
        <v>50</v>
      </c>
      <c r="B28" s="23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31</v>
      </c>
      <c r="B29" s="235">
        <v>0</v>
      </c>
      <c r="C29" s="235">
        <v>0</v>
      </c>
      <c r="D29" s="26" t="str">
        <f t="shared" si="0"/>
        <v>   </v>
      </c>
      <c r="E29" s="42">
        <f t="shared" si="1"/>
        <v>0</v>
      </c>
    </row>
    <row r="30" spans="1:5" ht="16.5" customHeight="1">
      <c r="A30" s="183" t="s">
        <v>10</v>
      </c>
      <c r="B30" s="159">
        <f>SUM(B7,B9,B11,B13,B20,B23,B24,B26,B29,B19,B18)</f>
        <v>988900</v>
      </c>
      <c r="C30" s="159">
        <f>SUM(C7,C9,C11,C13,C20,C23,C24,C26,C29,C19,C18)</f>
        <v>414995.26</v>
      </c>
      <c r="D30" s="26">
        <f t="shared" si="0"/>
        <v>41.96534128830013</v>
      </c>
      <c r="E30" s="42">
        <f t="shared" si="1"/>
        <v>-573904.74</v>
      </c>
    </row>
    <row r="31" spans="1:5" ht="13.5" customHeight="1">
      <c r="A31" s="191" t="s">
        <v>145</v>
      </c>
      <c r="B31" s="201">
        <f>SUM(B32:B35,B38:B41,B44)</f>
        <v>3245960</v>
      </c>
      <c r="C31" s="201">
        <f>SUM(C32:C35,C38:C41,C44)</f>
        <v>1224430.6</v>
      </c>
      <c r="D31" s="149">
        <f t="shared" si="0"/>
        <v>37.72167864052546</v>
      </c>
      <c r="E31" s="150">
        <f t="shared" si="1"/>
        <v>-2021529.4</v>
      </c>
    </row>
    <row r="32" spans="1:5" ht="19.5" customHeight="1">
      <c r="A32" s="17" t="s">
        <v>34</v>
      </c>
      <c r="B32" s="169">
        <v>1468600</v>
      </c>
      <c r="C32" s="277">
        <v>734400</v>
      </c>
      <c r="D32" s="26">
        <f t="shared" si="0"/>
        <v>50.006809206046576</v>
      </c>
      <c r="E32" s="42">
        <f t="shared" si="1"/>
        <v>-734200</v>
      </c>
    </row>
    <row r="33" spans="1:5" ht="19.5" customHeight="1">
      <c r="A33" s="17" t="s">
        <v>270</v>
      </c>
      <c r="B33" s="169">
        <v>8300</v>
      </c>
      <c r="C33" s="277">
        <v>8300</v>
      </c>
      <c r="D33" s="26"/>
      <c r="E33" s="42"/>
    </row>
    <row r="34" spans="1:5" ht="30.75" customHeight="1">
      <c r="A34" s="142" t="s">
        <v>51</v>
      </c>
      <c r="B34" s="143">
        <v>90000</v>
      </c>
      <c r="C34" s="277">
        <v>48144</v>
      </c>
      <c r="D34" s="144">
        <f t="shared" si="0"/>
        <v>53.49333333333334</v>
      </c>
      <c r="E34" s="145">
        <f t="shared" si="1"/>
        <v>-41856</v>
      </c>
    </row>
    <row r="35" spans="1:5" ht="24.75" customHeight="1">
      <c r="A35" s="117" t="s">
        <v>155</v>
      </c>
      <c r="B35" s="143">
        <f>SUM(B36:B37)</f>
        <v>200</v>
      </c>
      <c r="C35" s="143">
        <f>SUM(C36:C37)</f>
        <v>200</v>
      </c>
      <c r="D35" s="144">
        <f t="shared" si="0"/>
        <v>100</v>
      </c>
      <c r="E35" s="145">
        <f t="shared" si="1"/>
        <v>0</v>
      </c>
    </row>
    <row r="36" spans="1:5" ht="16.5" customHeight="1">
      <c r="A36" s="117" t="s">
        <v>174</v>
      </c>
      <c r="B36" s="143">
        <v>200</v>
      </c>
      <c r="C36" s="146">
        <v>200</v>
      </c>
      <c r="D36" s="144">
        <f t="shared" si="0"/>
        <v>100</v>
      </c>
      <c r="E36" s="145">
        <f t="shared" si="1"/>
        <v>0</v>
      </c>
    </row>
    <row r="37" spans="1:5" ht="25.5" customHeight="1">
      <c r="A37" s="117" t="s">
        <v>175</v>
      </c>
      <c r="B37" s="143">
        <v>0</v>
      </c>
      <c r="C37" s="146">
        <v>0</v>
      </c>
      <c r="D37" s="144" t="str">
        <f t="shared" si="0"/>
        <v>   </v>
      </c>
      <c r="E37" s="145">
        <f t="shared" si="1"/>
        <v>0</v>
      </c>
    </row>
    <row r="38" spans="1:5" ht="40.5" customHeight="1">
      <c r="A38" s="151" t="s">
        <v>137</v>
      </c>
      <c r="B38" s="143">
        <v>0</v>
      </c>
      <c r="C38" s="143">
        <v>0</v>
      </c>
      <c r="D38" s="144" t="str">
        <f t="shared" si="0"/>
        <v>   </v>
      </c>
      <c r="E38" s="145">
        <f t="shared" si="1"/>
        <v>0</v>
      </c>
    </row>
    <row r="39" spans="1:5" ht="14.25" customHeight="1">
      <c r="A39" s="151" t="s">
        <v>182</v>
      </c>
      <c r="B39" s="143">
        <v>0</v>
      </c>
      <c r="C39" s="143">
        <v>0</v>
      </c>
      <c r="D39" s="144" t="str">
        <f t="shared" si="0"/>
        <v>   </v>
      </c>
      <c r="E39" s="145">
        <f t="shared" si="1"/>
        <v>0</v>
      </c>
    </row>
    <row r="40" spans="1:5" ht="61.5" customHeight="1">
      <c r="A40" s="16" t="s">
        <v>291</v>
      </c>
      <c r="B40" s="143">
        <v>1394100</v>
      </c>
      <c r="C40" s="143">
        <v>167667</v>
      </c>
      <c r="D40" s="144">
        <f t="shared" si="0"/>
        <v>12.026899074671832</v>
      </c>
      <c r="E40" s="145">
        <f t="shared" si="1"/>
        <v>-1226433</v>
      </c>
    </row>
    <row r="41" spans="1:5" ht="15.75" customHeight="1">
      <c r="A41" s="16" t="s">
        <v>55</v>
      </c>
      <c r="B41" s="176">
        <f>B43+B42</f>
        <v>224800</v>
      </c>
      <c r="C41" s="176">
        <f>C43+C42</f>
        <v>209778.6</v>
      </c>
      <c r="D41" s="26">
        <f t="shared" si="0"/>
        <v>93.31788256227759</v>
      </c>
      <c r="E41" s="42">
        <f t="shared" si="1"/>
        <v>-15021.399999999994</v>
      </c>
    </row>
    <row r="42" spans="1:5" ht="15" customHeight="1">
      <c r="A42" s="53" t="s">
        <v>212</v>
      </c>
      <c r="B42" s="176">
        <v>224800</v>
      </c>
      <c r="C42" s="176">
        <v>209778.6</v>
      </c>
      <c r="D42" s="26">
        <f>IF(B42=0,"   ",C42/B42*100)</f>
        <v>93.31788256227759</v>
      </c>
      <c r="E42" s="42">
        <f>C42-B42</f>
        <v>-15021.399999999994</v>
      </c>
    </row>
    <row r="43" spans="1:5" s="7" customFormat="1" ht="16.5" customHeight="1">
      <c r="A43" s="16" t="s">
        <v>110</v>
      </c>
      <c r="B43" s="176">
        <v>0</v>
      </c>
      <c r="C43" s="176">
        <v>0</v>
      </c>
      <c r="D43" s="54" t="str">
        <f t="shared" si="0"/>
        <v>   </v>
      </c>
      <c r="E43" s="40">
        <f t="shared" si="1"/>
        <v>0</v>
      </c>
    </row>
    <row r="44" spans="1:5" s="7" customFormat="1" ht="16.5" customHeight="1">
      <c r="A44" s="16" t="s">
        <v>228</v>
      </c>
      <c r="B44" s="176">
        <v>59960</v>
      </c>
      <c r="C44" s="176">
        <v>55941</v>
      </c>
      <c r="D44" s="54">
        <f>IF(B44=0,"   ",C44/B44*100)</f>
        <v>93.29719813208806</v>
      </c>
      <c r="E44" s="40">
        <f>C44-B44</f>
        <v>-4019</v>
      </c>
    </row>
    <row r="45" spans="1:5" ht="20.25" customHeight="1">
      <c r="A45" s="183" t="s">
        <v>11</v>
      </c>
      <c r="B45" s="159">
        <f>SUM(B30,B31,)</f>
        <v>4234860</v>
      </c>
      <c r="C45" s="159">
        <f>SUM(C30,C31,)</f>
        <v>1639425.86</v>
      </c>
      <c r="D45" s="149">
        <f t="shared" si="0"/>
        <v>38.71263418389274</v>
      </c>
      <c r="E45" s="150">
        <f t="shared" si="1"/>
        <v>-2595434.1399999997</v>
      </c>
    </row>
    <row r="46" spans="1:5" ht="22.5" customHeight="1">
      <c r="A46" s="22" t="s">
        <v>12</v>
      </c>
      <c r="B46" s="44"/>
      <c r="C46" s="45"/>
      <c r="D46" s="26" t="str">
        <f t="shared" si="0"/>
        <v>   </v>
      </c>
      <c r="E46" s="42">
        <f t="shared" si="1"/>
        <v>0</v>
      </c>
    </row>
    <row r="47" spans="1:5" ht="21" customHeight="1">
      <c r="A47" s="16" t="s">
        <v>35</v>
      </c>
      <c r="B47" s="25">
        <f>SUM(B48,B50,B51)</f>
        <v>1092900</v>
      </c>
      <c r="C47" s="25">
        <f>SUM(C48,C50,C51)</f>
        <v>433444.53</v>
      </c>
      <c r="D47" s="26">
        <f t="shared" si="0"/>
        <v>39.660035684875105</v>
      </c>
      <c r="E47" s="42">
        <f t="shared" si="1"/>
        <v>-659455.47</v>
      </c>
    </row>
    <row r="48" spans="1:5" ht="14.25" customHeight="1">
      <c r="A48" s="16" t="s">
        <v>36</v>
      </c>
      <c r="B48" s="25">
        <v>1092400</v>
      </c>
      <c r="C48" s="25">
        <v>433444.53</v>
      </c>
      <c r="D48" s="26">
        <f t="shared" si="0"/>
        <v>39.67818839253021</v>
      </c>
      <c r="E48" s="42">
        <f t="shared" si="1"/>
        <v>-658955.47</v>
      </c>
    </row>
    <row r="49" spans="1:5" ht="12.75">
      <c r="A49" s="93" t="s">
        <v>122</v>
      </c>
      <c r="B49" s="25">
        <v>732335</v>
      </c>
      <c r="C49" s="28">
        <v>313788.56</v>
      </c>
      <c r="D49" s="26">
        <f t="shared" si="0"/>
        <v>42.84768036486034</v>
      </c>
      <c r="E49" s="42">
        <f t="shared" si="1"/>
        <v>-418546.44</v>
      </c>
    </row>
    <row r="50" spans="1:5" ht="12.75">
      <c r="A50" s="16" t="s">
        <v>96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5">
        <f>B52</f>
        <v>0</v>
      </c>
      <c r="C51" s="25">
        <f>C52</f>
        <v>0</v>
      </c>
      <c r="D51" s="26" t="str">
        <f t="shared" si="0"/>
        <v>   </v>
      </c>
      <c r="E51" s="42">
        <f t="shared" si="1"/>
        <v>0</v>
      </c>
    </row>
    <row r="52" spans="1:5" ht="25.5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90000</v>
      </c>
      <c r="C53" s="27">
        <f>SUM(C54)</f>
        <v>38716.4</v>
      </c>
      <c r="D53" s="26">
        <f t="shared" si="0"/>
        <v>43.01822222222222</v>
      </c>
      <c r="E53" s="42">
        <f t="shared" si="1"/>
        <v>-51283.6</v>
      </c>
    </row>
    <row r="54" spans="1:5" ht="15.75" customHeight="1">
      <c r="A54" s="16" t="s">
        <v>108</v>
      </c>
      <c r="B54" s="25">
        <v>90000</v>
      </c>
      <c r="C54" s="27">
        <v>38716.4</v>
      </c>
      <c r="D54" s="26">
        <f t="shared" si="0"/>
        <v>43.01822222222222</v>
      </c>
      <c r="E54" s="42">
        <f t="shared" si="1"/>
        <v>-51283.6</v>
      </c>
    </row>
    <row r="55" spans="1:5" ht="21" customHeight="1">
      <c r="A55" s="16" t="s">
        <v>37</v>
      </c>
      <c r="B55" s="25">
        <f>SUM(B56)</f>
        <v>1000</v>
      </c>
      <c r="C55" s="27">
        <f>SUM(C56)</f>
        <v>800</v>
      </c>
      <c r="D55" s="26">
        <f t="shared" si="0"/>
        <v>80</v>
      </c>
      <c r="E55" s="42">
        <f t="shared" si="1"/>
        <v>-200</v>
      </c>
    </row>
    <row r="56" spans="1:5" ht="15" customHeight="1">
      <c r="A56" s="83" t="s">
        <v>130</v>
      </c>
      <c r="B56" s="25">
        <v>1000</v>
      </c>
      <c r="C56" s="27">
        <v>800</v>
      </c>
      <c r="D56" s="26">
        <f t="shared" si="0"/>
        <v>80</v>
      </c>
      <c r="E56" s="42">
        <f t="shared" si="1"/>
        <v>-200</v>
      </c>
    </row>
    <row r="57" spans="1:5" ht="19.5" customHeight="1">
      <c r="A57" s="16" t="s">
        <v>38</v>
      </c>
      <c r="B57" s="25">
        <f>SUM(B61+B58+B66)</f>
        <v>1966000</v>
      </c>
      <c r="C57" s="25">
        <f>SUM(C61+C58+C66)</f>
        <v>268657</v>
      </c>
      <c r="D57" s="26">
        <f t="shared" si="0"/>
        <v>13.665157680569685</v>
      </c>
      <c r="E57" s="42">
        <f t="shared" si="1"/>
        <v>-1697343</v>
      </c>
    </row>
    <row r="58" spans="1:5" ht="15" customHeight="1">
      <c r="A58" s="83" t="s">
        <v>176</v>
      </c>
      <c r="B58" s="25">
        <f>SUM(B59+B60)</f>
        <v>0</v>
      </c>
      <c r="C58" s="25">
        <f>SUM(C59+C60)</f>
        <v>0</v>
      </c>
      <c r="D58" s="26" t="str">
        <f>IF(B58=0,"   ",C58/B58*100)</f>
        <v>   </v>
      </c>
      <c r="E58" s="42">
        <f>C58-B58</f>
        <v>0</v>
      </c>
    </row>
    <row r="59" spans="1:5" ht="15.75" customHeight="1">
      <c r="A59" s="83" t="s">
        <v>177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9.5" customHeight="1">
      <c r="A60" s="83" t="s">
        <v>181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2.75" customHeight="1">
      <c r="A61" s="104" t="s">
        <v>134</v>
      </c>
      <c r="B61" s="25">
        <f>B62+B64+B65+B63</f>
        <v>1966000</v>
      </c>
      <c r="C61" s="25">
        <f>C62+C64+C65+C63</f>
        <v>268657</v>
      </c>
      <c r="D61" s="26">
        <f t="shared" si="0"/>
        <v>13.665157680569685</v>
      </c>
      <c r="E61" s="42">
        <f t="shared" si="1"/>
        <v>-1697343</v>
      </c>
    </row>
    <row r="62" spans="1:5" ht="12" customHeight="1">
      <c r="A62" s="83" t="s">
        <v>146</v>
      </c>
      <c r="B62" s="25">
        <v>0</v>
      </c>
      <c r="C62" s="25">
        <v>0</v>
      </c>
      <c r="D62" s="26" t="str">
        <f t="shared" si="0"/>
        <v>   </v>
      </c>
      <c r="E62" s="145">
        <f t="shared" si="1"/>
        <v>0</v>
      </c>
    </row>
    <row r="63" spans="1:5" ht="15" customHeight="1">
      <c r="A63" s="83" t="s">
        <v>230</v>
      </c>
      <c r="B63" s="25">
        <v>0</v>
      </c>
      <c r="C63" s="25">
        <v>0</v>
      </c>
      <c r="D63" s="26" t="str">
        <f t="shared" si="0"/>
        <v>   </v>
      </c>
      <c r="E63" s="145">
        <f t="shared" si="1"/>
        <v>0</v>
      </c>
    </row>
    <row r="64" spans="1:5" ht="26.25" customHeight="1">
      <c r="A64" s="78" t="s">
        <v>135</v>
      </c>
      <c r="B64" s="25">
        <v>1394100</v>
      </c>
      <c r="C64" s="25">
        <v>167667</v>
      </c>
      <c r="D64" s="26">
        <f t="shared" si="0"/>
        <v>12.026899074671832</v>
      </c>
      <c r="E64" s="42">
        <f t="shared" si="1"/>
        <v>-1226433</v>
      </c>
    </row>
    <row r="65" spans="1:5" ht="23.25" customHeight="1">
      <c r="A65" s="78" t="s">
        <v>136</v>
      </c>
      <c r="B65" s="25">
        <v>571900</v>
      </c>
      <c r="C65" s="25">
        <v>100990</v>
      </c>
      <c r="D65" s="26">
        <f t="shared" si="0"/>
        <v>17.658681587690157</v>
      </c>
      <c r="E65" s="42">
        <f t="shared" si="1"/>
        <v>-470910</v>
      </c>
    </row>
    <row r="66" spans="1:5" ht="18.75" customHeight="1">
      <c r="A66" s="104" t="s">
        <v>199</v>
      </c>
      <c r="B66" s="25">
        <f>SUM(B67)</f>
        <v>0</v>
      </c>
      <c r="C66" s="25">
        <f>SUM(C67)</f>
        <v>0</v>
      </c>
      <c r="D66" s="26" t="str">
        <f>IF(B66=0,"   ",C66/B66*100)</f>
        <v>   </v>
      </c>
      <c r="E66" s="42">
        <f>C66-B66</f>
        <v>0</v>
      </c>
    </row>
    <row r="67" spans="1:5" ht="23.25" customHeight="1">
      <c r="A67" s="83" t="s">
        <v>200</v>
      </c>
      <c r="B67" s="25">
        <v>0</v>
      </c>
      <c r="C67" s="25">
        <v>0</v>
      </c>
      <c r="D67" s="26" t="str">
        <f>IF(B67=0,"   ",C67/B67*100)</f>
        <v>   </v>
      </c>
      <c r="E67" s="42">
        <f>C67-B67</f>
        <v>0</v>
      </c>
    </row>
    <row r="68" spans="1:5" ht="18.75" customHeight="1">
      <c r="A68" s="16" t="s">
        <v>13</v>
      </c>
      <c r="B68" s="25">
        <f>SUM(B73+B69+B71)</f>
        <v>556760</v>
      </c>
      <c r="C68" s="25">
        <f>SUM(C73+C69+C71)</f>
        <v>396569.28</v>
      </c>
      <c r="D68" s="26">
        <f t="shared" si="0"/>
        <v>71.22804799195345</v>
      </c>
      <c r="E68" s="42">
        <f t="shared" si="1"/>
        <v>-160190.71999999997</v>
      </c>
    </row>
    <row r="69" spans="1:5" ht="12.75" customHeight="1">
      <c r="A69" s="94" t="s">
        <v>14</v>
      </c>
      <c r="B69" s="25">
        <f>B70</f>
        <v>0</v>
      </c>
      <c r="C69" s="25">
        <f>C70</f>
        <v>0</v>
      </c>
      <c r="D69" s="26" t="str">
        <f>IF(B69=0,"   ",C69/B69*100)</f>
        <v>   </v>
      </c>
      <c r="E69" s="42">
        <f>C69-B69</f>
        <v>0</v>
      </c>
    </row>
    <row r="70" spans="1:5" ht="12.75" customHeight="1">
      <c r="A70" s="165" t="s">
        <v>184</v>
      </c>
      <c r="B70" s="25">
        <v>0</v>
      </c>
      <c r="C70" s="25">
        <v>0</v>
      </c>
      <c r="D70" s="26" t="str">
        <f>IF(B70=0,"   ",C70/B70*100)</f>
        <v>   </v>
      </c>
      <c r="E70" s="42">
        <f>C70-B70</f>
        <v>0</v>
      </c>
    </row>
    <row r="71" spans="1:5" ht="13.5" customHeight="1">
      <c r="A71" s="94" t="s">
        <v>64</v>
      </c>
      <c r="B71" s="25">
        <f>B72</f>
        <v>0</v>
      </c>
      <c r="C71" s="25">
        <f>C72</f>
        <v>0</v>
      </c>
      <c r="D71" s="26" t="str">
        <f>IF(B71=0,"   ",C71/B71*100)</f>
        <v>   </v>
      </c>
      <c r="E71" s="42">
        <f>C71-B71</f>
        <v>0</v>
      </c>
    </row>
    <row r="72" spans="1:5" ht="14.25" customHeight="1">
      <c r="A72" s="165" t="s">
        <v>185</v>
      </c>
      <c r="B72" s="25">
        <v>0</v>
      </c>
      <c r="C72" s="25">
        <v>0</v>
      </c>
      <c r="D72" s="26" t="str">
        <f>IF(B72=0,"   ",C72/B72*100)</f>
        <v>   </v>
      </c>
      <c r="E72" s="42">
        <f>C72-B72</f>
        <v>0</v>
      </c>
    </row>
    <row r="73" spans="1:5" ht="12.75">
      <c r="A73" s="16" t="s">
        <v>58</v>
      </c>
      <c r="B73" s="25">
        <f>B74+B76+B75+B81+B77</f>
        <v>556760</v>
      </c>
      <c r="C73" s="25">
        <f>C74+C76+C75+C81+C77</f>
        <v>396569.28</v>
      </c>
      <c r="D73" s="26">
        <f t="shared" si="0"/>
        <v>71.22804799195345</v>
      </c>
      <c r="E73" s="42">
        <f t="shared" si="1"/>
        <v>-160190.71999999997</v>
      </c>
    </row>
    <row r="74" spans="1:5" ht="12.75">
      <c r="A74" s="16" t="s">
        <v>56</v>
      </c>
      <c r="B74" s="25">
        <v>60000</v>
      </c>
      <c r="C74" s="27">
        <v>6948.28</v>
      </c>
      <c r="D74" s="26">
        <f t="shared" si="0"/>
        <v>11.580466666666666</v>
      </c>
      <c r="E74" s="42">
        <f t="shared" si="1"/>
        <v>-53051.72</v>
      </c>
    </row>
    <row r="75" spans="1:5" ht="25.5">
      <c r="A75" s="113" t="s">
        <v>178</v>
      </c>
      <c r="B75" s="25">
        <v>40000</v>
      </c>
      <c r="C75" s="27">
        <v>39990</v>
      </c>
      <c r="D75" s="26">
        <f t="shared" si="0"/>
        <v>99.97500000000001</v>
      </c>
      <c r="E75" s="42">
        <f t="shared" si="1"/>
        <v>-10</v>
      </c>
    </row>
    <row r="76" spans="1:5" ht="12.75">
      <c r="A76" s="16" t="s">
        <v>59</v>
      </c>
      <c r="B76" s="25">
        <v>82000</v>
      </c>
      <c r="C76" s="27">
        <v>0</v>
      </c>
      <c r="D76" s="26">
        <f t="shared" si="0"/>
        <v>0</v>
      </c>
      <c r="E76" s="42">
        <f t="shared" si="1"/>
        <v>-82000</v>
      </c>
    </row>
    <row r="77" spans="1:5" ht="13.5" customHeight="1">
      <c r="A77" s="113" t="s">
        <v>237</v>
      </c>
      <c r="B77" s="25">
        <f>SUM(B78:B80)</f>
        <v>374760</v>
      </c>
      <c r="C77" s="25">
        <f>SUM(C78:C80)</f>
        <v>349631.00000000006</v>
      </c>
      <c r="D77" s="26">
        <f>IF(B77=0,"   ",C77/B77*100)</f>
        <v>93.29464190415202</v>
      </c>
      <c r="E77" s="42">
        <f>C77-B77</f>
        <v>-25128.99999999994</v>
      </c>
    </row>
    <row r="78" spans="1:5" ht="25.5">
      <c r="A78" s="113" t="s">
        <v>244</v>
      </c>
      <c r="B78" s="25">
        <v>224800</v>
      </c>
      <c r="C78" s="27">
        <v>209778.6</v>
      </c>
      <c r="D78" s="26">
        <f t="shared" si="0"/>
        <v>93.31788256227759</v>
      </c>
      <c r="E78" s="42">
        <f t="shared" si="1"/>
        <v>-15021.399999999994</v>
      </c>
    </row>
    <row r="79" spans="1:5" ht="25.5">
      <c r="A79" s="113" t="s">
        <v>245</v>
      </c>
      <c r="B79" s="25">
        <v>90000</v>
      </c>
      <c r="C79" s="27">
        <v>83911.44</v>
      </c>
      <c r="D79" s="26">
        <f t="shared" si="0"/>
        <v>93.23493333333333</v>
      </c>
      <c r="E79" s="42">
        <f t="shared" si="1"/>
        <v>-6088.559999999998</v>
      </c>
    </row>
    <row r="80" spans="1:5" ht="25.5">
      <c r="A80" s="113" t="s">
        <v>246</v>
      </c>
      <c r="B80" s="25">
        <v>59960</v>
      </c>
      <c r="C80" s="27">
        <v>55940.96</v>
      </c>
      <c r="D80" s="26">
        <f t="shared" si="0"/>
        <v>93.2971314209473</v>
      </c>
      <c r="E80" s="42">
        <f t="shared" si="1"/>
        <v>-4019.040000000001</v>
      </c>
    </row>
    <row r="81" spans="1:5" ht="12.75">
      <c r="A81" s="165" t="s">
        <v>95</v>
      </c>
      <c r="B81" s="25">
        <v>0</v>
      </c>
      <c r="C81" s="27">
        <v>0</v>
      </c>
      <c r="D81" s="26" t="str">
        <f t="shared" si="0"/>
        <v>   </v>
      </c>
      <c r="E81" s="42">
        <f t="shared" si="1"/>
        <v>0</v>
      </c>
    </row>
    <row r="82" spans="1:5" ht="14.25" customHeight="1">
      <c r="A82" s="18" t="s">
        <v>17</v>
      </c>
      <c r="B82" s="31">
        <v>8000</v>
      </c>
      <c r="C82" s="31">
        <v>8000</v>
      </c>
      <c r="D82" s="26">
        <f t="shared" si="0"/>
        <v>100</v>
      </c>
      <c r="E82" s="42">
        <f t="shared" si="1"/>
        <v>0</v>
      </c>
    </row>
    <row r="83" spans="1:5" ht="13.5" customHeight="1">
      <c r="A83" s="16" t="s">
        <v>41</v>
      </c>
      <c r="B83" s="24">
        <f>B84</f>
        <v>581900</v>
      </c>
      <c r="C83" s="24">
        <f>C84</f>
        <v>313100</v>
      </c>
      <c r="D83" s="26">
        <f t="shared" si="0"/>
        <v>53.80649596150542</v>
      </c>
      <c r="E83" s="42">
        <f t="shared" si="1"/>
        <v>-268800</v>
      </c>
    </row>
    <row r="84" spans="1:5" ht="12.75">
      <c r="A84" s="16" t="s">
        <v>42</v>
      </c>
      <c r="B84" s="25">
        <v>581900</v>
      </c>
      <c r="C84" s="27">
        <v>313100</v>
      </c>
      <c r="D84" s="26">
        <f t="shared" si="0"/>
        <v>53.80649596150542</v>
      </c>
      <c r="E84" s="42">
        <f t="shared" si="1"/>
        <v>-268800</v>
      </c>
    </row>
    <row r="85" spans="1:5" ht="18.75" customHeight="1">
      <c r="A85" s="16" t="s">
        <v>125</v>
      </c>
      <c r="B85" s="25">
        <f>SUM(B86,)</f>
        <v>20000</v>
      </c>
      <c r="C85" s="25">
        <f>SUM(C86,)</f>
        <v>0</v>
      </c>
      <c r="D85" s="26">
        <f t="shared" si="0"/>
        <v>0</v>
      </c>
      <c r="E85" s="42">
        <f t="shared" si="1"/>
        <v>-20000</v>
      </c>
    </row>
    <row r="86" spans="1:5" ht="12.75">
      <c r="A86" s="16" t="s">
        <v>43</v>
      </c>
      <c r="B86" s="25">
        <v>20000</v>
      </c>
      <c r="C86" s="28">
        <v>0</v>
      </c>
      <c r="D86" s="26">
        <f t="shared" si="0"/>
        <v>0</v>
      </c>
      <c r="E86" s="42">
        <f t="shared" si="1"/>
        <v>-20000</v>
      </c>
    </row>
    <row r="87" spans="1:5" ht="22.5" customHeight="1">
      <c r="A87" s="183" t="s">
        <v>15</v>
      </c>
      <c r="B87" s="159">
        <f>B47+B53+B55+B57+B68+B82+B83+B85</f>
        <v>4316560</v>
      </c>
      <c r="C87" s="159">
        <f>C47+C53+C55+C57+C68+C82+C83+C85</f>
        <v>1459287.21</v>
      </c>
      <c r="D87" s="149">
        <f>IF(B87=0,"   ",C87/B87*100)</f>
        <v>33.806716691068814</v>
      </c>
      <c r="E87" s="150">
        <f t="shared" si="1"/>
        <v>-2857272.79</v>
      </c>
    </row>
    <row r="88" spans="1:5" s="66" customFormat="1" ht="23.25" customHeight="1">
      <c r="A88" s="88" t="s">
        <v>262</v>
      </c>
      <c r="B88" s="88"/>
      <c r="C88" s="287"/>
      <c r="D88" s="287"/>
      <c r="E88" s="287"/>
    </row>
    <row r="89" spans="1:5" s="66" customFormat="1" ht="12" customHeight="1">
      <c r="A89" s="88" t="s">
        <v>163</v>
      </c>
      <c r="B89" s="88"/>
      <c r="C89" s="89" t="s">
        <v>268</v>
      </c>
      <c r="D89" s="90"/>
      <c r="E89" s="91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</sheetData>
  <sheetProtection/>
  <mergeCells count="2">
    <mergeCell ref="A1:E1"/>
    <mergeCell ref="C88:E88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PageLayoutView="0" workbookViewId="0" topLeftCell="A41">
      <selection activeCell="C91" sqref="C91"/>
    </sheetView>
  </sheetViews>
  <sheetFormatPr defaultColWidth="9.00390625" defaultRowHeight="12.75"/>
  <cols>
    <col min="1" max="1" width="102.625" style="0" customWidth="1"/>
    <col min="2" max="2" width="15.125" style="0" customWidth="1"/>
    <col min="3" max="3" width="18.75390625" style="0" customWidth="1"/>
    <col min="4" max="4" width="18.625" style="0" customWidth="1"/>
    <col min="5" max="5" width="16.00390625" style="0" customWidth="1"/>
  </cols>
  <sheetData>
    <row r="1" spans="1:5" ht="18">
      <c r="A1" s="289" t="s">
        <v>308</v>
      </c>
      <c r="B1" s="289"/>
      <c r="C1" s="289"/>
      <c r="D1" s="289"/>
      <c r="E1" s="289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279</v>
      </c>
      <c r="C4" s="32" t="s">
        <v>309</v>
      </c>
      <c r="D4" s="19" t="s">
        <v>282</v>
      </c>
      <c r="E4" s="36" t="s">
        <v>281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57">
        <f>SUM(B8)</f>
        <v>381800</v>
      </c>
      <c r="C7" s="157">
        <f>SUM(C8)</f>
        <v>176145.61</v>
      </c>
      <c r="D7" s="26">
        <f aca="true" t="shared" si="0" ref="D7:D92">IF(B7=0,"   ",C7/B7*100)</f>
        <v>46.13557097957045</v>
      </c>
      <c r="E7" s="42">
        <f aca="true" t="shared" si="1" ref="E7:E93">C7-B7</f>
        <v>-205654.39</v>
      </c>
    </row>
    <row r="8" spans="1:5" ht="12.75">
      <c r="A8" s="16" t="s">
        <v>44</v>
      </c>
      <c r="B8" s="92">
        <v>381800</v>
      </c>
      <c r="C8" s="277">
        <v>176145.61</v>
      </c>
      <c r="D8" s="26">
        <f t="shared" si="0"/>
        <v>46.13557097957045</v>
      </c>
      <c r="E8" s="42">
        <f t="shared" si="1"/>
        <v>-205654.39</v>
      </c>
    </row>
    <row r="9" spans="1:5" ht="18" customHeight="1">
      <c r="A9" s="71" t="s">
        <v>142</v>
      </c>
      <c r="B9" s="234">
        <f>SUM(B10)</f>
        <v>438400</v>
      </c>
      <c r="C9" s="234">
        <f>SUM(C10)</f>
        <v>243525.54</v>
      </c>
      <c r="D9" s="26">
        <f t="shared" si="0"/>
        <v>55.54870894160584</v>
      </c>
      <c r="E9" s="42">
        <f t="shared" si="1"/>
        <v>-194874.46</v>
      </c>
    </row>
    <row r="10" spans="1:5" ht="12.75">
      <c r="A10" s="41" t="s">
        <v>143</v>
      </c>
      <c r="B10" s="235">
        <v>438400</v>
      </c>
      <c r="C10" s="277">
        <v>243525.54</v>
      </c>
      <c r="D10" s="26">
        <f t="shared" si="0"/>
        <v>55.54870894160584</v>
      </c>
      <c r="E10" s="42">
        <f t="shared" si="1"/>
        <v>-194874.46</v>
      </c>
    </row>
    <row r="11" spans="1:5" ht="16.5" customHeight="1">
      <c r="A11" s="16" t="s">
        <v>7</v>
      </c>
      <c r="B11" s="235">
        <f>SUM(B12:B12)</f>
        <v>24600</v>
      </c>
      <c r="C11" s="235">
        <f>C12</f>
        <v>15131.64</v>
      </c>
      <c r="D11" s="26">
        <f t="shared" si="0"/>
        <v>61.51073170731707</v>
      </c>
      <c r="E11" s="42">
        <f t="shared" si="1"/>
        <v>-9468.36</v>
      </c>
    </row>
    <row r="12" spans="1:5" ht="12.75">
      <c r="A12" s="16" t="s">
        <v>26</v>
      </c>
      <c r="B12" s="235">
        <v>24600</v>
      </c>
      <c r="C12" s="277">
        <v>15131.64</v>
      </c>
      <c r="D12" s="26">
        <f t="shared" si="0"/>
        <v>61.51073170731707</v>
      </c>
      <c r="E12" s="42">
        <f t="shared" si="1"/>
        <v>-9468.36</v>
      </c>
    </row>
    <row r="13" spans="1:5" ht="18" customHeight="1">
      <c r="A13" s="16" t="s">
        <v>9</v>
      </c>
      <c r="B13" s="235">
        <f>SUM(B14:B15)</f>
        <v>681000</v>
      </c>
      <c r="C13" s="235">
        <f>SUM(C14:C15)</f>
        <v>130735.51999999999</v>
      </c>
      <c r="D13" s="26">
        <f t="shared" si="0"/>
        <v>19.197580029368574</v>
      </c>
      <c r="E13" s="42">
        <f t="shared" si="1"/>
        <v>-550264.48</v>
      </c>
    </row>
    <row r="14" spans="1:5" ht="12.75">
      <c r="A14" s="16" t="s">
        <v>27</v>
      </c>
      <c r="B14" s="235">
        <v>258000</v>
      </c>
      <c r="C14" s="277">
        <v>11488.26</v>
      </c>
      <c r="D14" s="26">
        <f t="shared" si="0"/>
        <v>4.452813953488373</v>
      </c>
      <c r="E14" s="42">
        <f t="shared" si="1"/>
        <v>-246511.74</v>
      </c>
    </row>
    <row r="15" spans="1:5" ht="12.75">
      <c r="A15" s="41" t="s">
        <v>171</v>
      </c>
      <c r="B15" s="235">
        <f>SUM(B16:B17)</f>
        <v>423000</v>
      </c>
      <c r="C15" s="235">
        <f>SUM(C16:C17)</f>
        <v>119247.26</v>
      </c>
      <c r="D15" s="26">
        <f t="shared" si="0"/>
        <v>28.19084160756501</v>
      </c>
      <c r="E15" s="42">
        <f t="shared" si="1"/>
        <v>-303752.74</v>
      </c>
    </row>
    <row r="16" spans="1:5" ht="12.75">
      <c r="A16" s="41" t="s">
        <v>172</v>
      </c>
      <c r="B16" s="235">
        <v>127000</v>
      </c>
      <c r="C16" s="277">
        <v>57109.38</v>
      </c>
      <c r="D16" s="26">
        <f t="shared" si="0"/>
        <v>44.96801574803149</v>
      </c>
      <c r="E16" s="42">
        <f t="shared" si="1"/>
        <v>-69890.62</v>
      </c>
    </row>
    <row r="17" spans="1:5" ht="12.75">
      <c r="A17" s="41" t="s">
        <v>173</v>
      </c>
      <c r="B17" s="235">
        <v>296000</v>
      </c>
      <c r="C17" s="277">
        <v>62137.88</v>
      </c>
      <c r="D17" s="26">
        <f t="shared" si="0"/>
        <v>20.992527027027023</v>
      </c>
      <c r="E17" s="42">
        <f t="shared" si="1"/>
        <v>-233862.12</v>
      </c>
    </row>
    <row r="18" spans="1:5" ht="12.75">
      <c r="A18" s="41" t="s">
        <v>225</v>
      </c>
      <c r="B18" s="235">
        <v>0</v>
      </c>
      <c r="C18" s="277">
        <v>9256.2</v>
      </c>
      <c r="D18" s="26" t="str">
        <f t="shared" si="0"/>
        <v>   </v>
      </c>
      <c r="E18" s="42">
        <f t="shared" si="1"/>
        <v>9256.2</v>
      </c>
    </row>
    <row r="19" spans="1:5" ht="26.25" customHeight="1">
      <c r="A19" s="16" t="s">
        <v>89</v>
      </c>
      <c r="B19" s="235">
        <v>0</v>
      </c>
      <c r="C19" s="236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235">
        <f>SUM(B21:B24)</f>
        <v>72300</v>
      </c>
      <c r="C20" s="235">
        <f>SUM(C21:C24)</f>
        <v>35081.45</v>
      </c>
      <c r="D20" s="26">
        <f t="shared" si="0"/>
        <v>48.52206085753803</v>
      </c>
      <c r="E20" s="42">
        <f t="shared" si="1"/>
        <v>-37218.55</v>
      </c>
    </row>
    <row r="21" spans="1:5" ht="12.75">
      <c r="A21" s="16" t="s">
        <v>29</v>
      </c>
      <c r="B21" s="235">
        <v>0</v>
      </c>
      <c r="C21" s="236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161</v>
      </c>
      <c r="B22" s="235">
        <v>45000</v>
      </c>
      <c r="C22" s="236">
        <v>22515.45</v>
      </c>
      <c r="D22" s="26">
        <f t="shared" si="0"/>
        <v>50.034333333333336</v>
      </c>
      <c r="E22" s="42">
        <f t="shared" si="1"/>
        <v>-22484.55</v>
      </c>
    </row>
    <row r="23" spans="1:5" ht="15.75" customHeight="1">
      <c r="A23" s="16" t="s">
        <v>30</v>
      </c>
      <c r="B23" s="235">
        <v>11300</v>
      </c>
      <c r="C23" s="235">
        <v>2000</v>
      </c>
      <c r="D23" s="26">
        <f t="shared" si="0"/>
        <v>17.699115044247787</v>
      </c>
      <c r="E23" s="42">
        <f t="shared" si="1"/>
        <v>-9300</v>
      </c>
    </row>
    <row r="24" spans="1:5" ht="42" customHeight="1">
      <c r="A24" s="16" t="s">
        <v>265</v>
      </c>
      <c r="B24" s="235">
        <v>16000</v>
      </c>
      <c r="C24" s="277">
        <v>10566</v>
      </c>
      <c r="D24" s="26">
        <f t="shared" si="0"/>
        <v>66.03750000000001</v>
      </c>
      <c r="E24" s="42">
        <f t="shared" si="1"/>
        <v>-5434</v>
      </c>
    </row>
    <row r="25" spans="1:5" ht="15.75" customHeight="1">
      <c r="A25" s="39" t="s">
        <v>92</v>
      </c>
      <c r="B25" s="235">
        <v>0</v>
      </c>
      <c r="C25" s="277">
        <v>5530.9</v>
      </c>
      <c r="D25" s="26" t="str">
        <f t="shared" si="0"/>
        <v>   </v>
      </c>
      <c r="E25" s="42">
        <f t="shared" si="1"/>
        <v>5530.9</v>
      </c>
    </row>
    <row r="26" spans="1:5" ht="15" customHeight="1">
      <c r="A26" s="16" t="s">
        <v>78</v>
      </c>
      <c r="B26" s="235">
        <f>SUM(B27:B28)</f>
        <v>0</v>
      </c>
      <c r="C26" s="235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41" t="s">
        <v>139</v>
      </c>
      <c r="B27" s="235">
        <v>0</v>
      </c>
      <c r="C27" s="277">
        <v>0</v>
      </c>
      <c r="D27" s="26" t="str">
        <f t="shared" si="0"/>
        <v>   </v>
      </c>
      <c r="E27" s="42">
        <f t="shared" si="1"/>
        <v>0</v>
      </c>
    </row>
    <row r="28" spans="1:5" ht="26.25" customHeight="1">
      <c r="A28" s="16" t="s">
        <v>79</v>
      </c>
      <c r="B28" s="235">
        <v>0</v>
      </c>
      <c r="C28" s="277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235">
        <v>0</v>
      </c>
      <c r="C29" s="235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235">
        <f>B31+B32</f>
        <v>0</v>
      </c>
      <c r="C30" s="234">
        <f>C31+C32</f>
        <v>-5000</v>
      </c>
      <c r="D30" s="26" t="str">
        <f t="shared" si="0"/>
        <v>   </v>
      </c>
      <c r="E30" s="42">
        <f t="shared" si="1"/>
        <v>-5000</v>
      </c>
    </row>
    <row r="31" spans="1:5" ht="13.5" customHeight="1">
      <c r="A31" s="16" t="s">
        <v>128</v>
      </c>
      <c r="B31" s="235">
        <v>0</v>
      </c>
      <c r="C31" s="236">
        <v>-5000</v>
      </c>
      <c r="D31" s="26" t="str">
        <f t="shared" si="0"/>
        <v>   </v>
      </c>
      <c r="E31" s="42">
        <f t="shared" si="1"/>
        <v>-5000</v>
      </c>
    </row>
    <row r="32" spans="1:5" ht="13.5" customHeight="1">
      <c r="A32" s="16" t="s">
        <v>132</v>
      </c>
      <c r="B32" s="235">
        <v>0</v>
      </c>
      <c r="C32" s="236">
        <v>0</v>
      </c>
      <c r="D32" s="26"/>
      <c r="E32" s="42">
        <f t="shared" si="1"/>
        <v>0</v>
      </c>
    </row>
    <row r="33" spans="1:5" ht="33" customHeight="1">
      <c r="A33" s="183" t="s">
        <v>10</v>
      </c>
      <c r="B33" s="185">
        <f>SUM(B7,B9,B11,B13,B19,B20,B25,B26,B29,B30,B18)</f>
        <v>1598100</v>
      </c>
      <c r="C33" s="185">
        <f>SUM(C7,C9,C11,C13,C19,C20,C25,C26,C29,C30,C18)</f>
        <v>610406.86</v>
      </c>
      <c r="D33" s="26">
        <f t="shared" si="0"/>
        <v>38.19578624616732</v>
      </c>
      <c r="E33" s="42">
        <f t="shared" si="1"/>
        <v>-987693.14</v>
      </c>
    </row>
    <row r="34" spans="1:5" ht="18.75" customHeight="1">
      <c r="A34" s="191" t="s">
        <v>145</v>
      </c>
      <c r="B34" s="201">
        <f>SUM(B35:B38,B42:B42,B45,B46,B41)</f>
        <v>6765490</v>
      </c>
      <c r="C34" s="201">
        <f>SUM(C35:C38,C42:C42,C45,C46,C41)</f>
        <v>2191757</v>
      </c>
      <c r="D34" s="149">
        <f t="shared" si="0"/>
        <v>32.39613095282086</v>
      </c>
      <c r="E34" s="150">
        <f t="shared" si="1"/>
        <v>-4573733</v>
      </c>
    </row>
    <row r="35" spans="1:5" ht="16.5" customHeight="1">
      <c r="A35" s="17" t="s">
        <v>34</v>
      </c>
      <c r="B35" s="169">
        <v>3324000</v>
      </c>
      <c r="C35" s="277">
        <v>1661900</v>
      </c>
      <c r="D35" s="26">
        <f t="shared" si="0"/>
        <v>49.996991576413954</v>
      </c>
      <c r="E35" s="42">
        <f t="shared" si="1"/>
        <v>-1662100</v>
      </c>
    </row>
    <row r="36" spans="1:5" ht="16.5" customHeight="1">
      <c r="A36" s="17" t="s">
        <v>270</v>
      </c>
      <c r="B36" s="169">
        <v>645500</v>
      </c>
      <c r="C36" s="277">
        <v>60000</v>
      </c>
      <c r="D36" s="26">
        <f>IF(B36=0,"   ",C36/B36*100)</f>
        <v>9.295120061967467</v>
      </c>
      <c r="E36" s="42">
        <f>C36-B36</f>
        <v>-585500</v>
      </c>
    </row>
    <row r="37" spans="1:5" ht="24.75" customHeight="1">
      <c r="A37" s="142" t="s">
        <v>51</v>
      </c>
      <c r="B37" s="143">
        <v>179900</v>
      </c>
      <c r="C37" s="277">
        <v>98287</v>
      </c>
      <c r="D37" s="144">
        <f t="shared" si="0"/>
        <v>54.63424124513618</v>
      </c>
      <c r="E37" s="145">
        <f t="shared" si="1"/>
        <v>-81613</v>
      </c>
    </row>
    <row r="38" spans="1:5" ht="24.75" customHeight="1">
      <c r="A38" s="117" t="s">
        <v>155</v>
      </c>
      <c r="B38" s="143">
        <f>SUM(B39:B40)</f>
        <v>300</v>
      </c>
      <c r="C38" s="143">
        <f>SUM(C39:C40)</f>
        <v>300</v>
      </c>
      <c r="D38" s="144">
        <f t="shared" si="0"/>
        <v>100</v>
      </c>
      <c r="E38" s="145">
        <f t="shared" si="1"/>
        <v>0</v>
      </c>
    </row>
    <row r="39" spans="1:5" ht="12.75" customHeight="1">
      <c r="A39" s="117" t="s">
        <v>174</v>
      </c>
      <c r="B39" s="143">
        <v>300</v>
      </c>
      <c r="C39" s="143">
        <v>300</v>
      </c>
      <c r="D39" s="144">
        <f>IF(B39=0,"   ",C39/B39*100)</f>
        <v>100</v>
      </c>
      <c r="E39" s="145">
        <f>C39-B39</f>
        <v>0</v>
      </c>
    </row>
    <row r="40" spans="1:5" ht="24.75" customHeight="1">
      <c r="A40" s="117" t="s">
        <v>175</v>
      </c>
      <c r="B40" s="143">
        <v>0</v>
      </c>
      <c r="C40" s="143">
        <v>0</v>
      </c>
      <c r="D40" s="144" t="str">
        <f>IF(B40=0,"   ",C40/B40*100)</f>
        <v>   </v>
      </c>
      <c r="E40" s="145">
        <f>C40-B40</f>
        <v>0</v>
      </c>
    </row>
    <row r="41" spans="1:5" ht="54" customHeight="1">
      <c r="A41" s="16" t="s">
        <v>291</v>
      </c>
      <c r="B41" s="143">
        <v>1001200</v>
      </c>
      <c r="C41" s="143">
        <v>191270</v>
      </c>
      <c r="D41" s="144">
        <f>IF(B41=0,"   ",C41/B41*100)</f>
        <v>19.104075109868155</v>
      </c>
      <c r="E41" s="145">
        <f>C41-B41</f>
        <v>-809930</v>
      </c>
    </row>
    <row r="42" spans="1:5" ht="18" customHeight="1">
      <c r="A42" s="16" t="s">
        <v>55</v>
      </c>
      <c r="B42" s="176">
        <f>B44+B43</f>
        <v>1433300</v>
      </c>
      <c r="C42" s="176">
        <f>C44+C43</f>
        <v>0</v>
      </c>
      <c r="D42" s="26">
        <f t="shared" si="0"/>
        <v>0</v>
      </c>
      <c r="E42" s="42">
        <f t="shared" si="1"/>
        <v>-1433300</v>
      </c>
    </row>
    <row r="43" spans="1:5" ht="24.75" customHeight="1">
      <c r="A43" s="53" t="s">
        <v>212</v>
      </c>
      <c r="B43" s="176">
        <v>1433300</v>
      </c>
      <c r="C43" s="176">
        <v>0</v>
      </c>
      <c r="D43" s="26">
        <f t="shared" si="0"/>
        <v>0</v>
      </c>
      <c r="E43" s="42">
        <f t="shared" si="1"/>
        <v>-1433300</v>
      </c>
    </row>
    <row r="44" spans="1:5" s="7" customFormat="1" ht="15.75" customHeight="1">
      <c r="A44" s="16" t="s">
        <v>110</v>
      </c>
      <c r="B44" s="176">
        <v>0</v>
      </c>
      <c r="C44" s="176">
        <v>0</v>
      </c>
      <c r="D44" s="54" t="str">
        <f t="shared" si="0"/>
        <v>   </v>
      </c>
      <c r="E44" s="40">
        <f t="shared" si="1"/>
        <v>0</v>
      </c>
    </row>
    <row r="45" spans="1:5" ht="39" customHeight="1">
      <c r="A45" s="16" t="s">
        <v>104</v>
      </c>
      <c r="B45" s="176">
        <v>0</v>
      </c>
      <c r="C45" s="176">
        <v>0</v>
      </c>
      <c r="D45" s="26" t="str">
        <f t="shared" si="0"/>
        <v>   </v>
      </c>
      <c r="E45" s="42">
        <f t="shared" si="1"/>
        <v>0</v>
      </c>
    </row>
    <row r="46" spans="1:5" ht="24.75" customHeight="1">
      <c r="A46" s="16" t="s">
        <v>228</v>
      </c>
      <c r="B46" s="176">
        <v>181290</v>
      </c>
      <c r="C46" s="176">
        <v>180000</v>
      </c>
      <c r="D46" s="26">
        <f t="shared" si="0"/>
        <v>99.28843289756743</v>
      </c>
      <c r="E46" s="42">
        <f t="shared" si="1"/>
        <v>-1290</v>
      </c>
    </row>
    <row r="47" spans="1:5" ht="26.25" customHeight="1">
      <c r="A47" s="183" t="s">
        <v>11</v>
      </c>
      <c r="B47" s="159">
        <f>SUM(B33,B34,)</f>
        <v>8363590</v>
      </c>
      <c r="C47" s="159">
        <f>SUM(C33,C34,)</f>
        <v>2802163.86</v>
      </c>
      <c r="D47" s="149">
        <f t="shared" si="0"/>
        <v>33.50431883915878</v>
      </c>
      <c r="E47" s="150">
        <f t="shared" si="1"/>
        <v>-5561426.140000001</v>
      </c>
    </row>
    <row r="48" spans="1:5" ht="12.75" customHeight="1">
      <c r="A48" s="22" t="s">
        <v>12</v>
      </c>
      <c r="B48" s="44"/>
      <c r="C48" s="45"/>
      <c r="D48" s="26" t="str">
        <f t="shared" si="0"/>
        <v>   </v>
      </c>
      <c r="E48" s="42"/>
    </row>
    <row r="49" spans="1:5" ht="24" customHeight="1">
      <c r="A49" s="16" t="s">
        <v>35</v>
      </c>
      <c r="B49" s="25">
        <f>SUM(B50,B52,B53)</f>
        <v>1165800</v>
      </c>
      <c r="C49" s="25">
        <f>SUM(C50,C52,C53)</f>
        <v>465738.63</v>
      </c>
      <c r="D49" s="26">
        <f t="shared" si="0"/>
        <v>39.950131240349975</v>
      </c>
      <c r="E49" s="42">
        <f t="shared" si="1"/>
        <v>-700061.37</v>
      </c>
    </row>
    <row r="50" spans="1:5" ht="12.75" customHeight="1">
      <c r="A50" s="16" t="s">
        <v>36</v>
      </c>
      <c r="B50" s="25">
        <v>1165300</v>
      </c>
      <c r="C50" s="25">
        <v>465738.63</v>
      </c>
      <c r="D50" s="26">
        <f t="shared" si="0"/>
        <v>39.96727280528619</v>
      </c>
      <c r="E50" s="42">
        <f t="shared" si="1"/>
        <v>-699561.37</v>
      </c>
    </row>
    <row r="51" spans="1:5" ht="12.75">
      <c r="A51" s="93" t="s">
        <v>122</v>
      </c>
      <c r="B51" s="25">
        <v>725115</v>
      </c>
      <c r="C51" s="28">
        <v>307684.63</v>
      </c>
      <c r="D51" s="26">
        <f t="shared" si="0"/>
        <v>42.43252863338919</v>
      </c>
      <c r="E51" s="42">
        <f t="shared" si="1"/>
        <v>-417430.37</v>
      </c>
    </row>
    <row r="52" spans="1:5" ht="12.75">
      <c r="A52" s="16" t="s">
        <v>96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>
      <c r="A53" s="16" t="s">
        <v>52</v>
      </c>
      <c r="B53" s="27">
        <f>SUM(B54:B56)</f>
        <v>0</v>
      </c>
      <c r="C53" s="27">
        <f>SUM(C54:C56)</f>
        <v>0</v>
      </c>
      <c r="D53" s="26" t="str">
        <f t="shared" si="0"/>
        <v>   </v>
      </c>
      <c r="E53" s="42">
        <f t="shared" si="1"/>
        <v>0</v>
      </c>
    </row>
    <row r="54" spans="1:5" ht="12.75">
      <c r="A54" s="113" t="s">
        <v>190</v>
      </c>
      <c r="B54" s="27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38.25">
      <c r="A55" s="113" t="s">
        <v>233</v>
      </c>
      <c r="B55" s="27">
        <v>0</v>
      </c>
      <c r="C55" s="27">
        <v>0</v>
      </c>
      <c r="D55" s="26" t="str">
        <f>IF(B55=0,"   ",C55/B55*100)</f>
        <v>   </v>
      </c>
      <c r="E55" s="42">
        <f>C55-B55</f>
        <v>0</v>
      </c>
    </row>
    <row r="56" spans="1:5" ht="39.75" customHeight="1">
      <c r="A56" s="113" t="s">
        <v>191</v>
      </c>
      <c r="B56" s="25">
        <v>0</v>
      </c>
      <c r="C56" s="27">
        <v>0</v>
      </c>
      <c r="D56" s="26" t="str">
        <f t="shared" si="0"/>
        <v>   </v>
      </c>
      <c r="E56" s="42">
        <f t="shared" si="1"/>
        <v>0</v>
      </c>
    </row>
    <row r="57" spans="1:5" ht="22.5" customHeight="1">
      <c r="A57" s="16" t="s">
        <v>49</v>
      </c>
      <c r="B57" s="27">
        <f>SUM(B58)</f>
        <v>179900</v>
      </c>
      <c r="C57" s="27">
        <f>SUM(C58)</f>
        <v>90912.8</v>
      </c>
      <c r="D57" s="26">
        <f t="shared" si="0"/>
        <v>50.535186214563645</v>
      </c>
      <c r="E57" s="42">
        <f t="shared" si="1"/>
        <v>-88987.2</v>
      </c>
    </row>
    <row r="58" spans="1:5" ht="12" customHeight="1">
      <c r="A58" s="16" t="s">
        <v>108</v>
      </c>
      <c r="B58" s="25">
        <v>179900</v>
      </c>
      <c r="C58" s="27">
        <v>90912.8</v>
      </c>
      <c r="D58" s="26">
        <f t="shared" si="0"/>
        <v>50.535186214563645</v>
      </c>
      <c r="E58" s="42">
        <f t="shared" si="1"/>
        <v>-88987.2</v>
      </c>
    </row>
    <row r="59" spans="1:5" ht="16.5" customHeight="1">
      <c r="A59" s="16" t="s">
        <v>37</v>
      </c>
      <c r="B59" s="25">
        <f>SUM(B60)</f>
        <v>5000</v>
      </c>
      <c r="C59" s="27">
        <f>SUM(C60)</f>
        <v>5000</v>
      </c>
      <c r="D59" s="26">
        <f t="shared" si="0"/>
        <v>100</v>
      </c>
      <c r="E59" s="42">
        <f t="shared" si="1"/>
        <v>0</v>
      </c>
    </row>
    <row r="60" spans="1:5" ht="16.5" customHeight="1">
      <c r="A60" s="41" t="s">
        <v>130</v>
      </c>
      <c r="B60" s="25">
        <v>5000</v>
      </c>
      <c r="C60" s="27">
        <v>5000</v>
      </c>
      <c r="D60" s="26">
        <f t="shared" si="0"/>
        <v>100</v>
      </c>
      <c r="E60" s="42">
        <f t="shared" si="1"/>
        <v>0</v>
      </c>
    </row>
    <row r="61" spans="1:5" ht="21.75" customHeight="1">
      <c r="A61" s="16" t="s">
        <v>38</v>
      </c>
      <c r="B61" s="27">
        <f>B65+B62</f>
        <v>1439600</v>
      </c>
      <c r="C61" s="27">
        <f>C65+C62</f>
        <v>311515</v>
      </c>
      <c r="D61" s="26">
        <f t="shared" si="0"/>
        <v>21.638996943595444</v>
      </c>
      <c r="E61" s="42">
        <f t="shared" si="1"/>
        <v>-1128085</v>
      </c>
    </row>
    <row r="62" spans="1:5" ht="21.75" customHeight="1">
      <c r="A62" s="83" t="s">
        <v>176</v>
      </c>
      <c r="B62" s="25">
        <f>SUM(B63+B64)</f>
        <v>0</v>
      </c>
      <c r="C62" s="25">
        <f>SUM(C63+C64)</f>
        <v>0</v>
      </c>
      <c r="D62" s="26" t="str">
        <f>IF(B62=0,"   ",C62/B62*100)</f>
        <v>   </v>
      </c>
      <c r="E62" s="42">
        <f>C62-B62</f>
        <v>0</v>
      </c>
    </row>
    <row r="63" spans="1:5" ht="21.75" customHeight="1">
      <c r="A63" s="83" t="s">
        <v>177</v>
      </c>
      <c r="B63" s="25">
        <v>0</v>
      </c>
      <c r="C63" s="134">
        <v>0</v>
      </c>
      <c r="D63" s="26" t="str">
        <f>IF(B63=0,"   ",C63/B63*100)</f>
        <v>   </v>
      </c>
      <c r="E63" s="42">
        <f>C63-B63</f>
        <v>0</v>
      </c>
    </row>
    <row r="64" spans="1:5" ht="21.75" customHeight="1">
      <c r="A64" s="83" t="s">
        <v>181</v>
      </c>
      <c r="B64" s="126">
        <v>0</v>
      </c>
      <c r="C64" s="134">
        <v>0</v>
      </c>
      <c r="D64" s="26"/>
      <c r="E64" s="42"/>
    </row>
    <row r="65" spans="1:5" ht="12" customHeight="1">
      <c r="A65" s="104" t="s">
        <v>134</v>
      </c>
      <c r="B65" s="126">
        <f>B66+B69+B70+B67+B68</f>
        <v>1439600</v>
      </c>
      <c r="C65" s="126">
        <f>C66+C69+C70+C67+C68</f>
        <v>311515</v>
      </c>
      <c r="D65" s="26">
        <f t="shared" si="0"/>
        <v>21.638996943595444</v>
      </c>
      <c r="E65" s="42">
        <f t="shared" si="1"/>
        <v>-1128085</v>
      </c>
    </row>
    <row r="66" spans="1:5" ht="17.25" customHeight="1">
      <c r="A66" s="83" t="s">
        <v>158</v>
      </c>
      <c r="B66" s="25">
        <v>0</v>
      </c>
      <c r="C66" s="27">
        <v>0</v>
      </c>
      <c r="D66" s="26" t="str">
        <f t="shared" si="0"/>
        <v>   </v>
      </c>
      <c r="E66" s="42">
        <f t="shared" si="1"/>
        <v>0</v>
      </c>
    </row>
    <row r="67" spans="1:5" ht="17.25" customHeight="1">
      <c r="A67" s="83" t="s">
        <v>154</v>
      </c>
      <c r="B67" s="25">
        <v>0</v>
      </c>
      <c r="C67" s="27">
        <v>0</v>
      </c>
      <c r="D67" s="26" t="str">
        <f t="shared" si="0"/>
        <v>   </v>
      </c>
      <c r="E67" s="42">
        <f t="shared" si="1"/>
        <v>0</v>
      </c>
    </row>
    <row r="68" spans="1:5" ht="17.25" customHeight="1">
      <c r="A68" s="83" t="s">
        <v>186</v>
      </c>
      <c r="B68" s="25">
        <v>0</v>
      </c>
      <c r="C68" s="27">
        <v>0</v>
      </c>
      <c r="D68" s="26" t="str">
        <f t="shared" si="0"/>
        <v>   </v>
      </c>
      <c r="E68" s="42">
        <f t="shared" si="1"/>
        <v>0</v>
      </c>
    </row>
    <row r="69" spans="1:5" ht="27" customHeight="1">
      <c r="A69" s="156" t="s">
        <v>135</v>
      </c>
      <c r="B69" s="25">
        <v>1001200</v>
      </c>
      <c r="C69" s="27">
        <v>191270</v>
      </c>
      <c r="D69" s="26">
        <f t="shared" si="0"/>
        <v>19.104075109868155</v>
      </c>
      <c r="E69" s="42">
        <f t="shared" si="1"/>
        <v>-809930</v>
      </c>
    </row>
    <row r="70" spans="1:5" ht="27" customHeight="1">
      <c r="A70" s="78" t="s">
        <v>136</v>
      </c>
      <c r="B70" s="122">
        <v>438400</v>
      </c>
      <c r="C70" s="27">
        <v>120245</v>
      </c>
      <c r="D70" s="26">
        <f t="shared" si="0"/>
        <v>27.428147810218977</v>
      </c>
      <c r="E70" s="42">
        <f t="shared" si="1"/>
        <v>-318155</v>
      </c>
    </row>
    <row r="71" spans="1:5" ht="20.25" customHeight="1">
      <c r="A71" s="16" t="s">
        <v>13</v>
      </c>
      <c r="B71" s="25">
        <f>SUM(B72,B74,B79,)</f>
        <v>3141190</v>
      </c>
      <c r="C71" s="25">
        <f>SUM(C72,C74,C79,)</f>
        <v>194491.21</v>
      </c>
      <c r="D71" s="26">
        <f t="shared" si="0"/>
        <v>6.191641065965446</v>
      </c>
      <c r="E71" s="42">
        <f t="shared" si="1"/>
        <v>-2946698.79</v>
      </c>
    </row>
    <row r="72" spans="1:5" ht="12.75">
      <c r="A72" s="16" t="s">
        <v>14</v>
      </c>
      <c r="B72" s="25">
        <f>SUM(B73:B73)</f>
        <v>0</v>
      </c>
      <c r="C72" s="25">
        <f>SUM(C73:C73)</f>
        <v>0</v>
      </c>
      <c r="D72" s="26" t="str">
        <f t="shared" si="0"/>
        <v>   </v>
      </c>
      <c r="E72" s="42">
        <f t="shared" si="1"/>
        <v>0</v>
      </c>
    </row>
    <row r="73" spans="1:5" ht="15.75" customHeight="1">
      <c r="A73" s="16" t="s">
        <v>99</v>
      </c>
      <c r="B73" s="25">
        <v>0</v>
      </c>
      <c r="C73" s="27">
        <v>0</v>
      </c>
      <c r="D73" s="26" t="str">
        <f t="shared" si="0"/>
        <v>   </v>
      </c>
      <c r="E73" s="42">
        <f t="shared" si="1"/>
        <v>0</v>
      </c>
    </row>
    <row r="74" spans="1:5" ht="12.75">
      <c r="A74" s="16" t="s">
        <v>91</v>
      </c>
      <c r="B74" s="25">
        <f>SUM(B76:B78)</f>
        <v>1826680</v>
      </c>
      <c r="C74" s="25">
        <f>SUM(C76:C78)</f>
        <v>0</v>
      </c>
      <c r="D74" s="26">
        <f t="shared" si="0"/>
        <v>0</v>
      </c>
      <c r="E74" s="42">
        <f t="shared" si="1"/>
        <v>-1826680</v>
      </c>
    </row>
    <row r="75" spans="1:5" ht="25.5">
      <c r="A75" s="113" t="s">
        <v>237</v>
      </c>
      <c r="B75" s="25">
        <f>SUM(B76:B78)</f>
        <v>1826680</v>
      </c>
      <c r="C75" s="25">
        <f>SUM(C76:C78)</f>
        <v>0</v>
      </c>
      <c r="D75" s="26">
        <f>IF(B75=0,"   ",C75/B75*100)</f>
        <v>0</v>
      </c>
      <c r="E75" s="42">
        <f>C75-B75</f>
        <v>-1826680</v>
      </c>
    </row>
    <row r="76" spans="1:5" ht="25.5">
      <c r="A76" s="113" t="s">
        <v>244</v>
      </c>
      <c r="B76" s="25">
        <v>1096000</v>
      </c>
      <c r="C76" s="25">
        <v>0</v>
      </c>
      <c r="D76" s="26">
        <f>IF(B76=0,"   ",C76/B76*100)</f>
        <v>0</v>
      </c>
      <c r="E76" s="42">
        <f>C76-B76</f>
        <v>-1096000</v>
      </c>
    </row>
    <row r="77" spans="1:5" ht="25.5">
      <c r="A77" s="113" t="s">
        <v>245</v>
      </c>
      <c r="B77" s="25">
        <v>639340</v>
      </c>
      <c r="C77" s="25">
        <v>0</v>
      </c>
      <c r="D77" s="26">
        <f>IF(B77=0,"   ",C77/B77*100)</f>
        <v>0</v>
      </c>
      <c r="E77" s="42">
        <f>C77-B77</f>
        <v>-639340</v>
      </c>
    </row>
    <row r="78" spans="1:5" ht="25.5">
      <c r="A78" s="113" t="s">
        <v>246</v>
      </c>
      <c r="B78" s="25">
        <v>91340</v>
      </c>
      <c r="C78" s="27">
        <v>0</v>
      </c>
      <c r="D78" s="26">
        <f t="shared" si="0"/>
        <v>0</v>
      </c>
      <c r="E78" s="42">
        <f t="shared" si="1"/>
        <v>-91340</v>
      </c>
    </row>
    <row r="79" spans="1:5" ht="12.75">
      <c r="A79" s="16" t="s">
        <v>69</v>
      </c>
      <c r="B79" s="25">
        <f>B80+B82+B81+B83</f>
        <v>1314510</v>
      </c>
      <c r="C79" s="25">
        <f>C80+C82+C81+C83</f>
        <v>194491.21</v>
      </c>
      <c r="D79" s="26">
        <f t="shared" si="0"/>
        <v>14.7957193174643</v>
      </c>
      <c r="E79" s="42">
        <f t="shared" si="1"/>
        <v>-1120018.79</v>
      </c>
    </row>
    <row r="80" spans="1:5" ht="12.75">
      <c r="A80" s="16" t="s">
        <v>56</v>
      </c>
      <c r="B80" s="25">
        <v>530000</v>
      </c>
      <c r="C80" s="27">
        <v>194491.21</v>
      </c>
      <c r="D80" s="26">
        <f t="shared" si="0"/>
        <v>36.69645471698113</v>
      </c>
      <c r="E80" s="42">
        <f t="shared" si="1"/>
        <v>-335508.79000000004</v>
      </c>
    </row>
    <row r="81" spans="1:5" ht="25.5">
      <c r="A81" s="113" t="s">
        <v>178</v>
      </c>
      <c r="B81" s="25">
        <v>200000</v>
      </c>
      <c r="C81" s="27">
        <v>0</v>
      </c>
      <c r="D81" s="26">
        <f t="shared" si="0"/>
        <v>0</v>
      </c>
      <c r="E81" s="42">
        <f t="shared" si="1"/>
        <v>-200000</v>
      </c>
    </row>
    <row r="82" spans="1:5" ht="12.75">
      <c r="A82" s="16" t="s">
        <v>57</v>
      </c>
      <c r="B82" s="25">
        <v>22300</v>
      </c>
      <c r="C82" s="27">
        <v>0</v>
      </c>
      <c r="D82" s="26">
        <f t="shared" si="0"/>
        <v>0</v>
      </c>
      <c r="E82" s="42">
        <f t="shared" si="1"/>
        <v>-22300</v>
      </c>
    </row>
    <row r="83" spans="1:5" ht="25.5">
      <c r="A83" s="113" t="s">
        <v>237</v>
      </c>
      <c r="B83" s="25">
        <f>SUM(B84:B86)</f>
        <v>562210</v>
      </c>
      <c r="C83" s="25">
        <f>SUM(C84:C86)</f>
        <v>0</v>
      </c>
      <c r="D83" s="26">
        <f>IF(B83=0,"   ",C83/B83*100)</f>
        <v>0</v>
      </c>
      <c r="E83" s="42">
        <f>C83-B83</f>
        <v>-562210</v>
      </c>
    </row>
    <row r="84" spans="1:5" ht="25.5">
      <c r="A84" s="113" t="s">
        <v>244</v>
      </c>
      <c r="B84" s="25">
        <v>337300</v>
      </c>
      <c r="C84" s="27">
        <v>0</v>
      </c>
      <c r="D84" s="26">
        <f>IF(B84=0,"   ",C84/B84*100)</f>
        <v>0</v>
      </c>
      <c r="E84" s="42">
        <f>C84-B84</f>
        <v>-337300</v>
      </c>
    </row>
    <row r="85" spans="1:5" ht="25.5">
      <c r="A85" s="113" t="s">
        <v>245</v>
      </c>
      <c r="B85" s="25">
        <v>134920</v>
      </c>
      <c r="C85" s="27">
        <v>0</v>
      </c>
      <c r="D85" s="26">
        <f>IF(B85=0,"   ",C85/B85*100)</f>
        <v>0</v>
      </c>
      <c r="E85" s="42">
        <f>C85-B85</f>
        <v>-134920</v>
      </c>
    </row>
    <row r="86" spans="1:5" ht="25.5">
      <c r="A86" s="113" t="s">
        <v>246</v>
      </c>
      <c r="B86" s="25">
        <v>89990</v>
      </c>
      <c r="C86" s="27">
        <v>0</v>
      </c>
      <c r="D86" s="26">
        <f>IF(B86=0,"   ",C86/B86*100)</f>
        <v>0</v>
      </c>
      <c r="E86" s="42">
        <f>C86-B86</f>
        <v>-89990</v>
      </c>
    </row>
    <row r="87" spans="1:5" ht="12.75">
      <c r="A87" s="165" t="s">
        <v>95</v>
      </c>
      <c r="B87" s="25">
        <v>0</v>
      </c>
      <c r="C87" s="27">
        <v>0</v>
      </c>
      <c r="D87" s="26" t="str">
        <f t="shared" si="0"/>
        <v>   </v>
      </c>
      <c r="E87" s="42">
        <f t="shared" si="1"/>
        <v>0</v>
      </c>
    </row>
    <row r="88" spans="1:5" ht="20.25" customHeight="1">
      <c r="A88" s="18" t="s">
        <v>17</v>
      </c>
      <c r="B88" s="31">
        <v>16000</v>
      </c>
      <c r="C88" s="31">
        <v>16000</v>
      </c>
      <c r="D88" s="26">
        <f t="shared" si="0"/>
        <v>100</v>
      </c>
      <c r="E88" s="42">
        <f t="shared" si="1"/>
        <v>0</v>
      </c>
    </row>
    <row r="89" spans="1:5" ht="21.75" customHeight="1">
      <c r="A89" s="16" t="s">
        <v>41</v>
      </c>
      <c r="B89" s="24">
        <f>SUM(B90,)</f>
        <v>2524900</v>
      </c>
      <c r="C89" s="24">
        <f>SUM(C90,)</f>
        <v>1290100</v>
      </c>
      <c r="D89" s="26">
        <f t="shared" si="0"/>
        <v>51.095092874965346</v>
      </c>
      <c r="E89" s="42">
        <f t="shared" si="1"/>
        <v>-1234800</v>
      </c>
    </row>
    <row r="90" spans="1:5" ht="14.25" customHeight="1">
      <c r="A90" s="16" t="s">
        <v>42</v>
      </c>
      <c r="B90" s="25">
        <v>2524900</v>
      </c>
      <c r="C90" s="27">
        <v>1290100</v>
      </c>
      <c r="D90" s="26">
        <f t="shared" si="0"/>
        <v>51.095092874965346</v>
      </c>
      <c r="E90" s="42">
        <f t="shared" si="1"/>
        <v>-1234800</v>
      </c>
    </row>
    <row r="91" spans="1:5" ht="18.75" customHeight="1">
      <c r="A91" s="16" t="s">
        <v>125</v>
      </c>
      <c r="B91" s="25">
        <f>SUM(B92,)</f>
        <v>20000</v>
      </c>
      <c r="C91" s="25">
        <f>C92</f>
        <v>0</v>
      </c>
      <c r="D91" s="26">
        <f t="shared" si="0"/>
        <v>0</v>
      </c>
      <c r="E91" s="42">
        <f t="shared" si="1"/>
        <v>-20000</v>
      </c>
    </row>
    <row r="92" spans="1:5" ht="12.75" customHeight="1">
      <c r="A92" s="16" t="s">
        <v>43</v>
      </c>
      <c r="B92" s="25">
        <v>20000</v>
      </c>
      <c r="C92" s="28">
        <v>0</v>
      </c>
      <c r="D92" s="26">
        <f t="shared" si="0"/>
        <v>0</v>
      </c>
      <c r="E92" s="42">
        <f t="shared" si="1"/>
        <v>-20000</v>
      </c>
    </row>
    <row r="93" spans="1:5" ht="30.75" customHeight="1">
      <c r="A93" s="183" t="s">
        <v>15</v>
      </c>
      <c r="B93" s="159">
        <f>SUM(B49,B57,B59,B61,B71,B88,B89,B91,)</f>
        <v>8492390</v>
      </c>
      <c r="C93" s="159">
        <f>SUM(C49,C57,C59,C61,C71,C88,C89,C91,)</f>
        <v>2373757.64</v>
      </c>
      <c r="D93" s="149">
        <f>IF(B93=0,"   ",C93/B93*100)</f>
        <v>27.951585360540438</v>
      </c>
      <c r="E93" s="150">
        <f t="shared" si="1"/>
        <v>-6118632.359999999</v>
      </c>
    </row>
    <row r="94" spans="1:5" s="66" customFormat="1" ht="23.25" customHeight="1">
      <c r="A94" s="88" t="s">
        <v>262</v>
      </c>
      <c r="B94" s="88"/>
      <c r="C94" s="287"/>
      <c r="D94" s="287"/>
      <c r="E94" s="287"/>
    </row>
    <row r="95" spans="1:5" s="66" customFormat="1" ht="12" customHeight="1">
      <c r="A95" s="88" t="s">
        <v>163</v>
      </c>
      <c r="B95" s="88"/>
      <c r="C95" s="89" t="s">
        <v>268</v>
      </c>
      <c r="D95" s="90"/>
      <c r="E95" s="91"/>
    </row>
    <row r="96" spans="1:5" ht="15" customHeight="1">
      <c r="A96" s="7"/>
      <c r="B96" s="7"/>
      <c r="C96" s="6"/>
      <c r="D96" s="7"/>
      <c r="E96" s="2"/>
    </row>
    <row r="97" spans="1:5" ht="12" customHeight="1">
      <c r="A97" s="55"/>
      <c r="B97" s="55"/>
      <c r="C97" s="56"/>
      <c r="D97" s="57"/>
      <c r="E97" s="58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</sheetData>
  <sheetProtection/>
  <mergeCells count="2">
    <mergeCell ref="A1:E1"/>
    <mergeCell ref="C94:E94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2019-07-04T07:17:20Z</cp:lastPrinted>
  <dcterms:created xsi:type="dcterms:W3CDTF">2001-03-21T05:21:19Z</dcterms:created>
  <dcterms:modified xsi:type="dcterms:W3CDTF">2019-07-04T07:18:28Z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