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Чувашия\СБОРКА3\!Краткий вариант 2\Приложения\"/>
    </mc:Choice>
  </mc:AlternateContent>
  <xr:revisionPtr revIDLastSave="0" documentId="13_ncr:1_{CFCC6993-C0F4-4CB1-A4CF-A1B215C3C519}" xr6:coauthVersionLast="40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д" sheetId="30" r:id="rId1"/>
    <sheet name="Благоустройство" sheetId="17" r:id="rId2"/>
    <sheet name="Дорожное хозяйство" sheetId="18" r:id="rId3"/>
    <sheet name="ЖКХ" sheetId="31" r:id="rId4"/>
    <sheet name="Здравоохранение" sheetId="20" r:id="rId5"/>
    <sheet name="Культура" sheetId="32" r:id="rId6"/>
    <sheet name="Образование" sheetId="33" r:id="rId7"/>
    <sheet name="Общественная безопасность" sheetId="23" r:id="rId8"/>
    <sheet name="Пожарная безопасность" sheetId="24" r:id="rId9"/>
    <sheet name="Туризм" sheetId="25" r:id="rId10"/>
    <sheet name="Физическая культура и спорт" sheetId="26" r:id="rId11"/>
    <sheet name="Экология" sheetId="27" r:id="rId12"/>
    <sheet name="Энергетика" sheetId="28" r:id="rId13"/>
    <sheet name="Прочие" sheetId="29" r:id="rId14"/>
  </sheets>
  <definedNames>
    <definedName name="_xlnm.Print_Titles" localSheetId="1">Благоустройство!$3:$4</definedName>
    <definedName name="_xlnm.Print_Titles" localSheetId="2">'Дорожное хозяйство'!$3:$4</definedName>
    <definedName name="_xlnm.Print_Titles" localSheetId="3">ЖКХ!$3:$4</definedName>
    <definedName name="_xlnm.Print_Titles" localSheetId="4">Здравоохранение!$3:$4</definedName>
    <definedName name="_xlnm.Print_Titles" localSheetId="5">Культура!$3:$4</definedName>
    <definedName name="_xlnm.Print_Titles" localSheetId="6">Образование!$3:$4</definedName>
    <definedName name="_xlnm.Print_Titles" localSheetId="7">'Общественная безопасность'!$3:$4</definedName>
    <definedName name="_xlnm.Print_Titles" localSheetId="8">'Пожарная безопасность'!$3:$4</definedName>
    <definedName name="_xlnm.Print_Titles" localSheetId="13">Прочие!$3:$4</definedName>
    <definedName name="_xlnm.Print_Titles" localSheetId="0">Свод!$4:$5</definedName>
    <definedName name="_xlnm.Print_Titles" localSheetId="9">Туризм!$3:$4</definedName>
    <definedName name="_xlnm.Print_Titles" localSheetId="10">'Физическая культура и спорт'!$3:$4</definedName>
    <definedName name="_xlnm.Print_Titles" localSheetId="11">Экология!$3:$4</definedName>
    <definedName name="_xlnm.Print_Titles" localSheetId="12">Энергетика!$3:$4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14" i="33" l="1"/>
  <c r="N714" i="33"/>
  <c r="M714" i="33"/>
  <c r="L714" i="33"/>
  <c r="K714" i="33"/>
  <c r="J714" i="33"/>
  <c r="I714" i="33"/>
  <c r="O713" i="33"/>
  <c r="N713" i="33"/>
  <c r="M713" i="33"/>
  <c r="L713" i="33"/>
  <c r="K713" i="33"/>
  <c r="J713" i="33"/>
  <c r="O712" i="33"/>
  <c r="N712" i="33"/>
  <c r="M712" i="33"/>
  <c r="L712" i="33"/>
  <c r="K712" i="33"/>
  <c r="J712" i="33"/>
  <c r="I709" i="33"/>
  <c r="I707" i="33"/>
  <c r="I705" i="33"/>
  <c r="L703" i="33"/>
  <c r="K703" i="33"/>
  <c r="I703" i="33" s="1"/>
  <c r="I701" i="33"/>
  <c r="K699" i="33"/>
  <c r="I699" i="33" s="1"/>
  <c r="I697" i="33"/>
  <c r="O695" i="33"/>
  <c r="N695" i="33"/>
  <c r="M695" i="33"/>
  <c r="L695" i="33"/>
  <c r="K695" i="33"/>
  <c r="I693" i="33"/>
  <c r="M691" i="33"/>
  <c r="L691" i="33"/>
  <c r="K691" i="33"/>
  <c r="I691" i="33"/>
  <c r="I689" i="33"/>
  <c r="M687" i="33"/>
  <c r="L687" i="33"/>
  <c r="K687" i="33"/>
  <c r="I685" i="33"/>
  <c r="I684" i="33"/>
  <c r="J683" i="33"/>
  <c r="I683" i="33"/>
  <c r="I681" i="33"/>
  <c r="I680" i="33"/>
  <c r="K679" i="33"/>
  <c r="J679" i="33"/>
  <c r="I677" i="33"/>
  <c r="I676" i="33"/>
  <c r="I675" i="33"/>
  <c r="I673" i="33"/>
  <c r="I672" i="33"/>
  <c r="J671" i="33"/>
  <c r="I671" i="33" s="1"/>
  <c r="I669" i="33"/>
  <c r="I668" i="33"/>
  <c r="K667" i="33"/>
  <c r="J667" i="33"/>
  <c r="I667" i="33"/>
  <c r="I665" i="33"/>
  <c r="I664" i="33"/>
  <c r="J663" i="33"/>
  <c r="I663" i="33"/>
  <c r="I661" i="33"/>
  <c r="I660" i="33"/>
  <c r="I659" i="33"/>
  <c r="I657" i="33"/>
  <c r="I656" i="33"/>
  <c r="M655" i="33"/>
  <c r="L655" i="33"/>
  <c r="I653" i="33"/>
  <c r="I652" i="33"/>
  <c r="M651" i="33"/>
  <c r="L651" i="33"/>
  <c r="I651" i="33"/>
  <c r="I649" i="33"/>
  <c r="I648" i="33"/>
  <c r="L647" i="33"/>
  <c r="K647" i="33"/>
  <c r="J647" i="33"/>
  <c r="I647" i="33" s="1"/>
  <c r="I645" i="33"/>
  <c r="I644" i="33"/>
  <c r="O643" i="33"/>
  <c r="L643" i="33"/>
  <c r="K643" i="33"/>
  <c r="J643" i="33"/>
  <c r="I641" i="33"/>
  <c r="I640" i="33"/>
  <c r="O639" i="33"/>
  <c r="N639" i="33"/>
  <c r="M639" i="33"/>
  <c r="L639" i="33"/>
  <c r="K639" i="33"/>
  <c r="J639" i="33"/>
  <c r="I637" i="33"/>
  <c r="I636" i="33"/>
  <c r="N635" i="33"/>
  <c r="M635" i="33"/>
  <c r="L635" i="33"/>
  <c r="K635" i="33"/>
  <c r="J635" i="33"/>
  <c r="I633" i="33"/>
  <c r="I632" i="33"/>
  <c r="O631" i="33"/>
  <c r="N631" i="33"/>
  <c r="K631" i="33"/>
  <c r="J631" i="33"/>
  <c r="I629" i="33"/>
  <c r="I628" i="33"/>
  <c r="O627" i="33"/>
  <c r="N627" i="33"/>
  <c r="M627" i="33"/>
  <c r="K627" i="33"/>
  <c r="J627" i="33"/>
  <c r="I625" i="33"/>
  <c r="I624" i="33"/>
  <c r="O623" i="33"/>
  <c r="N623" i="33"/>
  <c r="M623" i="33"/>
  <c r="K623" i="33"/>
  <c r="J623" i="33"/>
  <c r="I621" i="33"/>
  <c r="I620" i="33"/>
  <c r="O619" i="33"/>
  <c r="N619" i="33"/>
  <c r="L619" i="33"/>
  <c r="K619" i="33"/>
  <c r="J619" i="33"/>
  <c r="I617" i="33"/>
  <c r="I616" i="33"/>
  <c r="O615" i="33"/>
  <c r="N615" i="33"/>
  <c r="K615" i="33"/>
  <c r="J615" i="33"/>
  <c r="I613" i="33"/>
  <c r="I612" i="33"/>
  <c r="O611" i="33"/>
  <c r="N611" i="33"/>
  <c r="M611" i="33"/>
  <c r="L611" i="33"/>
  <c r="K611" i="33"/>
  <c r="J611" i="33"/>
  <c r="J711" i="33" s="1"/>
  <c r="O609" i="33"/>
  <c r="N609" i="33"/>
  <c r="M609" i="33"/>
  <c r="L609" i="33"/>
  <c r="K609" i="33"/>
  <c r="J609" i="33"/>
  <c r="O608" i="33"/>
  <c r="N608" i="33"/>
  <c r="M608" i="33"/>
  <c r="L608" i="33"/>
  <c r="K608" i="33"/>
  <c r="J608" i="33"/>
  <c r="O607" i="33"/>
  <c r="N607" i="33"/>
  <c r="M607" i="33"/>
  <c r="L607" i="33"/>
  <c r="K607" i="33"/>
  <c r="J607" i="33"/>
  <c r="I605" i="33"/>
  <c r="I604" i="33"/>
  <c r="I603" i="33"/>
  <c r="O602" i="33"/>
  <c r="N602" i="33"/>
  <c r="N606" i="33" s="1"/>
  <c r="M602" i="33"/>
  <c r="M606" i="33" s="1"/>
  <c r="L602" i="33"/>
  <c r="K602" i="33"/>
  <c r="J602" i="33"/>
  <c r="I601" i="33"/>
  <c r="I600" i="33"/>
  <c r="I599" i="33"/>
  <c r="K598" i="33"/>
  <c r="J598" i="33"/>
  <c r="I598" i="33" s="1"/>
  <c r="I597" i="33"/>
  <c r="I596" i="33"/>
  <c r="I595" i="33"/>
  <c r="I594" i="33"/>
  <c r="I593" i="33"/>
  <c r="I609" i="33" s="1"/>
  <c r="I592" i="33"/>
  <c r="I608" i="33" s="1"/>
  <c r="I591" i="33"/>
  <c r="I607" i="33" s="1"/>
  <c r="O590" i="33"/>
  <c r="O606" i="33" s="1"/>
  <c r="N590" i="33"/>
  <c r="M590" i="33"/>
  <c r="L590" i="33"/>
  <c r="K590" i="33"/>
  <c r="J590" i="33"/>
  <c r="O588" i="33"/>
  <c r="N588" i="33"/>
  <c r="M588" i="33"/>
  <c r="L588" i="33"/>
  <c r="K588" i="33"/>
  <c r="J588" i="33"/>
  <c r="O587" i="33"/>
  <c r="N587" i="33"/>
  <c r="M587" i="33"/>
  <c r="L587" i="33"/>
  <c r="K587" i="33"/>
  <c r="J587" i="33"/>
  <c r="O586" i="33"/>
  <c r="N586" i="33"/>
  <c r="M586" i="33"/>
  <c r="L586" i="33"/>
  <c r="K586" i="33"/>
  <c r="J586" i="33"/>
  <c r="I584" i="33"/>
  <c r="I588" i="33" s="1"/>
  <c r="I583" i="33"/>
  <c r="I587" i="33" s="1"/>
  <c r="I582" i="33"/>
  <c r="I586" i="33" s="1"/>
  <c r="O581" i="33"/>
  <c r="O585" i="33" s="1"/>
  <c r="N581" i="33"/>
  <c r="N585" i="33" s="1"/>
  <c r="M581" i="33"/>
  <c r="M585" i="33" s="1"/>
  <c r="L581" i="33"/>
  <c r="L585" i="33" s="1"/>
  <c r="K581" i="33"/>
  <c r="K585" i="33" s="1"/>
  <c r="J581" i="33"/>
  <c r="J585" i="33" s="1"/>
  <c r="O579" i="33"/>
  <c r="N579" i="33"/>
  <c r="M579" i="33"/>
  <c r="L579" i="33"/>
  <c r="K579" i="33"/>
  <c r="J579" i="33"/>
  <c r="I579" i="33"/>
  <c r="O578" i="33"/>
  <c r="N578" i="33"/>
  <c r="M578" i="33"/>
  <c r="L578" i="33"/>
  <c r="K578" i="33"/>
  <c r="J578" i="33"/>
  <c r="O577" i="33"/>
  <c r="N577" i="33"/>
  <c r="M577" i="33"/>
  <c r="L577" i="33"/>
  <c r="K577" i="33"/>
  <c r="J577" i="33"/>
  <c r="I577" i="33"/>
  <c r="I574" i="33"/>
  <c r="O572" i="33"/>
  <c r="N572" i="33"/>
  <c r="M572" i="33"/>
  <c r="L572" i="33"/>
  <c r="K572" i="33"/>
  <c r="J572" i="33"/>
  <c r="I570" i="33"/>
  <c r="O568" i="33"/>
  <c r="N568" i="33"/>
  <c r="M568" i="33"/>
  <c r="L568" i="33"/>
  <c r="K568" i="33"/>
  <c r="J568" i="33"/>
  <c r="I566" i="33"/>
  <c r="O564" i="33"/>
  <c r="N564" i="33"/>
  <c r="M564" i="33"/>
  <c r="L564" i="33"/>
  <c r="L576" i="33" s="1"/>
  <c r="K564" i="33"/>
  <c r="J564" i="33"/>
  <c r="O546" i="33"/>
  <c r="N546" i="33"/>
  <c r="M546" i="33"/>
  <c r="L546" i="33"/>
  <c r="K546" i="33"/>
  <c r="J546" i="33"/>
  <c r="I546" i="33"/>
  <c r="O545" i="33"/>
  <c r="N545" i="33"/>
  <c r="M545" i="33"/>
  <c r="L545" i="33"/>
  <c r="K545" i="33"/>
  <c r="J545" i="33"/>
  <c r="O544" i="33"/>
  <c r="N544" i="33"/>
  <c r="M544" i="33"/>
  <c r="L544" i="33"/>
  <c r="K544" i="33"/>
  <c r="J544" i="33"/>
  <c r="I544" i="33"/>
  <c r="N543" i="33"/>
  <c r="I541" i="33"/>
  <c r="O539" i="33"/>
  <c r="N539" i="33"/>
  <c r="L539" i="33"/>
  <c r="K539" i="33"/>
  <c r="J539" i="33"/>
  <c r="I537" i="33"/>
  <c r="O535" i="33"/>
  <c r="O543" i="33" s="1"/>
  <c r="M535" i="33"/>
  <c r="L535" i="33"/>
  <c r="K535" i="33"/>
  <c r="J535" i="33"/>
  <c r="I533" i="33"/>
  <c r="O531" i="33"/>
  <c r="N531" i="33"/>
  <c r="L531" i="33"/>
  <c r="K531" i="33"/>
  <c r="I531" i="33" s="1"/>
  <c r="I529" i="33"/>
  <c r="O527" i="33"/>
  <c r="M527" i="33"/>
  <c r="L527" i="33"/>
  <c r="K527" i="33"/>
  <c r="J527" i="33"/>
  <c r="J543" i="33" s="1"/>
  <c r="I527" i="33"/>
  <c r="I525" i="33"/>
  <c r="I545" i="33" s="1"/>
  <c r="O523" i="33"/>
  <c r="N523" i="33"/>
  <c r="L523" i="33"/>
  <c r="K523" i="33"/>
  <c r="I523" i="33"/>
  <c r="O521" i="33"/>
  <c r="N521" i="33"/>
  <c r="M521" i="33"/>
  <c r="L521" i="33"/>
  <c r="K521" i="33"/>
  <c r="J521" i="33"/>
  <c r="I521" i="33"/>
  <c r="O520" i="33"/>
  <c r="N520" i="33"/>
  <c r="M520" i="33"/>
  <c r="L520" i="33"/>
  <c r="K520" i="33"/>
  <c r="J520" i="33"/>
  <c r="O519" i="33"/>
  <c r="N519" i="33"/>
  <c r="M519" i="33"/>
  <c r="L519" i="33"/>
  <c r="K519" i="33"/>
  <c r="J519" i="33"/>
  <c r="I519" i="33"/>
  <c r="I516" i="33"/>
  <c r="O514" i="33"/>
  <c r="O518" i="33" s="1"/>
  <c r="N514" i="33"/>
  <c r="N518" i="33" s="1"/>
  <c r="M514" i="33"/>
  <c r="M518" i="33" s="1"/>
  <c r="L514" i="33"/>
  <c r="K514" i="33"/>
  <c r="I512" i="33"/>
  <c r="I520" i="33" s="1"/>
  <c r="O510" i="33"/>
  <c r="N510" i="33"/>
  <c r="L510" i="33"/>
  <c r="K510" i="33"/>
  <c r="J510" i="33"/>
  <c r="J518" i="33" s="1"/>
  <c r="O508" i="33"/>
  <c r="N508" i="33"/>
  <c r="M508" i="33"/>
  <c r="L508" i="33"/>
  <c r="K508" i="33"/>
  <c r="J508" i="33"/>
  <c r="O507" i="33"/>
  <c r="N507" i="33"/>
  <c r="M507" i="33"/>
  <c r="L507" i="33"/>
  <c r="K507" i="33"/>
  <c r="J507" i="33"/>
  <c r="O506" i="33"/>
  <c r="N506" i="33"/>
  <c r="M506" i="33"/>
  <c r="L506" i="33"/>
  <c r="K506" i="33"/>
  <c r="J506" i="33"/>
  <c r="I504" i="33"/>
  <c r="I503" i="33"/>
  <c r="I502" i="33"/>
  <c r="O501" i="33"/>
  <c r="N501" i="33"/>
  <c r="M501" i="33"/>
  <c r="I501" i="33" s="1"/>
  <c r="I500" i="33"/>
  <c r="I508" i="33" s="1"/>
  <c r="I499" i="33"/>
  <c r="I498" i="33"/>
  <c r="O497" i="33"/>
  <c r="N497" i="33"/>
  <c r="M497" i="33"/>
  <c r="I496" i="33"/>
  <c r="I495" i="33"/>
  <c r="I494" i="33"/>
  <c r="O493" i="33"/>
  <c r="N493" i="33"/>
  <c r="M493" i="33"/>
  <c r="L493" i="33"/>
  <c r="L505" i="33" s="1"/>
  <c r="K493" i="33"/>
  <c r="K505" i="33" s="1"/>
  <c r="J493" i="33"/>
  <c r="J505" i="33" s="1"/>
  <c r="O491" i="33"/>
  <c r="N491" i="33"/>
  <c r="M491" i="33"/>
  <c r="L491" i="33"/>
  <c r="K491" i="33"/>
  <c r="J491" i="33"/>
  <c r="O490" i="33"/>
  <c r="N490" i="33"/>
  <c r="M490" i="33"/>
  <c r="L490" i="33"/>
  <c r="K490" i="33"/>
  <c r="J490" i="33"/>
  <c r="O489" i="33"/>
  <c r="N489" i="33"/>
  <c r="M489" i="33"/>
  <c r="L489" i="33"/>
  <c r="K489" i="33"/>
  <c r="J489" i="33"/>
  <c r="I489" i="33"/>
  <c r="I487" i="33"/>
  <c r="I491" i="33" s="1"/>
  <c r="I486" i="33"/>
  <c r="I490" i="33" s="1"/>
  <c r="I485" i="33"/>
  <c r="O484" i="33"/>
  <c r="O488" i="33" s="1"/>
  <c r="N484" i="33"/>
  <c r="N488" i="33" s="1"/>
  <c r="M484" i="33"/>
  <c r="M488" i="33" s="1"/>
  <c r="L484" i="33"/>
  <c r="L488" i="33" s="1"/>
  <c r="K484" i="33"/>
  <c r="K488" i="33" s="1"/>
  <c r="J484" i="33"/>
  <c r="O482" i="33"/>
  <c r="N482" i="33"/>
  <c r="M482" i="33"/>
  <c r="L482" i="33"/>
  <c r="K482" i="33"/>
  <c r="J482" i="33"/>
  <c r="I482" i="33"/>
  <c r="O481" i="33"/>
  <c r="N481" i="33"/>
  <c r="M481" i="33"/>
  <c r="L481" i="33"/>
  <c r="K481" i="33"/>
  <c r="J481" i="33"/>
  <c r="O480" i="33"/>
  <c r="N480" i="33"/>
  <c r="M480" i="33"/>
  <c r="L480" i="33"/>
  <c r="K480" i="33"/>
  <c r="J480" i="33"/>
  <c r="I480" i="33"/>
  <c r="I477" i="33"/>
  <c r="I481" i="33" s="1"/>
  <c r="O475" i="33"/>
  <c r="O479" i="33" s="1"/>
  <c r="N475" i="33"/>
  <c r="N479" i="33" s="1"/>
  <c r="M475" i="33"/>
  <c r="M479" i="33" s="1"/>
  <c r="L475" i="33"/>
  <c r="L479" i="33" s="1"/>
  <c r="K475" i="33"/>
  <c r="K479" i="33" s="1"/>
  <c r="J475" i="33"/>
  <c r="J479" i="33" s="1"/>
  <c r="O473" i="33"/>
  <c r="N473" i="33"/>
  <c r="M473" i="33"/>
  <c r="L473" i="33"/>
  <c r="K473" i="33"/>
  <c r="J473" i="33"/>
  <c r="O472" i="33"/>
  <c r="N472" i="33"/>
  <c r="M472" i="33"/>
  <c r="L472" i="33"/>
  <c r="K472" i="33"/>
  <c r="J472" i="33"/>
  <c r="O471" i="33"/>
  <c r="N471" i="33"/>
  <c r="M471" i="33"/>
  <c r="L471" i="33"/>
  <c r="K471" i="33"/>
  <c r="J471" i="33"/>
  <c r="P470" i="33"/>
  <c r="I469" i="33"/>
  <c r="I468" i="33"/>
  <c r="I467" i="33"/>
  <c r="O466" i="33"/>
  <c r="N466" i="33"/>
  <c r="M466" i="33"/>
  <c r="L466" i="33"/>
  <c r="K466" i="33"/>
  <c r="J466" i="33"/>
  <c r="I465" i="33"/>
  <c r="I464" i="33"/>
  <c r="I472" i="33" s="1"/>
  <c r="I463" i="33"/>
  <c r="I471" i="33" s="1"/>
  <c r="O462" i="33"/>
  <c r="N462" i="33"/>
  <c r="M462" i="33"/>
  <c r="L462" i="33"/>
  <c r="L470" i="33" s="1"/>
  <c r="K462" i="33"/>
  <c r="J462" i="33"/>
  <c r="O460" i="33"/>
  <c r="N460" i="33"/>
  <c r="M460" i="33"/>
  <c r="L460" i="33"/>
  <c r="K460" i="33"/>
  <c r="J460" i="33"/>
  <c r="O459" i="33"/>
  <c r="N459" i="33"/>
  <c r="M459" i="33"/>
  <c r="L459" i="33"/>
  <c r="K459" i="33"/>
  <c r="J459" i="33"/>
  <c r="O458" i="33"/>
  <c r="N458" i="33"/>
  <c r="M458" i="33"/>
  <c r="L458" i="33"/>
  <c r="K458" i="33"/>
  <c r="J458" i="33"/>
  <c r="I456" i="33"/>
  <c r="I455" i="33"/>
  <c r="I454" i="33"/>
  <c r="O453" i="33"/>
  <c r="N453" i="33"/>
  <c r="M453" i="33"/>
  <c r="K453" i="33"/>
  <c r="J453" i="33"/>
  <c r="I452" i="33"/>
  <c r="I451" i="33"/>
  <c r="I450" i="33"/>
  <c r="O449" i="33"/>
  <c r="N449" i="33"/>
  <c r="M449" i="33"/>
  <c r="L449" i="33"/>
  <c r="K449" i="33"/>
  <c r="J449" i="33"/>
  <c r="I448" i="33"/>
  <c r="I447" i="33"/>
  <c r="I446" i="33"/>
  <c r="O445" i="33"/>
  <c r="N445" i="33"/>
  <c r="M445" i="33"/>
  <c r="L445" i="33"/>
  <c r="K445" i="33"/>
  <c r="J445" i="33"/>
  <c r="I444" i="33"/>
  <c r="I443" i="33"/>
  <c r="I442" i="33"/>
  <c r="O441" i="33"/>
  <c r="N441" i="33"/>
  <c r="M441" i="33"/>
  <c r="L441" i="33"/>
  <c r="K441" i="33"/>
  <c r="J441" i="33"/>
  <c r="O439" i="33"/>
  <c r="N439" i="33"/>
  <c r="M439" i="33"/>
  <c r="L439" i="33"/>
  <c r="K439" i="33"/>
  <c r="J439" i="33"/>
  <c r="I439" i="33"/>
  <c r="O438" i="33"/>
  <c r="N438" i="33"/>
  <c r="M438" i="33"/>
  <c r="L438" i="33"/>
  <c r="K438" i="33"/>
  <c r="J438" i="33"/>
  <c r="O437" i="33"/>
  <c r="N437" i="33"/>
  <c r="M437" i="33"/>
  <c r="L437" i="33"/>
  <c r="K437" i="33"/>
  <c r="J437" i="33"/>
  <c r="I437" i="33"/>
  <c r="I418" i="33"/>
  <c r="I438" i="33" s="1"/>
  <c r="O416" i="33"/>
  <c r="O436" i="33" s="1"/>
  <c r="N416" i="33"/>
  <c r="N436" i="33" s="1"/>
  <c r="M416" i="33"/>
  <c r="M436" i="33" s="1"/>
  <c r="L416" i="33"/>
  <c r="L436" i="33" s="1"/>
  <c r="K416" i="33"/>
  <c r="K436" i="33" s="1"/>
  <c r="J416" i="33"/>
  <c r="J436" i="33" s="1"/>
  <c r="O414" i="33"/>
  <c r="N414" i="33"/>
  <c r="M414" i="33"/>
  <c r="L414" i="33"/>
  <c r="K414" i="33"/>
  <c r="J414" i="33"/>
  <c r="I414" i="33"/>
  <c r="O413" i="33"/>
  <c r="N413" i="33"/>
  <c r="M413" i="33"/>
  <c r="L413" i="33"/>
  <c r="K413" i="33"/>
  <c r="J413" i="33"/>
  <c r="O412" i="33"/>
  <c r="N412" i="33"/>
  <c r="M412" i="33"/>
  <c r="L412" i="33"/>
  <c r="K412" i="33"/>
  <c r="J412" i="33"/>
  <c r="I409" i="33"/>
  <c r="I408" i="33"/>
  <c r="I407" i="33"/>
  <c r="I405" i="33"/>
  <c r="I404" i="33"/>
  <c r="I403" i="33"/>
  <c r="I401" i="33"/>
  <c r="I400" i="33"/>
  <c r="I399" i="33"/>
  <c r="I397" i="33"/>
  <c r="I396" i="33"/>
  <c r="I395" i="33"/>
  <c r="I393" i="33"/>
  <c r="I392" i="33"/>
  <c r="I391" i="33"/>
  <c r="I389" i="33"/>
  <c r="I388" i="33"/>
  <c r="I387" i="33"/>
  <c r="I385" i="33"/>
  <c r="I384" i="33"/>
  <c r="O383" i="33"/>
  <c r="N383" i="33"/>
  <c r="L383" i="33"/>
  <c r="K383" i="33"/>
  <c r="K411" i="33" s="1"/>
  <c r="J383" i="33"/>
  <c r="I381" i="33"/>
  <c r="I380" i="33"/>
  <c r="O379" i="33"/>
  <c r="N379" i="33"/>
  <c r="M379" i="33"/>
  <c r="K379" i="33"/>
  <c r="J379" i="33"/>
  <c r="I377" i="33"/>
  <c r="I376" i="33"/>
  <c r="O375" i="33"/>
  <c r="M375" i="33"/>
  <c r="L375" i="33"/>
  <c r="K375" i="33"/>
  <c r="I373" i="33"/>
  <c r="I372" i="33"/>
  <c r="O371" i="33"/>
  <c r="N371" i="33"/>
  <c r="M371" i="33"/>
  <c r="L371" i="33"/>
  <c r="K371" i="33"/>
  <c r="J371" i="33"/>
  <c r="I369" i="33"/>
  <c r="I368" i="33"/>
  <c r="O367" i="33"/>
  <c r="N367" i="33"/>
  <c r="N411" i="33" s="1"/>
  <c r="M367" i="33"/>
  <c r="L367" i="33"/>
  <c r="K367" i="33"/>
  <c r="J367" i="33"/>
  <c r="O365" i="33"/>
  <c r="N365" i="33"/>
  <c r="M365" i="33"/>
  <c r="L365" i="33"/>
  <c r="K365" i="33"/>
  <c r="J365" i="33"/>
  <c r="O364" i="33"/>
  <c r="N364" i="33"/>
  <c r="M364" i="33"/>
  <c r="L364" i="33"/>
  <c r="K364" i="33"/>
  <c r="J364" i="33"/>
  <c r="O363" i="33"/>
  <c r="N363" i="33"/>
  <c r="M363" i="33"/>
  <c r="L363" i="33"/>
  <c r="K363" i="33"/>
  <c r="J363" i="33"/>
  <c r="I361" i="33"/>
  <c r="I360" i="33"/>
  <c r="I359" i="33"/>
  <c r="O358" i="33"/>
  <c r="N358" i="33"/>
  <c r="M358" i="33"/>
  <c r="L358" i="33"/>
  <c r="K358" i="33"/>
  <c r="J358" i="33"/>
  <c r="I357" i="33"/>
  <c r="I356" i="33"/>
  <c r="I355" i="33"/>
  <c r="O354" i="33"/>
  <c r="N354" i="33"/>
  <c r="M354" i="33"/>
  <c r="L354" i="33"/>
  <c r="K354" i="33"/>
  <c r="J354" i="33"/>
  <c r="I353" i="33"/>
  <c r="I352" i="33"/>
  <c r="I364" i="33" s="1"/>
  <c r="I351" i="33"/>
  <c r="O350" i="33"/>
  <c r="N350" i="33"/>
  <c r="M350" i="33"/>
  <c r="L350" i="33"/>
  <c r="K350" i="33"/>
  <c r="J350" i="33"/>
  <c r="O348" i="33"/>
  <c r="N348" i="33"/>
  <c r="M348" i="33"/>
  <c r="L348" i="33"/>
  <c r="K348" i="33"/>
  <c r="J348" i="33"/>
  <c r="O347" i="33"/>
  <c r="N347" i="33"/>
  <c r="M347" i="33"/>
  <c r="L347" i="33"/>
  <c r="K347" i="33"/>
  <c r="J347" i="33"/>
  <c r="O346" i="33"/>
  <c r="N346" i="33"/>
  <c r="M346" i="33"/>
  <c r="L346" i="33"/>
  <c r="K346" i="33"/>
  <c r="J346" i="33"/>
  <c r="I344" i="33"/>
  <c r="I343" i="33"/>
  <c r="I342" i="33"/>
  <c r="O341" i="33"/>
  <c r="N341" i="33"/>
  <c r="M341" i="33"/>
  <c r="L341" i="33"/>
  <c r="K341" i="33"/>
  <c r="J341" i="33"/>
  <c r="I340" i="33"/>
  <c r="I339" i="33"/>
  <c r="I338" i="33"/>
  <c r="O337" i="33"/>
  <c r="N337" i="33"/>
  <c r="M337" i="33"/>
  <c r="L337" i="33"/>
  <c r="K337" i="33"/>
  <c r="J337" i="33"/>
  <c r="I336" i="33"/>
  <c r="I335" i="33"/>
  <c r="I334" i="33"/>
  <c r="O333" i="33"/>
  <c r="N333" i="33"/>
  <c r="M333" i="33"/>
  <c r="L333" i="33"/>
  <c r="K333" i="33"/>
  <c r="J333" i="33"/>
  <c r="I332" i="33"/>
  <c r="I331" i="33"/>
  <c r="I330" i="33"/>
  <c r="O329" i="33"/>
  <c r="N329" i="33"/>
  <c r="M329" i="33"/>
  <c r="L329" i="33"/>
  <c r="K329" i="33"/>
  <c r="J329" i="33"/>
  <c r="I328" i="33"/>
  <c r="I327" i="33"/>
  <c r="I326" i="33"/>
  <c r="O325" i="33"/>
  <c r="N325" i="33"/>
  <c r="M325" i="33"/>
  <c r="L325" i="33"/>
  <c r="K325" i="33"/>
  <c r="J325" i="33"/>
  <c r="I324" i="33"/>
  <c r="I323" i="33"/>
  <c r="I322" i="33"/>
  <c r="O321" i="33"/>
  <c r="N321" i="33"/>
  <c r="M321" i="33"/>
  <c r="L321" i="33"/>
  <c r="K321" i="33"/>
  <c r="J321" i="33"/>
  <c r="I320" i="33"/>
  <c r="I319" i="33"/>
  <c r="I318" i="33"/>
  <c r="O317" i="33"/>
  <c r="N317" i="33"/>
  <c r="M317" i="33"/>
  <c r="L317" i="33"/>
  <c r="K317" i="33"/>
  <c r="J317" i="33"/>
  <c r="I317" i="33" s="1"/>
  <c r="I316" i="33"/>
  <c r="I315" i="33"/>
  <c r="I314" i="33"/>
  <c r="O313" i="33"/>
  <c r="N313" i="33"/>
  <c r="M313" i="33"/>
  <c r="L313" i="33"/>
  <c r="K313" i="33"/>
  <c r="J313" i="33"/>
  <c r="I312" i="33"/>
  <c r="I311" i="33"/>
  <c r="I310" i="33"/>
  <c r="O309" i="33"/>
  <c r="N309" i="33"/>
  <c r="M309" i="33"/>
  <c r="L309" i="33"/>
  <c r="K309" i="33"/>
  <c r="J309" i="33"/>
  <c r="I308" i="33"/>
  <c r="I307" i="33"/>
  <c r="I306" i="33"/>
  <c r="O305" i="33"/>
  <c r="N305" i="33"/>
  <c r="M305" i="33"/>
  <c r="M345" i="33" s="1"/>
  <c r="L305" i="33"/>
  <c r="K305" i="33"/>
  <c r="J305" i="33"/>
  <c r="I304" i="33"/>
  <c r="I303" i="33"/>
  <c r="I302" i="33"/>
  <c r="O301" i="33"/>
  <c r="N301" i="33"/>
  <c r="M301" i="33"/>
  <c r="L301" i="33"/>
  <c r="K301" i="33"/>
  <c r="J301" i="33"/>
  <c r="O299" i="33"/>
  <c r="N299" i="33"/>
  <c r="M299" i="33"/>
  <c r="L299" i="33"/>
  <c r="K299" i="33"/>
  <c r="J299" i="33"/>
  <c r="O298" i="33"/>
  <c r="N298" i="33"/>
  <c r="M298" i="33"/>
  <c r="L298" i="33"/>
  <c r="K298" i="33"/>
  <c r="J298" i="33"/>
  <c r="O297" i="33"/>
  <c r="N297" i="33"/>
  <c r="M297" i="33"/>
  <c r="L297" i="33"/>
  <c r="K297" i="33"/>
  <c r="J297" i="33"/>
  <c r="P296" i="33"/>
  <c r="I295" i="33"/>
  <c r="I294" i="33"/>
  <c r="I293" i="33"/>
  <c r="O292" i="33"/>
  <c r="N292" i="33"/>
  <c r="M292" i="33"/>
  <c r="L292" i="33"/>
  <c r="K292" i="33"/>
  <c r="J292" i="33"/>
  <c r="I292" i="33" s="1"/>
  <c r="I291" i="33"/>
  <c r="I290" i="33"/>
  <c r="I289" i="33"/>
  <c r="O288" i="33"/>
  <c r="N288" i="33"/>
  <c r="M288" i="33"/>
  <c r="L288" i="33"/>
  <c r="K288" i="33"/>
  <c r="J288" i="33"/>
  <c r="I287" i="33"/>
  <c r="I286" i="33"/>
  <c r="I285" i="33"/>
  <c r="O284" i="33"/>
  <c r="N284" i="33"/>
  <c r="M284" i="33"/>
  <c r="L284" i="33"/>
  <c r="K284" i="33"/>
  <c r="J284" i="33"/>
  <c r="I283" i="33"/>
  <c r="I282" i="33"/>
  <c r="I281" i="33"/>
  <c r="O280" i="33"/>
  <c r="N280" i="33"/>
  <c r="M280" i="33"/>
  <c r="L280" i="33"/>
  <c r="K280" i="33"/>
  <c r="J280" i="33"/>
  <c r="I279" i="33"/>
  <c r="I278" i="33"/>
  <c r="I277" i="33"/>
  <c r="O276" i="33"/>
  <c r="N276" i="33"/>
  <c r="I276" i="33" s="1"/>
  <c r="M276" i="33"/>
  <c r="L276" i="33"/>
  <c r="K276" i="33"/>
  <c r="J276" i="33"/>
  <c r="I275" i="33"/>
  <c r="I274" i="33"/>
  <c r="I273" i="33"/>
  <c r="O272" i="33"/>
  <c r="N272" i="33"/>
  <c r="M272" i="33"/>
  <c r="L272" i="33"/>
  <c r="K272" i="33"/>
  <c r="J272" i="33"/>
  <c r="I272" i="33" s="1"/>
  <c r="I271" i="33"/>
  <c r="I270" i="33"/>
  <c r="I269" i="33"/>
  <c r="O268" i="33"/>
  <c r="N268" i="33"/>
  <c r="M268" i="33"/>
  <c r="L268" i="33"/>
  <c r="K268" i="33"/>
  <c r="J268" i="33"/>
  <c r="I267" i="33"/>
  <c r="I266" i="33"/>
  <c r="I265" i="33"/>
  <c r="O264" i="33"/>
  <c r="N264" i="33"/>
  <c r="M264" i="33"/>
  <c r="L264" i="33"/>
  <c r="K264" i="33"/>
  <c r="J264" i="33"/>
  <c r="I263" i="33"/>
  <c r="I262" i="33"/>
  <c r="I261" i="33"/>
  <c r="O260" i="33"/>
  <c r="N260" i="33"/>
  <c r="M260" i="33"/>
  <c r="L260" i="33"/>
  <c r="K260" i="33"/>
  <c r="J260" i="33"/>
  <c r="O258" i="33"/>
  <c r="N258" i="33"/>
  <c r="M258" i="33"/>
  <c r="L258" i="33"/>
  <c r="K258" i="33"/>
  <c r="J258" i="33"/>
  <c r="O257" i="33"/>
  <c r="N257" i="33"/>
  <c r="L257" i="33"/>
  <c r="O256" i="33"/>
  <c r="N256" i="33"/>
  <c r="M256" i="33"/>
  <c r="L256" i="33"/>
  <c r="K256" i="33"/>
  <c r="J256" i="33"/>
  <c r="O255" i="33"/>
  <c r="N255" i="33"/>
  <c r="L255" i="33"/>
  <c r="K255" i="33"/>
  <c r="I254" i="33"/>
  <c r="I253" i="33"/>
  <c r="I252" i="33"/>
  <c r="I251" i="33"/>
  <c r="I250" i="33"/>
  <c r="I249" i="33"/>
  <c r="I248" i="33"/>
  <c r="J247" i="33"/>
  <c r="I247" i="33" s="1"/>
  <c r="I246" i="33"/>
  <c r="I245" i="33"/>
  <c r="I244" i="33"/>
  <c r="J243" i="33"/>
  <c r="I243" i="33" s="1"/>
  <c r="I242" i="33"/>
  <c r="I241" i="33"/>
  <c r="I240" i="33"/>
  <c r="I239" i="33"/>
  <c r="I238" i="33"/>
  <c r="I237" i="33"/>
  <c r="I236" i="33"/>
  <c r="I235" i="33"/>
  <c r="I234" i="33"/>
  <c r="I233" i="33"/>
  <c r="I232" i="33"/>
  <c r="I231" i="33"/>
  <c r="I230" i="33"/>
  <c r="I229" i="33"/>
  <c r="I228" i="33"/>
  <c r="I227" i="33"/>
  <c r="I226" i="33"/>
  <c r="I225" i="33"/>
  <c r="I224" i="33"/>
  <c r="I223" i="33"/>
  <c r="I222" i="33"/>
  <c r="I221" i="33"/>
  <c r="I220" i="33"/>
  <c r="I219" i="33"/>
  <c r="I218" i="33"/>
  <c r="I217" i="33"/>
  <c r="I216" i="33"/>
  <c r="I215" i="33"/>
  <c r="I214" i="33"/>
  <c r="I213" i="33"/>
  <c r="I212" i="33"/>
  <c r="J211" i="33"/>
  <c r="I211" i="33"/>
  <c r="I210" i="33"/>
  <c r="I209" i="33"/>
  <c r="I208" i="33"/>
  <c r="J207" i="33"/>
  <c r="I207" i="33"/>
  <c r="I206" i="33"/>
  <c r="I205" i="33"/>
  <c r="I204" i="33"/>
  <c r="J203" i="33"/>
  <c r="I203" i="33"/>
  <c r="I202" i="33"/>
  <c r="J201" i="33"/>
  <c r="J257" i="33" s="1"/>
  <c r="I201" i="33"/>
  <c r="I200" i="33"/>
  <c r="I199" i="33"/>
  <c r="I198" i="33"/>
  <c r="J197" i="33"/>
  <c r="I197" i="33"/>
  <c r="I196" i="33"/>
  <c r="I195" i="33"/>
  <c r="I194" i="33"/>
  <c r="O193" i="33"/>
  <c r="I193" i="33" s="1"/>
  <c r="I192" i="33"/>
  <c r="I191" i="33"/>
  <c r="I190" i="33"/>
  <c r="M189" i="33"/>
  <c r="M257" i="33" s="1"/>
  <c r="I189" i="33"/>
  <c r="I188" i="33"/>
  <c r="M187" i="33"/>
  <c r="I187" i="33" s="1"/>
  <c r="I186" i="33"/>
  <c r="K185" i="33"/>
  <c r="I185" i="33"/>
  <c r="I184" i="33"/>
  <c r="I183" i="33"/>
  <c r="I182" i="33"/>
  <c r="K181" i="33"/>
  <c r="I181" i="33" s="1"/>
  <c r="I180" i="33"/>
  <c r="I179" i="33"/>
  <c r="O177" i="33"/>
  <c r="N177" i="33"/>
  <c r="M177" i="33"/>
  <c r="L177" i="33"/>
  <c r="K177" i="33"/>
  <c r="J177" i="33"/>
  <c r="O176" i="33"/>
  <c r="N176" i="33"/>
  <c r="M176" i="33"/>
  <c r="L176" i="33"/>
  <c r="K176" i="33"/>
  <c r="J176" i="33"/>
  <c r="O175" i="33"/>
  <c r="N175" i="33"/>
  <c r="M175" i="33"/>
  <c r="L175" i="33"/>
  <c r="K175" i="33"/>
  <c r="J175" i="33"/>
  <c r="I173" i="33"/>
  <c r="I172" i="33"/>
  <c r="I171" i="33"/>
  <c r="O170" i="33"/>
  <c r="N170" i="33"/>
  <c r="M170" i="33"/>
  <c r="L170" i="33"/>
  <c r="K170" i="33"/>
  <c r="J170" i="33"/>
  <c r="I169" i="33"/>
  <c r="I168" i="33"/>
  <c r="I167" i="33"/>
  <c r="O166" i="33"/>
  <c r="M166" i="33"/>
  <c r="L166" i="33"/>
  <c r="K166" i="33"/>
  <c r="J166" i="33"/>
  <c r="I165" i="33"/>
  <c r="I164" i="33"/>
  <c r="I163" i="33"/>
  <c r="O162" i="33"/>
  <c r="N162" i="33"/>
  <c r="L162" i="33"/>
  <c r="K162" i="33"/>
  <c r="J162" i="33"/>
  <c r="I161" i="33"/>
  <c r="I160" i="33"/>
  <c r="I159" i="33"/>
  <c r="O158" i="33"/>
  <c r="M158" i="33"/>
  <c r="L158" i="33"/>
  <c r="K158" i="33"/>
  <c r="J158" i="33"/>
  <c r="I157" i="33"/>
  <c r="I156" i="33"/>
  <c r="I155" i="33"/>
  <c r="O154" i="33"/>
  <c r="M154" i="33"/>
  <c r="I154" i="33" s="1"/>
  <c r="L154" i="33"/>
  <c r="K154" i="33"/>
  <c r="J154" i="33"/>
  <c r="I153" i="33"/>
  <c r="I152" i="33"/>
  <c r="I151" i="33"/>
  <c r="O150" i="33"/>
  <c r="N150" i="33"/>
  <c r="L150" i="33"/>
  <c r="K150" i="33"/>
  <c r="J150" i="33"/>
  <c r="I149" i="33"/>
  <c r="I148" i="33"/>
  <c r="I147" i="33"/>
  <c r="O146" i="33"/>
  <c r="M146" i="33"/>
  <c r="L146" i="33"/>
  <c r="K146" i="33"/>
  <c r="J146" i="33"/>
  <c r="I145" i="33"/>
  <c r="I144" i="33"/>
  <c r="I143" i="33"/>
  <c r="O142" i="33"/>
  <c r="N142" i="33"/>
  <c r="L142" i="33"/>
  <c r="K142" i="33"/>
  <c r="J142" i="33"/>
  <c r="I141" i="33"/>
  <c r="I140" i="33"/>
  <c r="I139" i="33"/>
  <c r="O138" i="33"/>
  <c r="M138" i="33"/>
  <c r="L138" i="33"/>
  <c r="K138" i="33"/>
  <c r="J138" i="33"/>
  <c r="I137" i="33"/>
  <c r="I136" i="33"/>
  <c r="I135" i="33"/>
  <c r="O134" i="33"/>
  <c r="N134" i="33"/>
  <c r="L134" i="33"/>
  <c r="K134" i="33"/>
  <c r="J134" i="33"/>
  <c r="I133" i="33"/>
  <c r="I132" i="33"/>
  <c r="I131" i="33"/>
  <c r="O130" i="33"/>
  <c r="M130" i="33"/>
  <c r="L130" i="33"/>
  <c r="K130" i="33"/>
  <c r="J130" i="33"/>
  <c r="I129" i="33"/>
  <c r="I128" i="33"/>
  <c r="I127" i="33"/>
  <c r="O126" i="33"/>
  <c r="N126" i="33"/>
  <c r="L126" i="33"/>
  <c r="K126" i="33"/>
  <c r="I125" i="33"/>
  <c r="I124" i="33"/>
  <c r="I123" i="33"/>
  <c r="O122" i="33"/>
  <c r="M122" i="33"/>
  <c r="L122" i="33"/>
  <c r="K122" i="33"/>
  <c r="I121" i="33"/>
  <c r="I120" i="33"/>
  <c r="I119" i="33"/>
  <c r="O118" i="33"/>
  <c r="N118" i="33"/>
  <c r="L118" i="33"/>
  <c r="K118" i="33"/>
  <c r="O116" i="33"/>
  <c r="N116" i="33"/>
  <c r="M116" i="33"/>
  <c r="L116" i="33"/>
  <c r="K116" i="33"/>
  <c r="J116" i="33"/>
  <c r="O115" i="33"/>
  <c r="N115" i="33"/>
  <c r="M115" i="33"/>
  <c r="L115" i="33"/>
  <c r="K115" i="33"/>
  <c r="J115" i="33"/>
  <c r="O114" i="33"/>
  <c r="N114" i="33"/>
  <c r="M114" i="33"/>
  <c r="L114" i="33"/>
  <c r="K114" i="33"/>
  <c r="J114" i="33"/>
  <c r="I112" i="33"/>
  <c r="I111" i="33"/>
  <c r="I110" i="33"/>
  <c r="O109" i="33"/>
  <c r="N109" i="33"/>
  <c r="M109" i="33"/>
  <c r="L109" i="33"/>
  <c r="K109" i="33"/>
  <c r="J109" i="33"/>
  <c r="I108" i="33"/>
  <c r="I116" i="33" s="1"/>
  <c r="I107" i="33"/>
  <c r="I115" i="33" s="1"/>
  <c r="I106" i="33"/>
  <c r="I114" i="33" s="1"/>
  <c r="O105" i="33"/>
  <c r="O113" i="33" s="1"/>
  <c r="N105" i="33"/>
  <c r="M105" i="33"/>
  <c r="L105" i="33"/>
  <c r="K105" i="33"/>
  <c r="J105" i="33"/>
  <c r="J113" i="33" s="1"/>
  <c r="O103" i="33"/>
  <c r="N103" i="33"/>
  <c r="M103" i="33"/>
  <c r="L103" i="33"/>
  <c r="K103" i="33"/>
  <c r="J103" i="33"/>
  <c r="O102" i="33"/>
  <c r="N102" i="33"/>
  <c r="M102" i="33"/>
  <c r="L102" i="33"/>
  <c r="K102" i="33"/>
  <c r="J102" i="33"/>
  <c r="O101" i="33"/>
  <c r="N101" i="33"/>
  <c r="M101" i="33"/>
  <c r="L101" i="33"/>
  <c r="K101" i="33"/>
  <c r="J101" i="33"/>
  <c r="I99" i="33"/>
  <c r="I98" i="33"/>
  <c r="I97" i="33"/>
  <c r="I96" i="33"/>
  <c r="I95" i="33"/>
  <c r="I94" i="33"/>
  <c r="I93" i="33"/>
  <c r="O92" i="33"/>
  <c r="N92" i="33"/>
  <c r="M92" i="33"/>
  <c r="L92" i="33"/>
  <c r="K92" i="33"/>
  <c r="J92" i="33"/>
  <c r="I91" i="33"/>
  <c r="I90" i="33"/>
  <c r="I89" i="33"/>
  <c r="O88" i="33"/>
  <c r="I88" i="33" s="1"/>
  <c r="N88" i="33"/>
  <c r="M88" i="33"/>
  <c r="L88" i="33"/>
  <c r="K88" i="33"/>
  <c r="J88" i="33"/>
  <c r="I87" i="33"/>
  <c r="I86" i="33"/>
  <c r="I85" i="33"/>
  <c r="O84" i="33"/>
  <c r="M84" i="33"/>
  <c r="L84" i="33"/>
  <c r="K84" i="33"/>
  <c r="J84" i="33"/>
  <c r="I84" i="33" s="1"/>
  <c r="I83" i="33"/>
  <c r="I82" i="33"/>
  <c r="I81" i="33"/>
  <c r="O80" i="33"/>
  <c r="N80" i="33"/>
  <c r="M80" i="33"/>
  <c r="L80" i="33"/>
  <c r="K80" i="33"/>
  <c r="J80" i="33"/>
  <c r="I80" i="33" s="1"/>
  <c r="I79" i="33"/>
  <c r="I78" i="33"/>
  <c r="I77" i="33"/>
  <c r="O76" i="33"/>
  <c r="N76" i="33"/>
  <c r="M76" i="33"/>
  <c r="L76" i="33"/>
  <c r="K76" i="33"/>
  <c r="J76" i="33"/>
  <c r="I75" i="33"/>
  <c r="I74" i="33"/>
  <c r="I73" i="33"/>
  <c r="O72" i="33"/>
  <c r="N72" i="33"/>
  <c r="M72" i="33"/>
  <c r="L72" i="33"/>
  <c r="K72" i="33"/>
  <c r="J72" i="33"/>
  <c r="I72" i="33" s="1"/>
  <c r="I71" i="33"/>
  <c r="I70" i="33"/>
  <c r="I69" i="33"/>
  <c r="O68" i="33"/>
  <c r="N68" i="33"/>
  <c r="M68" i="33"/>
  <c r="L68" i="33"/>
  <c r="K68" i="33"/>
  <c r="J68" i="33"/>
  <c r="I67" i="33"/>
  <c r="I66" i="33"/>
  <c r="I65" i="33"/>
  <c r="O64" i="33"/>
  <c r="N64" i="33"/>
  <c r="M64" i="33"/>
  <c r="L64" i="33"/>
  <c r="J64" i="33"/>
  <c r="I63" i="33"/>
  <c r="I62" i="33"/>
  <c r="I61" i="33"/>
  <c r="O60" i="33"/>
  <c r="N60" i="33"/>
  <c r="M60" i="33"/>
  <c r="L60" i="33"/>
  <c r="K60" i="33"/>
  <c r="J60" i="33"/>
  <c r="I59" i="33"/>
  <c r="I58" i="33"/>
  <c r="I57" i="33"/>
  <c r="O56" i="33"/>
  <c r="N56" i="33"/>
  <c r="M56" i="33"/>
  <c r="L56" i="33"/>
  <c r="K56" i="33"/>
  <c r="J56" i="33"/>
  <c r="I55" i="33"/>
  <c r="I54" i="33"/>
  <c r="I53" i="33"/>
  <c r="O52" i="33"/>
  <c r="N52" i="33"/>
  <c r="I52" i="33" s="1"/>
  <c r="M52" i="33"/>
  <c r="L52" i="33"/>
  <c r="K52" i="33"/>
  <c r="J52" i="33"/>
  <c r="I51" i="33"/>
  <c r="I50" i="33"/>
  <c r="I49" i="33"/>
  <c r="O48" i="33"/>
  <c r="N48" i="33"/>
  <c r="M48" i="33"/>
  <c r="L48" i="33"/>
  <c r="K48" i="33"/>
  <c r="J48" i="33"/>
  <c r="I48" i="33" s="1"/>
  <c r="I47" i="33"/>
  <c r="I46" i="33"/>
  <c r="I45" i="33"/>
  <c r="O44" i="33"/>
  <c r="N44" i="33"/>
  <c r="M44" i="33"/>
  <c r="L44" i="33"/>
  <c r="K44" i="33"/>
  <c r="J44" i="33"/>
  <c r="O42" i="33"/>
  <c r="N42" i="33"/>
  <c r="M42" i="33"/>
  <c r="L42" i="33"/>
  <c r="K42" i="33"/>
  <c r="J42" i="33"/>
  <c r="O41" i="33"/>
  <c r="N41" i="33"/>
  <c r="M41" i="33"/>
  <c r="L41" i="33"/>
  <c r="K41" i="33"/>
  <c r="J41" i="33"/>
  <c r="O40" i="33"/>
  <c r="N40" i="33"/>
  <c r="M40" i="33"/>
  <c r="L40" i="33"/>
  <c r="K40" i="33"/>
  <c r="J40" i="33"/>
  <c r="I38" i="33"/>
  <c r="I37" i="33"/>
  <c r="I36" i="33"/>
  <c r="O35" i="33"/>
  <c r="N35" i="33"/>
  <c r="M35" i="33"/>
  <c r="L35" i="33"/>
  <c r="I34" i="33"/>
  <c r="I33" i="33"/>
  <c r="I32" i="33"/>
  <c r="O31" i="33"/>
  <c r="N31" i="33"/>
  <c r="M31" i="33"/>
  <c r="L31" i="33"/>
  <c r="K31" i="33"/>
  <c r="J31" i="33"/>
  <c r="I30" i="33"/>
  <c r="I29" i="33"/>
  <c r="I28" i="33"/>
  <c r="O27" i="33"/>
  <c r="N27" i="33"/>
  <c r="M27" i="33"/>
  <c r="L27" i="33"/>
  <c r="K27" i="33"/>
  <c r="J27" i="33"/>
  <c r="I26" i="33"/>
  <c r="I25" i="33"/>
  <c r="I24" i="33"/>
  <c r="O23" i="33"/>
  <c r="N23" i="33"/>
  <c r="M23" i="33"/>
  <c r="L23" i="33"/>
  <c r="K23" i="33"/>
  <c r="J23" i="33"/>
  <c r="I22" i="33"/>
  <c r="I21" i="33"/>
  <c r="I20" i="33"/>
  <c r="O19" i="33"/>
  <c r="N19" i="33"/>
  <c r="I19" i="33" s="1"/>
  <c r="M19" i="33"/>
  <c r="L19" i="33"/>
  <c r="K19" i="33"/>
  <c r="J19" i="33"/>
  <c r="I18" i="33"/>
  <c r="I17" i="33"/>
  <c r="I16" i="33"/>
  <c r="O15" i="33"/>
  <c r="N15" i="33"/>
  <c r="M15" i="33"/>
  <c r="L15" i="33"/>
  <c r="K15" i="33"/>
  <c r="J15" i="33"/>
  <c r="O13" i="33"/>
  <c r="N13" i="33"/>
  <c r="M13" i="33"/>
  <c r="L13" i="33"/>
  <c r="K13" i="33"/>
  <c r="J13" i="33"/>
  <c r="O12" i="33"/>
  <c r="N12" i="33"/>
  <c r="M12" i="33"/>
  <c r="L12" i="33"/>
  <c r="K12" i="33"/>
  <c r="J12" i="33"/>
  <c r="O11" i="33"/>
  <c r="N11" i="33"/>
  <c r="M11" i="33"/>
  <c r="L11" i="33"/>
  <c r="K11" i="33"/>
  <c r="J11" i="33"/>
  <c r="I9" i="33"/>
  <c r="I13" i="33" s="1"/>
  <c r="I8" i="33"/>
  <c r="I12" i="33" s="1"/>
  <c r="I7" i="33"/>
  <c r="I11" i="33" s="1"/>
  <c r="O6" i="33"/>
  <c r="O10" i="33" s="1"/>
  <c r="N6" i="33"/>
  <c r="I6" i="33" s="1"/>
  <c r="I10" i="33" s="1"/>
  <c r="M6" i="33"/>
  <c r="M10" i="33" s="1"/>
  <c r="L6" i="33"/>
  <c r="L10" i="33" s="1"/>
  <c r="K6" i="33"/>
  <c r="K10" i="33" s="1"/>
  <c r="J6" i="33"/>
  <c r="J10" i="33" s="1"/>
  <c r="M296" i="33" l="1"/>
  <c r="I280" i="33"/>
  <c r="M716" i="33"/>
  <c r="K362" i="33"/>
  <c r="I358" i="33"/>
  <c r="I643" i="33"/>
  <c r="J39" i="33"/>
  <c r="I150" i="33"/>
  <c r="N10" i="33"/>
  <c r="M39" i="33"/>
  <c r="I166" i="33"/>
  <c r="I170" i="33"/>
  <c r="M255" i="33"/>
  <c r="I337" i="33"/>
  <c r="L411" i="33"/>
  <c r="L457" i="33"/>
  <c r="I631" i="33"/>
  <c r="I56" i="33"/>
  <c r="I695" i="33"/>
  <c r="I350" i="33"/>
  <c r="K518" i="33"/>
  <c r="J606" i="33"/>
  <c r="I130" i="33"/>
  <c r="I321" i="33"/>
  <c r="I341" i="33"/>
  <c r="O362" i="33"/>
  <c r="M457" i="33"/>
  <c r="M505" i="33"/>
  <c r="I507" i="33"/>
  <c r="I564" i="33"/>
  <c r="I712" i="33"/>
  <c r="I35" i="33"/>
  <c r="I101" i="33"/>
  <c r="I462" i="33"/>
  <c r="K39" i="33"/>
  <c r="L39" i="33"/>
  <c r="I146" i="33"/>
  <c r="L518" i="33"/>
  <c r="K606" i="33"/>
  <c r="I635" i="33"/>
  <c r="I299" i="33"/>
  <c r="I305" i="33"/>
  <c r="I313" i="33"/>
  <c r="I363" i="33"/>
  <c r="O457" i="33"/>
  <c r="J470" i="33"/>
  <c r="I473" i="33"/>
  <c r="I484" i="33"/>
  <c r="I488" i="33" s="1"/>
  <c r="K576" i="33"/>
  <c r="I687" i="33"/>
  <c r="M470" i="33"/>
  <c r="K100" i="33"/>
  <c r="I256" i="33"/>
  <c r="N716" i="33"/>
  <c r="J100" i="33"/>
  <c r="M174" i="33"/>
  <c r="N296" i="33"/>
  <c r="L345" i="33"/>
  <c r="L362" i="33"/>
  <c r="O411" i="33"/>
  <c r="N470" i="33"/>
  <c r="N505" i="33"/>
  <c r="I627" i="33"/>
  <c r="L711" i="33"/>
  <c r="N39" i="33"/>
  <c r="I264" i="33"/>
  <c r="N345" i="33"/>
  <c r="I623" i="33"/>
  <c r="O39" i="33"/>
  <c r="O715" i="33" s="1"/>
  <c r="I31" i="33"/>
  <c r="O174" i="33"/>
  <c r="I255" i="33"/>
  <c r="I298" i="33"/>
  <c r="I297" i="33"/>
  <c r="I348" i="33"/>
  <c r="I325" i="33"/>
  <c r="I413" i="33"/>
  <c r="I506" i="33"/>
  <c r="I619" i="33"/>
  <c r="L717" i="33"/>
  <c r="I64" i="33"/>
  <c r="I68" i="33"/>
  <c r="K113" i="33"/>
  <c r="K457" i="33"/>
  <c r="I445" i="33"/>
  <c r="I459" i="33"/>
  <c r="I458" i="33"/>
  <c r="I514" i="33"/>
  <c r="L543" i="33"/>
  <c r="M543" i="33"/>
  <c r="I535" i="33"/>
  <c r="I539" i="33"/>
  <c r="O576" i="33"/>
  <c r="M711" i="33"/>
  <c r="I615" i="33"/>
  <c r="I679" i="33"/>
  <c r="M411" i="33"/>
  <c r="I44" i="33"/>
  <c r="I126" i="33"/>
  <c r="J362" i="33"/>
  <c r="K718" i="33"/>
  <c r="I268" i="33"/>
  <c r="I590" i="33"/>
  <c r="J717" i="33"/>
  <c r="L718" i="33"/>
  <c r="N100" i="33"/>
  <c r="I76" i="33"/>
  <c r="I118" i="33"/>
  <c r="I347" i="33"/>
  <c r="M362" i="33"/>
  <c r="I453" i="33"/>
  <c r="O505" i="33"/>
  <c r="M576" i="33"/>
  <c r="M718" i="33"/>
  <c r="O100" i="33"/>
  <c r="I260" i="33"/>
  <c r="I301" i="33"/>
  <c r="I346" i="33"/>
  <c r="J457" i="33"/>
  <c r="I449" i="33"/>
  <c r="K543" i="33"/>
  <c r="N576" i="33"/>
  <c r="J716" i="33"/>
  <c r="I105" i="33"/>
  <c r="I175" i="33"/>
  <c r="K345" i="33"/>
  <c r="I329" i="33"/>
  <c r="J411" i="33"/>
  <c r="I375" i="33"/>
  <c r="I383" i="33"/>
  <c r="K716" i="33"/>
  <c r="O718" i="33"/>
  <c r="I41" i="33"/>
  <c r="I102" i="33"/>
  <c r="I60" i="33"/>
  <c r="M113" i="33"/>
  <c r="M715" i="33" s="1"/>
  <c r="I176" i="33"/>
  <c r="I134" i="33"/>
  <c r="I138" i="33"/>
  <c r="I142" i="33"/>
  <c r="I257" i="33"/>
  <c r="K296" i="33"/>
  <c r="I333" i="33"/>
  <c r="I365" i="33"/>
  <c r="I379" i="33"/>
  <c r="I460" i="33"/>
  <c r="K470" i="33"/>
  <c r="I466" i="33"/>
  <c r="I510" i="33"/>
  <c r="I578" i="33"/>
  <c r="I572" i="33"/>
  <c r="I602" i="33"/>
  <c r="N711" i="33"/>
  <c r="K711" i="33"/>
  <c r="J718" i="33"/>
  <c r="I92" i="33"/>
  <c r="J255" i="33"/>
  <c r="I475" i="33"/>
  <c r="I479" i="33" s="1"/>
  <c r="I713" i="33"/>
  <c r="I639" i="33"/>
  <c r="M100" i="33"/>
  <c r="O716" i="33"/>
  <c r="J488" i="33"/>
  <c r="I162" i="33"/>
  <c r="O345" i="33"/>
  <c r="N362" i="33"/>
  <c r="I412" i="33"/>
  <c r="O470" i="33"/>
  <c r="I109" i="33"/>
  <c r="I158" i="33"/>
  <c r="N718" i="33"/>
  <c r="I27" i="33"/>
  <c r="O717" i="33"/>
  <c r="J296" i="33"/>
  <c r="I288" i="33"/>
  <c r="L716" i="33"/>
  <c r="N717" i="33"/>
  <c r="I15" i="33"/>
  <c r="I42" i="33"/>
  <c r="I40" i="33"/>
  <c r="I23" i="33"/>
  <c r="I103" i="33"/>
  <c r="N113" i="33"/>
  <c r="I177" i="33"/>
  <c r="K174" i="33"/>
  <c r="I258" i="33"/>
  <c r="L296" i="33"/>
  <c r="I284" i="33"/>
  <c r="I309" i="33"/>
  <c r="I354" i="33"/>
  <c r="I497" i="33"/>
  <c r="I568" i="33"/>
  <c r="I576" i="33" s="1"/>
  <c r="L606" i="33"/>
  <c r="O711" i="33"/>
  <c r="I655" i="33"/>
  <c r="I543" i="33"/>
  <c r="I470" i="33"/>
  <c r="I113" i="33"/>
  <c r="I362" i="33"/>
  <c r="M717" i="33"/>
  <c r="L100" i="33"/>
  <c r="I367" i="33"/>
  <c r="I581" i="33"/>
  <c r="I585" i="33" s="1"/>
  <c r="I611" i="33"/>
  <c r="N457" i="33"/>
  <c r="I371" i="33"/>
  <c r="I493" i="33"/>
  <c r="I505" i="33" s="1"/>
  <c r="O296" i="33"/>
  <c r="I416" i="33"/>
  <c r="I436" i="33" s="1"/>
  <c r="L113" i="33"/>
  <c r="L174" i="33"/>
  <c r="N174" i="33"/>
  <c r="J576" i="33"/>
  <c r="J174" i="33"/>
  <c r="I122" i="33"/>
  <c r="I174" i="33" s="1"/>
  <c r="K257" i="33"/>
  <c r="K717" i="33" s="1"/>
  <c r="J345" i="33"/>
  <c r="I441" i="33"/>
  <c r="I296" i="33" l="1"/>
  <c r="I718" i="33"/>
  <c r="I100" i="33"/>
  <c r="I716" i="33"/>
  <c r="I606" i="33"/>
  <c r="I345" i="33"/>
  <c r="K715" i="33"/>
  <c r="I717" i="33"/>
  <c r="I711" i="33"/>
  <c r="I518" i="33"/>
  <c r="I457" i="33"/>
  <c r="I411" i="33"/>
  <c r="N715" i="33"/>
  <c r="L715" i="33"/>
  <c r="I39" i="33"/>
  <c r="J715" i="33"/>
  <c r="I715" i="33" l="1"/>
  <c r="O723" i="32"/>
  <c r="N723" i="32"/>
  <c r="M723" i="32"/>
  <c r="L723" i="32"/>
  <c r="K723" i="32"/>
  <c r="J723" i="32"/>
  <c r="O722" i="32"/>
  <c r="N722" i="32"/>
  <c r="M722" i="32"/>
  <c r="L722" i="32"/>
  <c r="K722" i="32"/>
  <c r="J722" i="32"/>
  <c r="O721" i="32"/>
  <c r="N721" i="32"/>
  <c r="M721" i="32"/>
  <c r="L721" i="32"/>
  <c r="K721" i="32"/>
  <c r="J721" i="32"/>
  <c r="I719" i="32"/>
  <c r="I723" i="32" s="1"/>
  <c r="I718" i="32"/>
  <c r="I722" i="32" s="1"/>
  <c r="I717" i="32"/>
  <c r="I721" i="32" s="1"/>
  <c r="O716" i="32"/>
  <c r="O720" i="32" s="1"/>
  <c r="N716" i="32"/>
  <c r="N720" i="32" s="1"/>
  <c r="M716" i="32"/>
  <c r="M720" i="32" s="1"/>
  <c r="L716" i="32"/>
  <c r="L720" i="32" s="1"/>
  <c r="K716" i="32"/>
  <c r="K720" i="32" s="1"/>
  <c r="J716" i="32"/>
  <c r="N714" i="32"/>
  <c r="M714" i="32"/>
  <c r="L714" i="32"/>
  <c r="K714" i="32"/>
  <c r="J714" i="32"/>
  <c r="I714" i="32"/>
  <c r="O713" i="32"/>
  <c r="N713" i="32"/>
  <c r="M713" i="32"/>
  <c r="L713" i="32"/>
  <c r="K713" i="32"/>
  <c r="J713" i="32"/>
  <c r="O712" i="32"/>
  <c r="N712" i="32"/>
  <c r="M712" i="32"/>
  <c r="L712" i="32"/>
  <c r="K712" i="32"/>
  <c r="J712" i="32"/>
  <c r="O710" i="32"/>
  <c r="O714" i="32" s="1"/>
  <c r="I709" i="32"/>
  <c r="I708" i="32"/>
  <c r="J707" i="32"/>
  <c r="I707" i="32" s="1"/>
  <c r="I705" i="32"/>
  <c r="K703" i="32"/>
  <c r="J703" i="32"/>
  <c r="I703" i="32" s="1"/>
  <c r="I701" i="32"/>
  <c r="O699" i="32"/>
  <c r="I699" i="32" s="1"/>
  <c r="M699" i="32"/>
  <c r="L699" i="32"/>
  <c r="K699" i="32"/>
  <c r="J699" i="32"/>
  <c r="I697" i="32"/>
  <c r="I696" i="32"/>
  <c r="O695" i="32"/>
  <c r="N695" i="32"/>
  <c r="M695" i="32"/>
  <c r="L695" i="32"/>
  <c r="K695" i="32"/>
  <c r="J695" i="32"/>
  <c r="I695" i="32" s="1"/>
  <c r="I693" i="32"/>
  <c r="I692" i="32"/>
  <c r="O691" i="32"/>
  <c r="N691" i="32"/>
  <c r="M691" i="32"/>
  <c r="L691" i="32"/>
  <c r="K691" i="32"/>
  <c r="J691" i="32"/>
  <c r="I689" i="32"/>
  <c r="O687" i="32"/>
  <c r="I687" i="32" s="1"/>
  <c r="L687" i="32"/>
  <c r="K687" i="32"/>
  <c r="J687" i="32"/>
  <c r="I685" i="32"/>
  <c r="O683" i="32"/>
  <c r="L683" i="32"/>
  <c r="K683" i="32"/>
  <c r="J683" i="32"/>
  <c r="I681" i="32"/>
  <c r="I680" i="32"/>
  <c r="L679" i="32"/>
  <c r="K679" i="32"/>
  <c r="I679" i="32" s="1"/>
  <c r="J679" i="32"/>
  <c r="I677" i="32"/>
  <c r="O675" i="32"/>
  <c r="I675" i="32" s="1"/>
  <c r="L675" i="32"/>
  <c r="K675" i="32"/>
  <c r="J675" i="32"/>
  <c r="I673" i="32"/>
  <c r="O671" i="32"/>
  <c r="N671" i="32"/>
  <c r="M671" i="32"/>
  <c r="I671" i="32" s="1"/>
  <c r="L671" i="32"/>
  <c r="K671" i="32"/>
  <c r="J671" i="32"/>
  <c r="I669" i="32"/>
  <c r="O667" i="32"/>
  <c r="N667" i="32"/>
  <c r="M667" i="32"/>
  <c r="I667" i="32" s="1"/>
  <c r="L667" i="32"/>
  <c r="K667" i="32"/>
  <c r="J667" i="32"/>
  <c r="I665" i="32"/>
  <c r="I664" i="32"/>
  <c r="O663" i="32"/>
  <c r="N663" i="32"/>
  <c r="M663" i="32"/>
  <c r="L663" i="32"/>
  <c r="K663" i="32"/>
  <c r="J663" i="32"/>
  <c r="I661" i="32"/>
  <c r="O659" i="32"/>
  <c r="M659" i="32"/>
  <c r="L659" i="32"/>
  <c r="K659" i="32"/>
  <c r="J659" i="32"/>
  <c r="I659" i="32" s="1"/>
  <c r="I657" i="32"/>
  <c r="O655" i="32"/>
  <c r="N655" i="32"/>
  <c r="M655" i="32"/>
  <c r="L655" i="32"/>
  <c r="K655" i="32"/>
  <c r="J655" i="32"/>
  <c r="I653" i="32"/>
  <c r="I652" i="32"/>
  <c r="O651" i="32"/>
  <c r="N651" i="32"/>
  <c r="M651" i="32"/>
  <c r="L651" i="32"/>
  <c r="K651" i="32"/>
  <c r="J651" i="32"/>
  <c r="I649" i="32"/>
  <c r="I648" i="32"/>
  <c r="K647" i="32"/>
  <c r="J647" i="32"/>
  <c r="I645" i="32"/>
  <c r="I644" i="32"/>
  <c r="O643" i="32"/>
  <c r="N643" i="32"/>
  <c r="M643" i="32"/>
  <c r="L643" i="32"/>
  <c r="K643" i="32"/>
  <c r="J643" i="32"/>
  <c r="I641" i="32"/>
  <c r="O639" i="32"/>
  <c r="N639" i="32"/>
  <c r="M639" i="32"/>
  <c r="L639" i="32"/>
  <c r="K639" i="32"/>
  <c r="J639" i="32"/>
  <c r="I637" i="32"/>
  <c r="I636" i="32"/>
  <c r="O635" i="32"/>
  <c r="N635" i="32"/>
  <c r="M635" i="32"/>
  <c r="L635" i="32"/>
  <c r="K635" i="32"/>
  <c r="J635" i="32"/>
  <c r="I633" i="32"/>
  <c r="I632" i="32"/>
  <c r="O631" i="32"/>
  <c r="N631" i="32"/>
  <c r="M631" i="32"/>
  <c r="L631" i="32"/>
  <c r="K631" i="32"/>
  <c r="J631" i="32"/>
  <c r="I629" i="32"/>
  <c r="I628" i="32"/>
  <c r="O627" i="32"/>
  <c r="O711" i="32" s="1"/>
  <c r="N627" i="32"/>
  <c r="M627" i="32"/>
  <c r="L627" i="32"/>
  <c r="K627" i="32"/>
  <c r="J627" i="32"/>
  <c r="O625" i="32"/>
  <c r="N625" i="32"/>
  <c r="M625" i="32"/>
  <c r="L625" i="32"/>
  <c r="K625" i="32"/>
  <c r="J625" i="32"/>
  <c r="O624" i="32"/>
  <c r="N624" i="32"/>
  <c r="M624" i="32"/>
  <c r="L624" i="32"/>
  <c r="K624" i="32"/>
  <c r="J624" i="32"/>
  <c r="O623" i="32"/>
  <c r="N623" i="32"/>
  <c r="M623" i="32"/>
  <c r="L623" i="32"/>
  <c r="K623" i="32"/>
  <c r="J623" i="32"/>
  <c r="I621" i="32"/>
  <c r="I625" i="32" s="1"/>
  <c r="I620" i="32"/>
  <c r="I624" i="32" s="1"/>
  <c r="I619" i="32"/>
  <c r="I623" i="32" s="1"/>
  <c r="O618" i="32"/>
  <c r="O622" i="32" s="1"/>
  <c r="N618" i="32"/>
  <c r="N622" i="32" s="1"/>
  <c r="M618" i="32"/>
  <c r="M622" i="32" s="1"/>
  <c r="L618" i="32"/>
  <c r="L622" i="32" s="1"/>
  <c r="K618" i="32"/>
  <c r="K622" i="32" s="1"/>
  <c r="J618" i="32"/>
  <c r="J622" i="32" s="1"/>
  <c r="O616" i="32"/>
  <c r="N616" i="32"/>
  <c r="M616" i="32"/>
  <c r="L616" i="32"/>
  <c r="K616" i="32"/>
  <c r="J616" i="32"/>
  <c r="I616" i="32"/>
  <c r="O615" i="32"/>
  <c r="N615" i="32"/>
  <c r="M615" i="32"/>
  <c r="L615" i="32"/>
  <c r="K615" i="32"/>
  <c r="J615" i="32"/>
  <c r="O614" i="32"/>
  <c r="N614" i="32"/>
  <c r="M614" i="32"/>
  <c r="L614" i="32"/>
  <c r="K614" i="32"/>
  <c r="J614" i="32"/>
  <c r="O613" i="32"/>
  <c r="N613" i="32"/>
  <c r="I611" i="32"/>
  <c r="M609" i="32"/>
  <c r="M613" i="32" s="1"/>
  <c r="I609" i="32"/>
  <c r="I607" i="32"/>
  <c r="L605" i="32"/>
  <c r="L613" i="32" s="1"/>
  <c r="K605" i="32"/>
  <c r="K613" i="32" s="1"/>
  <c r="J605" i="32"/>
  <c r="I603" i="32"/>
  <c r="J601" i="32"/>
  <c r="I601" i="32"/>
  <c r="I599" i="32"/>
  <c r="J597" i="32"/>
  <c r="I597" i="32" s="1"/>
  <c r="I595" i="32"/>
  <c r="J593" i="32"/>
  <c r="I593" i="32" s="1"/>
  <c r="I591" i="32"/>
  <c r="I590" i="32"/>
  <c r="I614" i="32" s="1"/>
  <c r="J589" i="32"/>
  <c r="I589" i="32" s="1"/>
  <c r="O587" i="32"/>
  <c r="N587" i="32"/>
  <c r="M587" i="32"/>
  <c r="L587" i="32"/>
  <c r="K587" i="32"/>
  <c r="J587" i="32"/>
  <c r="O586" i="32"/>
  <c r="N586" i="32"/>
  <c r="M586" i="32"/>
  <c r="L586" i="32"/>
  <c r="K586" i="32"/>
  <c r="J586" i="32"/>
  <c r="O585" i="32"/>
  <c r="N585" i="32"/>
  <c r="M585" i="32"/>
  <c r="L585" i="32"/>
  <c r="K585" i="32"/>
  <c r="J585" i="32"/>
  <c r="I583" i="32"/>
  <c r="I587" i="32" s="1"/>
  <c r="I582" i="32"/>
  <c r="I581" i="32"/>
  <c r="O580" i="32"/>
  <c r="N580" i="32"/>
  <c r="M580" i="32"/>
  <c r="I580" i="32" s="1"/>
  <c r="L580" i="32"/>
  <c r="K580" i="32"/>
  <c r="J580" i="32"/>
  <c r="I578" i="32"/>
  <c r="I577" i="32"/>
  <c r="O576" i="32"/>
  <c r="N576" i="32"/>
  <c r="M576" i="32"/>
  <c r="L576" i="32"/>
  <c r="K576" i="32"/>
  <c r="J576" i="32"/>
  <c r="I574" i="32"/>
  <c r="I573" i="32"/>
  <c r="O572" i="32"/>
  <c r="N572" i="32"/>
  <c r="M572" i="32"/>
  <c r="L572" i="32"/>
  <c r="K572" i="32"/>
  <c r="J572" i="32"/>
  <c r="I570" i="32"/>
  <c r="I569" i="32"/>
  <c r="O568" i="32"/>
  <c r="M568" i="32"/>
  <c r="L568" i="32"/>
  <c r="K568" i="32"/>
  <c r="J568" i="32"/>
  <c r="I566" i="32"/>
  <c r="I565" i="32"/>
  <c r="O564" i="32"/>
  <c r="O584" i="32" s="1"/>
  <c r="N564" i="32"/>
  <c r="L564" i="32"/>
  <c r="K564" i="32"/>
  <c r="J564" i="32"/>
  <c r="O562" i="32"/>
  <c r="N562" i="32"/>
  <c r="M562" i="32"/>
  <c r="L562" i="32"/>
  <c r="K562" i="32"/>
  <c r="J562" i="32"/>
  <c r="I562" i="32"/>
  <c r="O561" i="32"/>
  <c r="N561" i="32"/>
  <c r="M561" i="32"/>
  <c r="L561" i="32"/>
  <c r="K561" i="32"/>
  <c r="J561" i="32"/>
  <c r="O560" i="32"/>
  <c r="N560" i="32"/>
  <c r="M560" i="32"/>
  <c r="L560" i="32"/>
  <c r="K560" i="32"/>
  <c r="J560" i="32"/>
  <c r="I560" i="32"/>
  <c r="I557" i="32"/>
  <c r="O555" i="32"/>
  <c r="N555" i="32"/>
  <c r="M555" i="32"/>
  <c r="L555" i="32"/>
  <c r="K555" i="32"/>
  <c r="I553" i="32"/>
  <c r="O551" i="32"/>
  <c r="N551" i="32"/>
  <c r="M551" i="32"/>
  <c r="L551" i="32"/>
  <c r="K551" i="32"/>
  <c r="I549" i="32"/>
  <c r="O547" i="32"/>
  <c r="N547" i="32"/>
  <c r="L547" i="32"/>
  <c r="K547" i="32"/>
  <c r="J547" i="32"/>
  <c r="I545" i="32"/>
  <c r="O543" i="32"/>
  <c r="N543" i="32"/>
  <c r="M543" i="32"/>
  <c r="L543" i="32"/>
  <c r="K543" i="32"/>
  <c r="I541" i="32"/>
  <c r="O539" i="32"/>
  <c r="I539" i="32" s="1"/>
  <c r="N539" i="32"/>
  <c r="L539" i="32"/>
  <c r="K539" i="32"/>
  <c r="J539" i="32"/>
  <c r="I537" i="32"/>
  <c r="O535" i="32"/>
  <c r="N535" i="32"/>
  <c r="I535" i="32" s="1"/>
  <c r="M535" i="32"/>
  <c r="L535" i="32"/>
  <c r="K535" i="32"/>
  <c r="I533" i="32"/>
  <c r="O531" i="32"/>
  <c r="N531" i="32"/>
  <c r="L531" i="32"/>
  <c r="K531" i="32"/>
  <c r="J531" i="32"/>
  <c r="I529" i="32"/>
  <c r="O527" i="32"/>
  <c r="N527" i="32"/>
  <c r="M527" i="32"/>
  <c r="L527" i="32"/>
  <c r="K527" i="32"/>
  <c r="I525" i="32"/>
  <c r="O523" i="32"/>
  <c r="N523" i="32"/>
  <c r="L523" i="32"/>
  <c r="K523" i="32"/>
  <c r="J523" i="32"/>
  <c r="I521" i="32"/>
  <c r="O519" i="32"/>
  <c r="N519" i="32"/>
  <c r="M519" i="32"/>
  <c r="L519" i="32"/>
  <c r="K519" i="32"/>
  <c r="I517" i="32"/>
  <c r="O515" i="32"/>
  <c r="N515" i="32"/>
  <c r="L515" i="32"/>
  <c r="K515" i="32"/>
  <c r="J515" i="32"/>
  <c r="I513" i="32"/>
  <c r="O511" i="32"/>
  <c r="N511" i="32"/>
  <c r="M511" i="32"/>
  <c r="L511" i="32"/>
  <c r="K511" i="32"/>
  <c r="I509" i="32"/>
  <c r="O507" i="32"/>
  <c r="N507" i="32"/>
  <c r="L507" i="32"/>
  <c r="K507" i="32"/>
  <c r="J507" i="32"/>
  <c r="I505" i="32"/>
  <c r="O503" i="32"/>
  <c r="N503" i="32"/>
  <c r="M503" i="32"/>
  <c r="L503" i="32"/>
  <c r="K503" i="32"/>
  <c r="I501" i="32"/>
  <c r="O499" i="32"/>
  <c r="N499" i="32"/>
  <c r="N559" i="32" s="1"/>
  <c r="L499" i="32"/>
  <c r="K499" i="32"/>
  <c r="J499" i="32"/>
  <c r="I499" i="32" s="1"/>
  <c r="O497" i="32"/>
  <c r="N497" i="32"/>
  <c r="M497" i="32"/>
  <c r="L497" i="32"/>
  <c r="K497" i="32"/>
  <c r="J497" i="32"/>
  <c r="O496" i="32"/>
  <c r="N496" i="32"/>
  <c r="M496" i="32"/>
  <c r="L496" i="32"/>
  <c r="K496" i="32"/>
  <c r="J496" i="32"/>
  <c r="O495" i="32"/>
  <c r="N495" i="32"/>
  <c r="M495" i="32"/>
  <c r="L495" i="32"/>
  <c r="K495" i="32"/>
  <c r="J495" i="32"/>
  <c r="L494" i="32"/>
  <c r="K494" i="32"/>
  <c r="I493" i="32"/>
  <c r="I492" i="32"/>
  <c r="I491" i="32"/>
  <c r="O490" i="32"/>
  <c r="N490" i="32"/>
  <c r="M490" i="32"/>
  <c r="J490" i="32"/>
  <c r="I489" i="32"/>
  <c r="I488" i="32"/>
  <c r="I487" i="32"/>
  <c r="O486" i="32"/>
  <c r="N486" i="32"/>
  <c r="M486" i="32"/>
  <c r="J486" i="32"/>
  <c r="I485" i="32"/>
  <c r="I484" i="32"/>
  <c r="I483" i="32"/>
  <c r="O482" i="32"/>
  <c r="N482" i="32"/>
  <c r="M482" i="32"/>
  <c r="K482" i="32"/>
  <c r="J482" i="32"/>
  <c r="J494" i="32" s="1"/>
  <c r="O480" i="32"/>
  <c r="N480" i="32"/>
  <c r="M480" i="32"/>
  <c r="L480" i="32"/>
  <c r="K480" i="32"/>
  <c r="J480" i="32"/>
  <c r="I480" i="32"/>
  <c r="O479" i="32"/>
  <c r="N479" i="32"/>
  <c r="M479" i="32"/>
  <c r="L479" i="32"/>
  <c r="K479" i="32"/>
  <c r="J479" i="32"/>
  <c r="O478" i="32"/>
  <c r="N478" i="32"/>
  <c r="M478" i="32"/>
  <c r="L478" i="32"/>
  <c r="K478" i="32"/>
  <c r="J478" i="32"/>
  <c r="I478" i="32"/>
  <c r="J477" i="32"/>
  <c r="I475" i="32"/>
  <c r="I479" i="32" s="1"/>
  <c r="O473" i="32"/>
  <c r="O477" i="32" s="1"/>
  <c r="N473" i="32"/>
  <c r="N477" i="32" s="1"/>
  <c r="M473" i="32"/>
  <c r="M477" i="32" s="1"/>
  <c r="L473" i="32"/>
  <c r="L477" i="32" s="1"/>
  <c r="K473" i="32"/>
  <c r="K477" i="32" s="1"/>
  <c r="J473" i="32"/>
  <c r="O471" i="32"/>
  <c r="N471" i="32"/>
  <c r="M471" i="32"/>
  <c r="L471" i="32"/>
  <c r="K471" i="32"/>
  <c r="J471" i="32"/>
  <c r="O470" i="32"/>
  <c r="N470" i="32"/>
  <c r="M470" i="32"/>
  <c r="L470" i="32"/>
  <c r="K470" i="32"/>
  <c r="J470" i="32"/>
  <c r="O469" i="32"/>
  <c r="N469" i="32"/>
  <c r="M469" i="32"/>
  <c r="L469" i="32"/>
  <c r="K469" i="32"/>
  <c r="J469" i="32"/>
  <c r="I467" i="32"/>
  <c r="I466" i="32"/>
  <c r="I465" i="32"/>
  <c r="O464" i="32"/>
  <c r="N464" i="32"/>
  <c r="M464" i="32"/>
  <c r="L464" i="32"/>
  <c r="K464" i="32"/>
  <c r="J464" i="32"/>
  <c r="I463" i="32"/>
  <c r="I462" i="32"/>
  <c r="I461" i="32"/>
  <c r="O460" i="32"/>
  <c r="N460" i="32"/>
  <c r="M460" i="32"/>
  <c r="L460" i="32"/>
  <c r="K460" i="32"/>
  <c r="J460" i="32"/>
  <c r="I459" i="32"/>
  <c r="I458" i="32"/>
  <c r="I457" i="32"/>
  <c r="O456" i="32"/>
  <c r="N456" i="32"/>
  <c r="M456" i="32"/>
  <c r="L456" i="32"/>
  <c r="K456" i="32"/>
  <c r="J456" i="32"/>
  <c r="I455" i="32"/>
  <c r="I454" i="32"/>
  <c r="I453" i="32"/>
  <c r="O452" i="32"/>
  <c r="N452" i="32"/>
  <c r="M452" i="32"/>
  <c r="L452" i="32"/>
  <c r="K452" i="32"/>
  <c r="J452" i="32"/>
  <c r="I452" i="32" s="1"/>
  <c r="I451" i="32"/>
  <c r="I450" i="32"/>
  <c r="I449" i="32"/>
  <c r="O448" i="32"/>
  <c r="N448" i="32"/>
  <c r="M448" i="32"/>
  <c r="L448" i="32"/>
  <c r="K448" i="32"/>
  <c r="J448" i="32"/>
  <c r="I447" i="32"/>
  <c r="I446" i="32"/>
  <c r="I445" i="32"/>
  <c r="O444" i="32"/>
  <c r="N444" i="32"/>
  <c r="M444" i="32"/>
  <c r="L444" i="32"/>
  <c r="K444" i="32"/>
  <c r="J444" i="32"/>
  <c r="I443" i="32"/>
  <c r="I442" i="32"/>
  <c r="I441" i="32"/>
  <c r="O440" i="32"/>
  <c r="N440" i="32"/>
  <c r="M440" i="32"/>
  <c r="L440" i="32"/>
  <c r="K440" i="32"/>
  <c r="J440" i="32"/>
  <c r="I439" i="32"/>
  <c r="I438" i="32"/>
  <c r="I437" i="32"/>
  <c r="O436" i="32"/>
  <c r="N436" i="32"/>
  <c r="M436" i="32"/>
  <c r="L436" i="32"/>
  <c r="K436" i="32"/>
  <c r="J436" i="32"/>
  <c r="I435" i="32"/>
  <c r="I434" i="32"/>
  <c r="I433" i="32"/>
  <c r="O432" i="32"/>
  <c r="N432" i="32"/>
  <c r="M432" i="32"/>
  <c r="L432" i="32"/>
  <c r="K432" i="32"/>
  <c r="J432" i="32"/>
  <c r="I431" i="32"/>
  <c r="I430" i="32"/>
  <c r="I429" i="32"/>
  <c r="O428" i="32"/>
  <c r="N428" i="32"/>
  <c r="M428" i="32"/>
  <c r="L428" i="32"/>
  <c r="K428" i="32"/>
  <c r="J428" i="32"/>
  <c r="O426" i="32"/>
  <c r="N426" i="32"/>
  <c r="M426" i="32"/>
  <c r="L426" i="32"/>
  <c r="K426" i="32"/>
  <c r="J426" i="32"/>
  <c r="O425" i="32"/>
  <c r="N425" i="32"/>
  <c r="M425" i="32"/>
  <c r="L425" i="32"/>
  <c r="K425" i="32"/>
  <c r="J425" i="32"/>
  <c r="O424" i="32"/>
  <c r="N424" i="32"/>
  <c r="M424" i="32"/>
  <c r="L424" i="32"/>
  <c r="K424" i="32"/>
  <c r="J424" i="32"/>
  <c r="L423" i="32"/>
  <c r="I422" i="32"/>
  <c r="I421" i="32"/>
  <c r="I420" i="32"/>
  <c r="I419" i="32"/>
  <c r="I418" i="32"/>
  <c r="I417" i="32"/>
  <c r="I416" i="32"/>
  <c r="I415" i="32"/>
  <c r="I414" i="32"/>
  <c r="I413" i="32"/>
  <c r="I412" i="32"/>
  <c r="O411" i="32"/>
  <c r="O423" i="32" s="1"/>
  <c r="N411" i="32"/>
  <c r="N423" i="32" s="1"/>
  <c r="M411" i="32"/>
  <c r="M423" i="32" s="1"/>
  <c r="L411" i="32"/>
  <c r="K411" i="32"/>
  <c r="J411" i="32"/>
  <c r="J423" i="32" s="1"/>
  <c r="I410" i="32"/>
  <c r="I409" i="32"/>
  <c r="I408" i="32"/>
  <c r="I407" i="32"/>
  <c r="I406" i="32"/>
  <c r="I405" i="32"/>
  <c r="I404" i="32"/>
  <c r="I403" i="32"/>
  <c r="I402" i="32"/>
  <c r="I401" i="32"/>
  <c r="I400" i="32"/>
  <c r="I399" i="32"/>
  <c r="I398" i="32"/>
  <c r="I397" i="32"/>
  <c r="I396" i="32"/>
  <c r="I395" i="32"/>
  <c r="O393" i="32"/>
  <c r="N393" i="32"/>
  <c r="M393" i="32"/>
  <c r="L393" i="32"/>
  <c r="K393" i="32"/>
  <c r="J393" i="32"/>
  <c r="I393" i="32"/>
  <c r="O392" i="32"/>
  <c r="N392" i="32"/>
  <c r="M392" i="32"/>
  <c r="L392" i="32"/>
  <c r="K392" i="32"/>
  <c r="J392" i="32"/>
  <c r="O391" i="32"/>
  <c r="N391" i="32"/>
  <c r="M391" i="32"/>
  <c r="L391" i="32"/>
  <c r="K391" i="32"/>
  <c r="J391" i="32"/>
  <c r="I388" i="32"/>
  <c r="I387" i="32"/>
  <c r="O386" i="32"/>
  <c r="N386" i="32"/>
  <c r="M386" i="32"/>
  <c r="L386" i="32"/>
  <c r="K386" i="32"/>
  <c r="J386" i="32"/>
  <c r="I384" i="32"/>
  <c r="I383" i="32"/>
  <c r="I391" i="32" s="1"/>
  <c r="O382" i="32"/>
  <c r="N382" i="32"/>
  <c r="M382" i="32"/>
  <c r="J382" i="32"/>
  <c r="I382" i="32" s="1"/>
  <c r="I380" i="32"/>
  <c r="I379" i="32"/>
  <c r="O378" i="32"/>
  <c r="N378" i="32"/>
  <c r="M378" i="32"/>
  <c r="L378" i="32"/>
  <c r="K378" i="32"/>
  <c r="J378" i="32"/>
  <c r="I376" i="32"/>
  <c r="I375" i="32"/>
  <c r="O374" i="32"/>
  <c r="N374" i="32"/>
  <c r="M374" i="32"/>
  <c r="J374" i="32"/>
  <c r="O372" i="32"/>
  <c r="N372" i="32"/>
  <c r="M372" i="32"/>
  <c r="L372" i="32"/>
  <c r="K372" i="32"/>
  <c r="J372" i="32"/>
  <c r="I372" i="32"/>
  <c r="O371" i="32"/>
  <c r="N371" i="32"/>
  <c r="M371" i="32"/>
  <c r="L371" i="32"/>
  <c r="K371" i="32"/>
  <c r="J371" i="32"/>
  <c r="O370" i="32"/>
  <c r="N370" i="32"/>
  <c r="M370" i="32"/>
  <c r="L370" i="32"/>
  <c r="K370" i="32"/>
  <c r="J370" i="32"/>
  <c r="I367" i="32"/>
  <c r="I366" i="32"/>
  <c r="O365" i="32"/>
  <c r="N365" i="32"/>
  <c r="M365" i="32"/>
  <c r="L365" i="32"/>
  <c r="J365" i="32"/>
  <c r="I363" i="32"/>
  <c r="I362" i="32"/>
  <c r="O361" i="32"/>
  <c r="N361" i="32"/>
  <c r="M361" i="32"/>
  <c r="L361" i="32"/>
  <c r="K361" i="32"/>
  <c r="I359" i="32"/>
  <c r="I358" i="32"/>
  <c r="O357" i="32"/>
  <c r="N357" i="32"/>
  <c r="M357" i="32"/>
  <c r="L357" i="32"/>
  <c r="K357" i="32"/>
  <c r="J357" i="32"/>
  <c r="I355" i="32"/>
  <c r="I354" i="32"/>
  <c r="O353" i="32"/>
  <c r="N353" i="32"/>
  <c r="M353" i="32"/>
  <c r="L353" i="32"/>
  <c r="K353" i="32"/>
  <c r="J353" i="32"/>
  <c r="I351" i="32"/>
  <c r="I350" i="32"/>
  <c r="O349" i="32"/>
  <c r="N349" i="32"/>
  <c r="M349" i="32"/>
  <c r="L349" i="32"/>
  <c r="K349" i="32"/>
  <c r="J349" i="32"/>
  <c r="I347" i="32"/>
  <c r="I346" i="32"/>
  <c r="O345" i="32"/>
  <c r="N345" i="32"/>
  <c r="M345" i="32"/>
  <c r="L345" i="32"/>
  <c r="L369" i="32" s="1"/>
  <c r="K345" i="32"/>
  <c r="J345" i="32"/>
  <c r="O343" i="32"/>
  <c r="N343" i="32"/>
  <c r="M343" i="32"/>
  <c r="L343" i="32"/>
  <c r="K343" i="32"/>
  <c r="J343" i="32"/>
  <c r="O342" i="32"/>
  <c r="N342" i="32"/>
  <c r="M342" i="32"/>
  <c r="L342" i="32"/>
  <c r="K342" i="32"/>
  <c r="J342" i="32"/>
  <c r="I342" i="32"/>
  <c r="O341" i="32"/>
  <c r="N341" i="32"/>
  <c r="M341" i="32"/>
  <c r="L341" i="32"/>
  <c r="K341" i="32"/>
  <c r="J341" i="32"/>
  <c r="O340" i="32"/>
  <c r="N340" i="32"/>
  <c r="I339" i="32"/>
  <c r="I338" i="32"/>
  <c r="I337" i="32"/>
  <c r="O336" i="32"/>
  <c r="N336" i="32"/>
  <c r="M336" i="32"/>
  <c r="L336" i="32"/>
  <c r="K336" i="32"/>
  <c r="J336" i="32"/>
  <c r="I335" i="32"/>
  <c r="I334" i="32"/>
  <c r="I333" i="32"/>
  <c r="O332" i="32"/>
  <c r="N332" i="32"/>
  <c r="M332" i="32"/>
  <c r="M340" i="32" s="1"/>
  <c r="L332" i="32"/>
  <c r="K332" i="32"/>
  <c r="J332" i="32"/>
  <c r="O330" i="32"/>
  <c r="N330" i="32"/>
  <c r="M330" i="32"/>
  <c r="L330" i="32"/>
  <c r="K330" i="32"/>
  <c r="J330" i="32"/>
  <c r="I330" i="32"/>
  <c r="O329" i="32"/>
  <c r="N329" i="32"/>
  <c r="M329" i="32"/>
  <c r="L329" i="32"/>
  <c r="K329" i="32"/>
  <c r="J329" i="32"/>
  <c r="I329" i="32"/>
  <c r="O328" i="32"/>
  <c r="N328" i="32"/>
  <c r="M328" i="32"/>
  <c r="L328" i="32"/>
  <c r="K328" i="32"/>
  <c r="J328" i="32"/>
  <c r="N327" i="32"/>
  <c r="I325" i="32"/>
  <c r="I324" i="32"/>
  <c r="O323" i="32"/>
  <c r="N323" i="32"/>
  <c r="M323" i="32"/>
  <c r="L323" i="32"/>
  <c r="K323" i="32"/>
  <c r="J323" i="32"/>
  <c r="I321" i="32"/>
  <c r="I320" i="32"/>
  <c r="I328" i="32" s="1"/>
  <c r="O319" i="32"/>
  <c r="N319" i="32"/>
  <c r="M319" i="32"/>
  <c r="L319" i="32"/>
  <c r="L327" i="32" s="1"/>
  <c r="K319" i="32"/>
  <c r="J319" i="32"/>
  <c r="J327" i="32" s="1"/>
  <c r="O317" i="32"/>
  <c r="N317" i="32"/>
  <c r="M317" i="32"/>
  <c r="L317" i="32"/>
  <c r="K317" i="32"/>
  <c r="J317" i="32"/>
  <c r="O316" i="32"/>
  <c r="N316" i="32"/>
  <c r="M316" i="32"/>
  <c r="L316" i="32"/>
  <c r="K316" i="32"/>
  <c r="J316" i="32"/>
  <c r="O315" i="32"/>
  <c r="N315" i="32"/>
  <c r="M315" i="32"/>
  <c r="L315" i="32"/>
  <c r="K315" i="32"/>
  <c r="J315" i="32"/>
  <c r="I313" i="32"/>
  <c r="I312" i="32"/>
  <c r="I311" i="32"/>
  <c r="O310" i="32"/>
  <c r="N310" i="32"/>
  <c r="M310" i="32"/>
  <c r="K310" i="32"/>
  <c r="J310" i="32"/>
  <c r="I309" i="32"/>
  <c r="I308" i="32"/>
  <c r="I307" i="32"/>
  <c r="O306" i="32"/>
  <c r="N306" i="32"/>
  <c r="L306" i="32"/>
  <c r="K306" i="32"/>
  <c r="J306" i="32"/>
  <c r="I305" i="32"/>
  <c r="I304" i="32"/>
  <c r="I303" i="32"/>
  <c r="O302" i="32"/>
  <c r="N302" i="32"/>
  <c r="M302" i="32"/>
  <c r="K302" i="32"/>
  <c r="J302" i="32"/>
  <c r="I302" i="32" s="1"/>
  <c r="I301" i="32"/>
  <c r="I300" i="32"/>
  <c r="I299" i="32"/>
  <c r="O298" i="32"/>
  <c r="N298" i="32"/>
  <c r="L298" i="32"/>
  <c r="K298" i="32"/>
  <c r="I298" i="32" s="1"/>
  <c r="J298" i="32"/>
  <c r="I297" i="32"/>
  <c r="I296" i="32"/>
  <c r="I295" i="32"/>
  <c r="O294" i="32"/>
  <c r="O314" i="32" s="1"/>
  <c r="N294" i="32"/>
  <c r="M294" i="32"/>
  <c r="L294" i="32"/>
  <c r="K294" i="32"/>
  <c r="J294" i="32"/>
  <c r="O292" i="32"/>
  <c r="N292" i="32"/>
  <c r="M292" i="32"/>
  <c r="L292" i="32"/>
  <c r="K292" i="32"/>
  <c r="J292" i="32"/>
  <c r="O291" i="32"/>
  <c r="N291" i="32"/>
  <c r="M291" i="32"/>
  <c r="L291" i="32"/>
  <c r="K291" i="32"/>
  <c r="J291" i="32"/>
  <c r="O290" i="32"/>
  <c r="N290" i="32"/>
  <c r="M290" i="32"/>
  <c r="L290" i="32"/>
  <c r="K290" i="32"/>
  <c r="J290" i="32"/>
  <c r="P289" i="32"/>
  <c r="I288" i="32"/>
  <c r="I287" i="32"/>
  <c r="I286" i="32"/>
  <c r="O285" i="32"/>
  <c r="N285" i="32"/>
  <c r="M285" i="32"/>
  <c r="L285" i="32"/>
  <c r="K285" i="32"/>
  <c r="J285" i="32"/>
  <c r="I285" i="32" s="1"/>
  <c r="I284" i="32"/>
  <c r="I283" i="32"/>
  <c r="I282" i="32"/>
  <c r="O281" i="32"/>
  <c r="N281" i="32"/>
  <c r="M281" i="32"/>
  <c r="L281" i="32"/>
  <c r="K281" i="32"/>
  <c r="J281" i="32"/>
  <c r="I280" i="32"/>
  <c r="I279" i="32"/>
  <c r="I278" i="32"/>
  <c r="O277" i="32"/>
  <c r="N277" i="32"/>
  <c r="M277" i="32"/>
  <c r="L277" i="32"/>
  <c r="K277" i="32"/>
  <c r="J277" i="32"/>
  <c r="I276" i="32"/>
  <c r="I275" i="32"/>
  <c r="I274" i="32"/>
  <c r="O273" i="32"/>
  <c r="N273" i="32"/>
  <c r="M273" i="32"/>
  <c r="L273" i="32"/>
  <c r="K273" i="32"/>
  <c r="J273" i="32"/>
  <c r="I272" i="32"/>
  <c r="I271" i="32"/>
  <c r="I270" i="32"/>
  <c r="O269" i="32"/>
  <c r="N269" i="32"/>
  <c r="M269" i="32"/>
  <c r="L269" i="32"/>
  <c r="K269" i="32"/>
  <c r="J269" i="32"/>
  <c r="I268" i="32"/>
  <c r="I292" i="32" s="1"/>
  <c r="I267" i="32"/>
  <c r="I266" i="32"/>
  <c r="O265" i="32"/>
  <c r="N265" i="32"/>
  <c r="M265" i="32"/>
  <c r="L265" i="32"/>
  <c r="K265" i="32"/>
  <c r="J265" i="32"/>
  <c r="O263" i="32"/>
  <c r="N263" i="32"/>
  <c r="M263" i="32"/>
  <c r="L263" i="32"/>
  <c r="K263" i="32"/>
  <c r="J263" i="32"/>
  <c r="O262" i="32"/>
  <c r="N262" i="32"/>
  <c r="M262" i="32"/>
  <c r="L262" i="32"/>
  <c r="K262" i="32"/>
  <c r="J262" i="32"/>
  <c r="O261" i="32"/>
  <c r="N261" i="32"/>
  <c r="M261" i="32"/>
  <c r="L261" i="32"/>
  <c r="K261" i="32"/>
  <c r="J261" i="32"/>
  <c r="I259" i="32"/>
  <c r="I258" i="32"/>
  <c r="I257" i="32"/>
  <c r="O256" i="32"/>
  <c r="N256" i="32"/>
  <c r="M256" i="32"/>
  <c r="L256" i="32"/>
  <c r="K256" i="32"/>
  <c r="J256" i="32"/>
  <c r="I255" i="32"/>
  <c r="I254" i="32"/>
  <c r="I253" i="32"/>
  <c r="O252" i="32"/>
  <c r="N252" i="32"/>
  <c r="M252" i="32"/>
  <c r="L252" i="32"/>
  <c r="K252" i="32"/>
  <c r="J252" i="32"/>
  <c r="I251" i="32"/>
  <c r="I250" i="32"/>
  <c r="I249" i="32"/>
  <c r="O248" i="32"/>
  <c r="N248" i="32"/>
  <c r="M248" i="32"/>
  <c r="L248" i="32"/>
  <c r="K248" i="32"/>
  <c r="J248" i="32"/>
  <c r="I247" i="32"/>
  <c r="I246" i="32"/>
  <c r="I245" i="32"/>
  <c r="I261" i="32" s="1"/>
  <c r="O244" i="32"/>
  <c r="N244" i="32"/>
  <c r="M244" i="32"/>
  <c r="L244" i="32"/>
  <c r="K244" i="32"/>
  <c r="K260" i="32" s="1"/>
  <c r="J244" i="32"/>
  <c r="J260" i="32" s="1"/>
  <c r="O242" i="32"/>
  <c r="N242" i="32"/>
  <c r="M242" i="32"/>
  <c r="L242" i="32"/>
  <c r="K242" i="32"/>
  <c r="J242" i="32"/>
  <c r="O241" i="32"/>
  <c r="N241" i="32"/>
  <c r="M241" i="32"/>
  <c r="K241" i="32"/>
  <c r="O240" i="32"/>
  <c r="N240" i="32"/>
  <c r="M240" i="32"/>
  <c r="L240" i="32"/>
  <c r="K240" i="32"/>
  <c r="J240" i="32"/>
  <c r="I238" i="32"/>
  <c r="I237" i="32"/>
  <c r="I236" i="32"/>
  <c r="I235" i="32"/>
  <c r="I234" i="32"/>
  <c r="I233" i="32"/>
  <c r="I232" i="32"/>
  <c r="J231" i="32"/>
  <c r="I231" i="32" s="1"/>
  <c r="I230" i="32"/>
  <c r="I229" i="32"/>
  <c r="I228" i="32"/>
  <c r="I227" i="32"/>
  <c r="I226" i="32"/>
  <c r="I225" i="32"/>
  <c r="I224" i="32"/>
  <c r="I223" i="32"/>
  <c r="I222" i="32"/>
  <c r="I221" i="32"/>
  <c r="I220" i="32"/>
  <c r="I219" i="32"/>
  <c r="I218" i="32"/>
  <c r="I217" i="32"/>
  <c r="I216" i="32"/>
  <c r="I215" i="32"/>
  <c r="I214" i="32"/>
  <c r="I213" i="32"/>
  <c r="I212" i="32"/>
  <c r="I211" i="32"/>
  <c r="I210" i="32"/>
  <c r="I209" i="32"/>
  <c r="I208" i="32"/>
  <c r="I207" i="32"/>
  <c r="I206" i="32"/>
  <c r="I205" i="32"/>
  <c r="I204" i="32"/>
  <c r="I203" i="32"/>
  <c r="I202" i="32"/>
  <c r="I201" i="32"/>
  <c r="I200" i="32"/>
  <c r="I199" i="32"/>
  <c r="I198" i="32"/>
  <c r="I197" i="32"/>
  <c r="I196" i="32"/>
  <c r="I195" i="32"/>
  <c r="I194" i="32"/>
  <c r="L193" i="32"/>
  <c r="L241" i="32" s="1"/>
  <c r="I193" i="32"/>
  <c r="I192" i="32"/>
  <c r="O191" i="32"/>
  <c r="N191" i="32"/>
  <c r="M191" i="32"/>
  <c r="K191" i="32"/>
  <c r="J191" i="32"/>
  <c r="I190" i="32"/>
  <c r="J189" i="32"/>
  <c r="J241" i="32" s="1"/>
  <c r="I188" i="32"/>
  <c r="O187" i="32"/>
  <c r="O239" i="32" s="1"/>
  <c r="N187" i="32"/>
  <c r="M187" i="32"/>
  <c r="L187" i="32"/>
  <c r="K187" i="32"/>
  <c r="K239" i="32" s="1"/>
  <c r="J187" i="32"/>
  <c r="O185" i="32"/>
  <c r="N185" i="32"/>
  <c r="M185" i="32"/>
  <c r="L185" i="32"/>
  <c r="K185" i="32"/>
  <c r="J185" i="32"/>
  <c r="O184" i="32"/>
  <c r="N184" i="32"/>
  <c r="M184" i="32"/>
  <c r="L184" i="32"/>
  <c r="K184" i="32"/>
  <c r="J184" i="32"/>
  <c r="O183" i="32"/>
  <c r="N183" i="32"/>
  <c r="M183" i="32"/>
  <c r="L183" i="32"/>
  <c r="K183" i="32"/>
  <c r="J183" i="32"/>
  <c r="L182" i="32"/>
  <c r="I181" i="32"/>
  <c r="I180" i="32"/>
  <c r="I179" i="32"/>
  <c r="O178" i="32"/>
  <c r="L178" i="32"/>
  <c r="K178" i="32"/>
  <c r="J178" i="32"/>
  <c r="I177" i="32"/>
  <c r="I176" i="32"/>
  <c r="I175" i="32"/>
  <c r="O174" i="32"/>
  <c r="N174" i="32"/>
  <c r="K174" i="32"/>
  <c r="J174" i="32"/>
  <c r="I173" i="32"/>
  <c r="I172" i="32"/>
  <c r="I171" i="32"/>
  <c r="O170" i="32"/>
  <c r="N170" i="32"/>
  <c r="K170" i="32"/>
  <c r="J170" i="32"/>
  <c r="I169" i="32"/>
  <c r="I168" i="32"/>
  <c r="I167" i="32"/>
  <c r="I183" i="32" s="1"/>
  <c r="O166" i="32"/>
  <c r="N166" i="32"/>
  <c r="M166" i="32"/>
  <c r="M182" i="32" s="1"/>
  <c r="J166" i="32"/>
  <c r="I166" i="32" s="1"/>
  <c r="O164" i="32"/>
  <c r="N164" i="32"/>
  <c r="M164" i="32"/>
  <c r="L164" i="32"/>
  <c r="K164" i="32"/>
  <c r="J164" i="32"/>
  <c r="O163" i="32"/>
  <c r="N163" i="32"/>
  <c r="M163" i="32"/>
  <c r="L163" i="32"/>
  <c r="K163" i="32"/>
  <c r="J163" i="32"/>
  <c r="O162" i="32"/>
  <c r="N162" i="32"/>
  <c r="M162" i="32"/>
  <c r="L162" i="32"/>
  <c r="K162" i="32"/>
  <c r="J162" i="32"/>
  <c r="M161" i="32"/>
  <c r="L161" i="32"/>
  <c r="I160" i="32"/>
  <c r="I164" i="32" s="1"/>
  <c r="I159" i="32"/>
  <c r="I163" i="32" s="1"/>
  <c r="I158" i="32"/>
  <c r="I162" i="32" s="1"/>
  <c r="O157" i="32"/>
  <c r="O161" i="32" s="1"/>
  <c r="N157" i="32"/>
  <c r="N161" i="32" s="1"/>
  <c r="M157" i="32"/>
  <c r="L157" i="32"/>
  <c r="K157" i="32"/>
  <c r="K161" i="32" s="1"/>
  <c r="J157" i="32"/>
  <c r="J161" i="32" s="1"/>
  <c r="O155" i="32"/>
  <c r="N155" i="32"/>
  <c r="M155" i="32"/>
  <c r="L155" i="32"/>
  <c r="K155" i="32"/>
  <c r="J155" i="32"/>
  <c r="O154" i="32"/>
  <c r="N154" i="32"/>
  <c r="M154" i="32"/>
  <c r="L154" i="32"/>
  <c r="K154" i="32"/>
  <c r="J154" i="32"/>
  <c r="O153" i="32"/>
  <c r="N153" i="32"/>
  <c r="M153" i="32"/>
  <c r="L153" i="32"/>
  <c r="K153" i="32"/>
  <c r="J153" i="32"/>
  <c r="L152" i="32"/>
  <c r="I151" i="32"/>
  <c r="I150" i="32"/>
  <c r="I149" i="32"/>
  <c r="O148" i="32"/>
  <c r="N148" i="32"/>
  <c r="M148" i="32"/>
  <c r="L148" i="32"/>
  <c r="K148" i="32"/>
  <c r="J148" i="32"/>
  <c r="I147" i="32"/>
  <c r="I146" i="32"/>
  <c r="I145" i="32"/>
  <c r="I153" i="32" s="1"/>
  <c r="O144" i="32"/>
  <c r="N144" i="32"/>
  <c r="M144" i="32"/>
  <c r="L144" i="32"/>
  <c r="K144" i="32"/>
  <c r="J144" i="32"/>
  <c r="I142" i="32"/>
  <c r="O140" i="32"/>
  <c r="N140" i="32"/>
  <c r="M140" i="32"/>
  <c r="L140" i="32"/>
  <c r="K140" i="32"/>
  <c r="J140" i="32"/>
  <c r="I138" i="32"/>
  <c r="N136" i="32"/>
  <c r="M136" i="32"/>
  <c r="L136" i="32"/>
  <c r="J136" i="32"/>
  <c r="I134" i="32"/>
  <c r="O132" i="32"/>
  <c r="N132" i="32"/>
  <c r="M132" i="32"/>
  <c r="L132" i="32"/>
  <c r="K132" i="32"/>
  <c r="J132" i="32"/>
  <c r="I130" i="32"/>
  <c r="O128" i="32"/>
  <c r="N128" i="32"/>
  <c r="K128" i="32"/>
  <c r="J128" i="32"/>
  <c r="I126" i="32"/>
  <c r="N124" i="32"/>
  <c r="K124" i="32"/>
  <c r="J124" i="32"/>
  <c r="I124" i="32"/>
  <c r="I122" i="32"/>
  <c r="N120" i="32"/>
  <c r="L120" i="32"/>
  <c r="K120" i="32"/>
  <c r="J120" i="32"/>
  <c r="I118" i="32"/>
  <c r="O116" i="32"/>
  <c r="N116" i="32"/>
  <c r="M116" i="32"/>
  <c r="L116" i="32"/>
  <c r="K116" i="32"/>
  <c r="J116" i="32"/>
  <c r="I114" i="32"/>
  <c r="N112" i="32"/>
  <c r="M112" i="32"/>
  <c r="K112" i="32"/>
  <c r="J112" i="32"/>
  <c r="I110" i="32"/>
  <c r="N108" i="32"/>
  <c r="L108" i="32"/>
  <c r="K108" i="32"/>
  <c r="J108" i="32"/>
  <c r="I106" i="32"/>
  <c r="N104" i="32"/>
  <c r="L104" i="32"/>
  <c r="K104" i="32"/>
  <c r="J104" i="32"/>
  <c r="I102" i="32"/>
  <c r="O100" i="32"/>
  <c r="N100" i="32"/>
  <c r="M100" i="32"/>
  <c r="L100" i="32"/>
  <c r="K100" i="32"/>
  <c r="J100" i="32"/>
  <c r="I98" i="32"/>
  <c r="N96" i="32"/>
  <c r="K96" i="32"/>
  <c r="J96" i="32"/>
  <c r="I96" i="32" s="1"/>
  <c r="I94" i="32"/>
  <c r="N92" i="32"/>
  <c r="K92" i="32"/>
  <c r="J92" i="32"/>
  <c r="O90" i="32"/>
  <c r="N90" i="32"/>
  <c r="M90" i="32"/>
  <c r="L90" i="32"/>
  <c r="K90" i="32"/>
  <c r="J90" i="32"/>
  <c r="I90" i="32"/>
  <c r="O89" i="32"/>
  <c r="N89" i="32"/>
  <c r="M89" i="32"/>
  <c r="L89" i="32"/>
  <c r="K89" i="32"/>
  <c r="J89" i="32"/>
  <c r="O88" i="32"/>
  <c r="N88" i="32"/>
  <c r="M88" i="32"/>
  <c r="L88" i="32"/>
  <c r="K88" i="32"/>
  <c r="J88" i="32"/>
  <c r="I85" i="32"/>
  <c r="I84" i="32"/>
  <c r="O83" i="32"/>
  <c r="N83" i="32"/>
  <c r="M83" i="32"/>
  <c r="L83" i="32"/>
  <c r="K83" i="32"/>
  <c r="J83" i="32"/>
  <c r="I81" i="32"/>
  <c r="I80" i="32"/>
  <c r="O79" i="32"/>
  <c r="N79" i="32"/>
  <c r="M79" i="32"/>
  <c r="L79" i="32"/>
  <c r="K79" i="32"/>
  <c r="J79" i="32"/>
  <c r="I77" i="32"/>
  <c r="O75" i="32"/>
  <c r="O87" i="32" s="1"/>
  <c r="N75" i="32"/>
  <c r="M75" i="32"/>
  <c r="L75" i="32"/>
  <c r="K75" i="32"/>
  <c r="J75" i="32"/>
  <c r="I73" i="32"/>
  <c r="O71" i="32"/>
  <c r="N71" i="32"/>
  <c r="M71" i="32"/>
  <c r="L71" i="32"/>
  <c r="K71" i="32"/>
  <c r="J71" i="32"/>
  <c r="I69" i="32"/>
  <c r="I68" i="32"/>
  <c r="O67" i="32"/>
  <c r="N67" i="32"/>
  <c r="M67" i="32"/>
  <c r="L67" i="32"/>
  <c r="K67" i="32"/>
  <c r="J67" i="32"/>
  <c r="I65" i="32"/>
  <c r="I64" i="32"/>
  <c r="O63" i="32"/>
  <c r="N63" i="32"/>
  <c r="M63" i="32"/>
  <c r="L63" i="32"/>
  <c r="K63" i="32"/>
  <c r="J63" i="32"/>
  <c r="I61" i="32"/>
  <c r="I60" i="32"/>
  <c r="O59" i="32"/>
  <c r="N59" i="32"/>
  <c r="M59" i="32"/>
  <c r="L59" i="32"/>
  <c r="K59" i="32"/>
  <c r="J59" i="32"/>
  <c r="I57" i="32"/>
  <c r="I56" i="32"/>
  <c r="O55" i="32"/>
  <c r="N55" i="32"/>
  <c r="M55" i="32"/>
  <c r="L55" i="32"/>
  <c r="K55" i="32"/>
  <c r="J55" i="32"/>
  <c r="I53" i="32"/>
  <c r="I52" i="32"/>
  <c r="O51" i="32"/>
  <c r="N51" i="32"/>
  <c r="M51" i="32"/>
  <c r="L51" i="32"/>
  <c r="K51" i="32"/>
  <c r="J51" i="32"/>
  <c r="I49" i="32"/>
  <c r="I48" i="32"/>
  <c r="O47" i="32"/>
  <c r="N47" i="32"/>
  <c r="M47" i="32"/>
  <c r="L47" i="32"/>
  <c r="K47" i="32"/>
  <c r="J47" i="32"/>
  <c r="I45" i="32"/>
  <c r="I44" i="32"/>
  <c r="O43" i="32"/>
  <c r="N43" i="32"/>
  <c r="M43" i="32"/>
  <c r="L43" i="32"/>
  <c r="K43" i="32"/>
  <c r="J43" i="32"/>
  <c r="I41" i="32"/>
  <c r="I40" i="32"/>
  <c r="O39" i="32"/>
  <c r="N39" i="32"/>
  <c r="M39" i="32"/>
  <c r="I39" i="32" s="1"/>
  <c r="L39" i="32"/>
  <c r="K39" i="32"/>
  <c r="J39" i="32"/>
  <c r="I37" i="32"/>
  <c r="I36" i="32"/>
  <c r="O35" i="32"/>
  <c r="N35" i="32"/>
  <c r="M35" i="32"/>
  <c r="L35" i="32"/>
  <c r="K35" i="32"/>
  <c r="J35" i="32"/>
  <c r="I33" i="32"/>
  <c r="O31" i="32"/>
  <c r="N31" i="32"/>
  <c r="M31" i="32"/>
  <c r="L31" i="32"/>
  <c r="K31" i="32"/>
  <c r="J31" i="32"/>
  <c r="I29" i="32"/>
  <c r="O27" i="32"/>
  <c r="N27" i="32"/>
  <c r="M27" i="32"/>
  <c r="L27" i="32"/>
  <c r="K27" i="32"/>
  <c r="J27" i="32"/>
  <c r="I25" i="32"/>
  <c r="O23" i="32"/>
  <c r="N23" i="32"/>
  <c r="M23" i="32"/>
  <c r="L23" i="32"/>
  <c r="K23" i="32"/>
  <c r="J23" i="32"/>
  <c r="I21" i="32"/>
  <c r="I20" i="32"/>
  <c r="O19" i="32"/>
  <c r="N19" i="32"/>
  <c r="M19" i="32"/>
  <c r="L19" i="32"/>
  <c r="K19" i="32"/>
  <c r="J19" i="32"/>
  <c r="I17" i="32"/>
  <c r="O15" i="32"/>
  <c r="N15" i="32"/>
  <c r="M15" i="32"/>
  <c r="L15" i="32"/>
  <c r="K15" i="32"/>
  <c r="J15" i="32"/>
  <c r="O13" i="32"/>
  <c r="N13" i="32"/>
  <c r="M13" i="32"/>
  <c r="L13" i="32"/>
  <c r="K13" i="32"/>
  <c r="J13" i="32"/>
  <c r="I13" i="32"/>
  <c r="O12" i="32"/>
  <c r="N12" i="32"/>
  <c r="M12" i="32"/>
  <c r="L12" i="32"/>
  <c r="K12" i="32"/>
  <c r="J12" i="32"/>
  <c r="O11" i="32"/>
  <c r="N11" i="32"/>
  <c r="M11" i="32"/>
  <c r="L11" i="32"/>
  <c r="K11" i="32"/>
  <c r="J11" i="32"/>
  <c r="I11" i="32"/>
  <c r="I8" i="32"/>
  <c r="I12" i="32" s="1"/>
  <c r="O6" i="32"/>
  <c r="O10" i="32" s="1"/>
  <c r="N6" i="32"/>
  <c r="N10" i="32" s="1"/>
  <c r="M6" i="32"/>
  <c r="M10" i="32" s="1"/>
  <c r="L6" i="32"/>
  <c r="L10" i="32" s="1"/>
  <c r="K6" i="32"/>
  <c r="K10" i="32" s="1"/>
  <c r="J6" i="32"/>
  <c r="J10" i="32" s="1"/>
  <c r="M152" i="32" l="1"/>
  <c r="I136" i="32"/>
  <c r="I262" i="32"/>
  <c r="K327" i="32"/>
  <c r="I507" i="32"/>
  <c r="I531" i="32"/>
  <c r="I543" i="32"/>
  <c r="N584" i="32"/>
  <c r="I647" i="32"/>
  <c r="I691" i="32"/>
  <c r="I187" i="32"/>
  <c r="I242" i="32"/>
  <c r="I392" i="32"/>
  <c r="I655" i="32"/>
  <c r="L584" i="32"/>
  <c r="I576" i="32"/>
  <c r="I75" i="32"/>
  <c r="K182" i="32"/>
  <c r="M327" i="32"/>
  <c r="I426" i="32"/>
  <c r="I503" i="32"/>
  <c r="I555" i="32"/>
  <c r="I663" i="32"/>
  <c r="I104" i="32"/>
  <c r="I79" i="32"/>
  <c r="I83" i="32"/>
  <c r="I71" i="32"/>
  <c r="L260" i="32"/>
  <c r="K314" i="32"/>
  <c r="I349" i="32"/>
  <c r="I353" i="32"/>
  <c r="I365" i="32"/>
  <c r="I460" i="32"/>
  <c r="I482" i="32"/>
  <c r="I643" i="32"/>
  <c r="I112" i="32"/>
  <c r="N369" i="32"/>
  <c r="I43" i="32"/>
  <c r="I144" i="32"/>
  <c r="I155" i="32"/>
  <c r="L191" i="32"/>
  <c r="L239" i="32" s="1"/>
  <c r="I269" i="32"/>
  <c r="I281" i="32"/>
  <c r="L314" i="32"/>
  <c r="I374" i="32"/>
  <c r="I444" i="32"/>
  <c r="I473" i="32"/>
  <c r="I477" i="32" s="1"/>
  <c r="J559" i="32"/>
  <c r="M559" i="32"/>
  <c r="I639" i="32"/>
  <c r="I651" i="32"/>
  <c r="J87" i="32"/>
  <c r="I19" i="32"/>
  <c r="I256" i="32"/>
  <c r="I132" i="32"/>
  <c r="I140" i="32"/>
  <c r="I148" i="32"/>
  <c r="N239" i="32"/>
  <c r="O289" i="32"/>
  <c r="M314" i="32"/>
  <c r="I306" i="32"/>
  <c r="I336" i="32"/>
  <c r="O390" i="32"/>
  <c r="O468" i="32"/>
  <c r="N468" i="32"/>
  <c r="M468" i="32"/>
  <c r="I635" i="32"/>
  <c r="I683" i="32"/>
  <c r="M87" i="32"/>
  <c r="O725" i="32"/>
  <c r="J239" i="32"/>
  <c r="I378" i="32"/>
  <c r="I390" i="32" s="1"/>
  <c r="I469" i="32"/>
  <c r="J727" i="32"/>
  <c r="N87" i="32"/>
  <c r="J289" i="32"/>
  <c r="I273" i="32"/>
  <c r="L390" i="32"/>
  <c r="I428" i="32"/>
  <c r="I448" i="32"/>
  <c r="O494" i="32"/>
  <c r="K559" i="32"/>
  <c r="J726" i="32"/>
  <c r="I108" i="32"/>
  <c r="I248" i="32"/>
  <c r="I291" i="32"/>
  <c r="J468" i="32"/>
  <c r="I572" i="32"/>
  <c r="I585" i="32"/>
  <c r="M239" i="32"/>
  <c r="M260" i="32"/>
  <c r="I252" i="32"/>
  <c r="L289" i="32"/>
  <c r="I323" i="32"/>
  <c r="N390" i="32"/>
  <c r="I424" i="32"/>
  <c r="I411" i="32"/>
  <c r="I496" i="32"/>
  <c r="I515" i="32"/>
  <c r="I568" i="32"/>
  <c r="O726" i="32"/>
  <c r="I618" i="32"/>
  <c r="I622" i="32" s="1"/>
  <c r="I627" i="32"/>
  <c r="I711" i="32" s="1"/>
  <c r="I716" i="32"/>
  <c r="I720" i="32" s="1"/>
  <c r="I15" i="32"/>
  <c r="N289" i="32"/>
  <c r="L87" i="32"/>
  <c r="I470" i="32"/>
  <c r="O182" i="32"/>
  <c r="M369" i="32"/>
  <c r="I495" i="32"/>
  <c r="I586" i="32"/>
  <c r="L727" i="32"/>
  <c r="I88" i="32"/>
  <c r="I100" i="32"/>
  <c r="K725" i="32"/>
  <c r="M727" i="32"/>
  <c r="I31" i="32"/>
  <c r="K152" i="32"/>
  <c r="J152" i="32"/>
  <c r="I128" i="32"/>
  <c r="I184" i="32"/>
  <c r="I178" i="32"/>
  <c r="N260" i="32"/>
  <c r="M289" i="32"/>
  <c r="I315" i="32"/>
  <c r="N314" i="32"/>
  <c r="I332" i="32"/>
  <c r="I340" i="32" s="1"/>
  <c r="I343" i="32"/>
  <c r="I341" i="32"/>
  <c r="O369" i="32"/>
  <c r="I425" i="32"/>
  <c r="K423" i="32"/>
  <c r="I432" i="32"/>
  <c r="I436" i="32"/>
  <c r="I497" i="32"/>
  <c r="I511" i="32"/>
  <c r="I564" i="32"/>
  <c r="I615" i="32"/>
  <c r="N725" i="32"/>
  <c r="L711" i="32"/>
  <c r="J720" i="32"/>
  <c r="N494" i="32"/>
  <c r="O152" i="32"/>
  <c r="I191" i="32"/>
  <c r="I239" i="32" s="1"/>
  <c r="K727" i="32"/>
  <c r="I263" i="32"/>
  <c r="I265" i="32"/>
  <c r="I290" i="32"/>
  <c r="I471" i="32"/>
  <c r="I456" i="32"/>
  <c r="L559" i="32"/>
  <c r="I519" i="32"/>
  <c r="J725" i="32"/>
  <c r="K726" i="32"/>
  <c r="I35" i="32"/>
  <c r="I87" i="32" s="1"/>
  <c r="I89" i="32"/>
  <c r="L725" i="32"/>
  <c r="M726" i="32"/>
  <c r="N727" i="32"/>
  <c r="I27" i="32"/>
  <c r="I51" i="32"/>
  <c r="I59" i="32"/>
  <c r="I67" i="32"/>
  <c r="N152" i="32"/>
  <c r="I120" i="32"/>
  <c r="I157" i="32"/>
  <c r="I161" i="32" s="1"/>
  <c r="I185" i="32"/>
  <c r="I174" i="32"/>
  <c r="I240" i="32"/>
  <c r="O260" i="32"/>
  <c r="I316" i="32"/>
  <c r="I319" i="32"/>
  <c r="I327" i="32" s="1"/>
  <c r="K340" i="32"/>
  <c r="I345" i="32"/>
  <c r="I371" i="32"/>
  <c r="I370" i="32"/>
  <c r="K468" i="32"/>
  <c r="I440" i="32"/>
  <c r="I490" i="32"/>
  <c r="I494" i="32" s="1"/>
  <c r="I561" i="32"/>
  <c r="I551" i="32"/>
  <c r="K584" i="32"/>
  <c r="M711" i="32"/>
  <c r="I361" i="32"/>
  <c r="I527" i="32"/>
  <c r="N182" i="32"/>
  <c r="I310" i="32"/>
  <c r="I314" i="32" s="1"/>
  <c r="M390" i="32"/>
  <c r="I631" i="32"/>
  <c r="I713" i="32"/>
  <c r="I712" i="32"/>
  <c r="M725" i="32"/>
  <c r="N726" i="32"/>
  <c r="I23" i="32"/>
  <c r="I55" i="32"/>
  <c r="I63" i="32"/>
  <c r="I154" i="32"/>
  <c r="I116" i="32"/>
  <c r="I170" i="32"/>
  <c r="I182" i="32" s="1"/>
  <c r="I277" i="32"/>
  <c r="I294" i="32"/>
  <c r="I317" i="32"/>
  <c r="L340" i="32"/>
  <c r="K369" i="32"/>
  <c r="I386" i="32"/>
  <c r="I423" i="32"/>
  <c r="L468" i="32"/>
  <c r="I464" i="32"/>
  <c r="I486" i="32"/>
  <c r="I523" i="32"/>
  <c r="I547" i="32"/>
  <c r="M584" i="32"/>
  <c r="I605" i="32"/>
  <c r="I613" i="32" s="1"/>
  <c r="N711" i="32"/>
  <c r="I289" i="32"/>
  <c r="L726" i="32"/>
  <c r="O727" i="32"/>
  <c r="O327" i="32"/>
  <c r="K390" i="32"/>
  <c r="O559" i="32"/>
  <c r="I47" i="32"/>
  <c r="M494" i="32"/>
  <c r="I189" i="32"/>
  <c r="I241" i="32" s="1"/>
  <c r="J711" i="32"/>
  <c r="J390" i="32"/>
  <c r="I6" i="32"/>
  <c r="I10" i="32" s="1"/>
  <c r="I244" i="32"/>
  <c r="I260" i="32" s="1"/>
  <c r="K87" i="32"/>
  <c r="K289" i="32"/>
  <c r="J340" i="32"/>
  <c r="J369" i="32"/>
  <c r="J584" i="32"/>
  <c r="K711" i="32"/>
  <c r="I357" i="32"/>
  <c r="J613" i="32"/>
  <c r="J182" i="32"/>
  <c r="J314" i="32"/>
  <c r="I92" i="32"/>
  <c r="N724" i="32" l="1"/>
  <c r="L724" i="32"/>
  <c r="I584" i="32"/>
  <c r="I725" i="32"/>
  <c r="I559" i="32"/>
  <c r="I727" i="32"/>
  <c r="O724" i="32"/>
  <c r="J724" i="32"/>
  <c r="I468" i="32"/>
  <c r="I726" i="32"/>
  <c r="K724" i="32"/>
  <c r="I369" i="32"/>
  <c r="I152" i="32"/>
  <c r="I724" i="32" s="1"/>
  <c r="M724" i="32"/>
  <c r="O1102" i="31" l="1"/>
  <c r="N1102" i="31"/>
  <c r="M1102" i="31"/>
  <c r="L1102" i="31"/>
  <c r="K1102" i="31"/>
  <c r="J1102" i="31"/>
  <c r="O1101" i="31"/>
  <c r="N1101" i="31"/>
  <c r="M1101" i="31"/>
  <c r="L1101" i="31"/>
  <c r="K1101" i="31"/>
  <c r="J1101" i="31"/>
  <c r="O1100" i="31"/>
  <c r="N1100" i="31"/>
  <c r="M1100" i="31"/>
  <c r="L1100" i="31"/>
  <c r="K1100" i="31"/>
  <c r="J1100" i="31"/>
  <c r="P1099" i="31"/>
  <c r="P1103" i="31" s="1"/>
  <c r="I1098" i="31"/>
  <c r="I1097" i="31"/>
  <c r="I1096" i="31"/>
  <c r="O1095" i="31"/>
  <c r="N1095" i="31"/>
  <c r="M1095" i="31"/>
  <c r="L1095" i="31"/>
  <c r="K1095" i="31"/>
  <c r="J1095" i="31"/>
  <c r="I1094" i="31"/>
  <c r="I1093" i="31"/>
  <c r="I1092" i="31"/>
  <c r="O1091" i="31"/>
  <c r="N1091" i="31"/>
  <c r="M1091" i="31"/>
  <c r="L1091" i="31"/>
  <c r="K1091" i="31"/>
  <c r="J1091" i="31"/>
  <c r="I1090" i="31"/>
  <c r="I1089" i="31"/>
  <c r="I1088" i="31"/>
  <c r="I1100" i="31" s="1"/>
  <c r="O1087" i="31"/>
  <c r="N1087" i="31"/>
  <c r="M1087" i="31"/>
  <c r="M1099" i="31" s="1"/>
  <c r="L1087" i="31"/>
  <c r="L1099" i="31" s="1"/>
  <c r="K1087" i="31"/>
  <c r="J1087" i="31"/>
  <c r="O1085" i="31"/>
  <c r="N1085" i="31"/>
  <c r="M1085" i="31"/>
  <c r="L1085" i="31"/>
  <c r="K1085" i="31"/>
  <c r="J1085" i="31"/>
  <c r="I1085" i="31"/>
  <c r="O1084" i="31"/>
  <c r="N1084" i="31"/>
  <c r="M1084" i="31"/>
  <c r="L1084" i="31"/>
  <c r="K1084" i="31"/>
  <c r="J1084" i="31"/>
  <c r="O1083" i="31"/>
  <c r="N1083" i="31"/>
  <c r="M1083" i="31"/>
  <c r="L1083" i="31"/>
  <c r="K1083" i="31"/>
  <c r="J1083" i="31"/>
  <c r="I1083" i="31"/>
  <c r="I1080" i="31"/>
  <c r="O1078" i="31"/>
  <c r="N1078" i="31"/>
  <c r="M1078" i="31"/>
  <c r="L1078" i="31"/>
  <c r="K1078" i="31"/>
  <c r="J1078" i="31"/>
  <c r="I1076" i="31"/>
  <c r="O1074" i="31"/>
  <c r="N1074" i="31"/>
  <c r="M1074" i="31"/>
  <c r="L1074" i="31"/>
  <c r="K1074" i="31"/>
  <c r="J1074" i="31"/>
  <c r="I1072" i="31"/>
  <c r="O1070" i="31"/>
  <c r="N1070" i="31"/>
  <c r="M1070" i="31"/>
  <c r="L1070" i="31"/>
  <c r="K1070" i="31"/>
  <c r="J1070" i="31"/>
  <c r="I1068" i="31"/>
  <c r="O1066" i="31"/>
  <c r="N1066" i="31"/>
  <c r="M1066" i="31"/>
  <c r="L1066" i="31"/>
  <c r="K1066" i="31"/>
  <c r="J1066" i="31"/>
  <c r="I1064" i="31"/>
  <c r="O1062" i="31"/>
  <c r="N1062" i="31"/>
  <c r="M1062" i="31"/>
  <c r="L1062" i="31"/>
  <c r="K1062" i="31"/>
  <c r="J1062" i="31"/>
  <c r="I1060" i="31"/>
  <c r="O1058" i="31"/>
  <c r="N1058" i="31"/>
  <c r="M1058" i="31"/>
  <c r="L1058" i="31"/>
  <c r="K1058" i="31"/>
  <c r="J1058" i="31"/>
  <c r="I1056" i="31"/>
  <c r="O1054" i="31"/>
  <c r="N1054" i="31"/>
  <c r="M1054" i="31"/>
  <c r="L1054" i="31"/>
  <c r="K1054" i="31"/>
  <c r="J1054" i="31"/>
  <c r="J1051" i="31"/>
  <c r="O1048" i="31"/>
  <c r="I1048" i="31" s="1"/>
  <c r="N1048" i="31"/>
  <c r="M1048" i="31"/>
  <c r="L1048" i="31"/>
  <c r="K1048" i="31"/>
  <c r="O1047" i="31"/>
  <c r="N1047" i="31"/>
  <c r="M1047" i="31"/>
  <c r="L1047" i="31"/>
  <c r="K1047" i="31"/>
  <c r="O1046" i="31"/>
  <c r="N1046" i="31"/>
  <c r="M1046" i="31"/>
  <c r="L1046" i="31"/>
  <c r="K1046" i="31"/>
  <c r="L1045" i="31"/>
  <c r="O1044" i="31"/>
  <c r="N1044" i="31"/>
  <c r="M1044" i="31"/>
  <c r="L1044" i="31"/>
  <c r="K1044" i="31"/>
  <c r="I1044" i="31" s="1"/>
  <c r="O1043" i="31"/>
  <c r="N1043" i="31"/>
  <c r="M1043" i="31"/>
  <c r="L1043" i="31"/>
  <c r="K1043" i="31"/>
  <c r="O1042" i="31"/>
  <c r="N1042" i="31"/>
  <c r="M1042" i="31"/>
  <c r="L1042" i="31"/>
  <c r="L1041" i="31" s="1"/>
  <c r="K1042" i="31"/>
  <c r="K1041" i="31" s="1"/>
  <c r="M1041" i="31"/>
  <c r="J1041" i="31"/>
  <c r="O1040" i="31"/>
  <c r="O1052" i="31" s="1"/>
  <c r="N1040" i="31"/>
  <c r="M1040" i="31"/>
  <c r="M1037" i="31" s="1"/>
  <c r="L1040" i="31"/>
  <c r="L1037" i="31" s="1"/>
  <c r="K1040" i="31"/>
  <c r="I1040" i="31" s="1"/>
  <c r="O1039" i="31"/>
  <c r="N1039" i="31"/>
  <c r="M1039" i="31"/>
  <c r="L1039" i="31"/>
  <c r="K1039" i="31"/>
  <c r="I1039" i="31"/>
  <c r="O1038" i="31"/>
  <c r="O1037" i="31" s="1"/>
  <c r="N1038" i="31"/>
  <c r="M1038" i="31"/>
  <c r="L1038" i="31"/>
  <c r="K1038" i="31"/>
  <c r="N1036" i="31"/>
  <c r="N1052" i="31" s="1"/>
  <c r="M1036" i="31"/>
  <c r="I1036" i="31" s="1"/>
  <c r="N1035" i="31"/>
  <c r="M1035" i="31"/>
  <c r="N1034" i="31"/>
  <c r="M1034" i="31"/>
  <c r="I1034" i="31" s="1"/>
  <c r="K1032" i="31"/>
  <c r="I1032" i="31"/>
  <c r="K1031" i="31"/>
  <c r="I1031" i="31" s="1"/>
  <c r="K1030" i="31"/>
  <c r="I1030" i="31" s="1"/>
  <c r="O1028" i="31"/>
  <c r="N1028" i="31"/>
  <c r="M1028" i="31"/>
  <c r="L1028" i="31"/>
  <c r="K1028" i="31"/>
  <c r="J1028" i="31"/>
  <c r="J1052" i="31" s="1"/>
  <c r="O1027" i="31"/>
  <c r="N1027" i="31"/>
  <c r="M1027" i="31"/>
  <c r="L1027" i="31"/>
  <c r="K1027" i="31"/>
  <c r="J1027" i="31"/>
  <c r="I1027" i="31" s="1"/>
  <c r="O1026" i="31"/>
  <c r="O1025" i="31" s="1"/>
  <c r="N1026" i="31"/>
  <c r="M1026" i="31"/>
  <c r="L1026" i="31"/>
  <c r="K1026" i="31"/>
  <c r="J1026" i="31"/>
  <c r="M1025" i="31"/>
  <c r="L1025" i="31"/>
  <c r="K1025" i="31"/>
  <c r="K1024" i="31"/>
  <c r="I1024" i="31" s="1"/>
  <c r="K1023" i="31"/>
  <c r="I1023" i="31" s="1"/>
  <c r="K1022" i="31"/>
  <c r="I1022" i="31"/>
  <c r="L1020" i="31"/>
  <c r="I1020" i="31" s="1"/>
  <c r="L1019" i="31"/>
  <c r="I1019" i="31"/>
  <c r="L1018" i="31"/>
  <c r="L1017" i="31" s="1"/>
  <c r="I1017" i="31" s="1"/>
  <c r="M1016" i="31"/>
  <c r="L1016" i="31"/>
  <c r="I1016" i="31"/>
  <c r="M1015" i="31"/>
  <c r="L1015" i="31"/>
  <c r="M1014" i="31"/>
  <c r="L1014" i="31"/>
  <c r="I1014" i="31" s="1"/>
  <c r="K1012" i="31"/>
  <c r="K1009" i="31" s="1"/>
  <c r="I1009" i="31" s="1"/>
  <c r="K1011" i="31"/>
  <c r="I1011" i="31"/>
  <c r="K1010" i="31"/>
  <c r="I1010" i="31" s="1"/>
  <c r="M1008" i="31"/>
  <c r="L1008" i="31"/>
  <c r="I1008" i="31" s="1"/>
  <c r="M1007" i="31"/>
  <c r="L1007" i="31"/>
  <c r="I1007" i="31" s="1"/>
  <c r="M1006" i="31"/>
  <c r="L1006" i="31"/>
  <c r="O1004" i="31"/>
  <c r="N1004" i="31"/>
  <c r="M1004" i="31"/>
  <c r="I1004" i="31"/>
  <c r="O1003" i="31"/>
  <c r="O1051" i="31" s="1"/>
  <c r="N1003" i="31"/>
  <c r="N1001" i="31" s="1"/>
  <c r="M1003" i="31"/>
  <c r="O1002" i="31"/>
  <c r="N1002" i="31"/>
  <c r="M1002" i="31"/>
  <c r="I1002" i="31"/>
  <c r="M1001" i="31"/>
  <c r="L1000" i="31"/>
  <c r="I1000" i="31" s="1"/>
  <c r="L999" i="31"/>
  <c r="I999" i="31" s="1"/>
  <c r="L998" i="31"/>
  <c r="I998" i="31" s="1"/>
  <c r="L996" i="31"/>
  <c r="I996" i="31" s="1"/>
  <c r="L995" i="31"/>
  <c r="I995" i="31"/>
  <c r="L994" i="31"/>
  <c r="I994" i="31" s="1"/>
  <c r="L992" i="31"/>
  <c r="I992" i="31" s="1"/>
  <c r="L991" i="31"/>
  <c r="I991" i="31"/>
  <c r="L990" i="31"/>
  <c r="L988" i="31"/>
  <c r="I988" i="31" s="1"/>
  <c r="L987" i="31"/>
  <c r="I987" i="31"/>
  <c r="L986" i="31"/>
  <c r="L985" i="31" s="1"/>
  <c r="I985" i="31" s="1"/>
  <c r="I986" i="31"/>
  <c r="L984" i="31"/>
  <c r="I984" i="31" s="1"/>
  <c r="L983" i="31"/>
  <c r="I983" i="31"/>
  <c r="L982" i="31"/>
  <c r="I982" i="31" s="1"/>
  <c r="L981" i="31"/>
  <c r="I981" i="31" s="1"/>
  <c r="M980" i="31"/>
  <c r="I980" i="31" s="1"/>
  <c r="M979" i="31"/>
  <c r="I979" i="31" s="1"/>
  <c r="M978" i="31"/>
  <c r="I978" i="31" s="1"/>
  <c r="L977" i="31"/>
  <c r="L976" i="31"/>
  <c r="I976" i="31" s="1"/>
  <c r="L975" i="31"/>
  <c r="I975" i="31"/>
  <c r="L974" i="31"/>
  <c r="L973" i="31" s="1"/>
  <c r="I973" i="31" s="1"/>
  <c r="I974" i="31"/>
  <c r="L972" i="31"/>
  <c r="I972" i="31" s="1"/>
  <c r="L971" i="31"/>
  <c r="I971" i="31" s="1"/>
  <c r="L970" i="31"/>
  <c r="L969" i="31" s="1"/>
  <c r="I969" i="31" s="1"/>
  <c r="I970" i="31"/>
  <c r="K968" i="31"/>
  <c r="I968" i="31" s="1"/>
  <c r="K967" i="31"/>
  <c r="I967" i="31"/>
  <c r="K966" i="31"/>
  <c r="I966" i="31"/>
  <c r="K964" i="31"/>
  <c r="I964" i="31" s="1"/>
  <c r="K963" i="31"/>
  <c r="I963" i="31"/>
  <c r="K962" i="31"/>
  <c r="K961" i="31" s="1"/>
  <c r="I961" i="31" s="1"/>
  <c r="K960" i="31"/>
  <c r="I960" i="31" s="1"/>
  <c r="K959" i="31"/>
  <c r="I959" i="31" s="1"/>
  <c r="K958" i="31"/>
  <c r="I958" i="31" s="1"/>
  <c r="M956" i="31"/>
  <c r="I956" i="31" s="1"/>
  <c r="M955" i="31"/>
  <c r="I955" i="31"/>
  <c r="M954" i="31"/>
  <c r="M953" i="31" s="1"/>
  <c r="I953" i="31" s="1"/>
  <c r="M952" i="31"/>
  <c r="I952" i="31" s="1"/>
  <c r="M951" i="31"/>
  <c r="I951" i="31"/>
  <c r="M950" i="31"/>
  <c r="I950" i="31"/>
  <c r="L948" i="31"/>
  <c r="I948" i="31" s="1"/>
  <c r="L947" i="31"/>
  <c r="I947" i="31"/>
  <c r="L946" i="31"/>
  <c r="L945" i="31" s="1"/>
  <c r="M945" i="31"/>
  <c r="M944" i="31"/>
  <c r="I944" i="31" s="1"/>
  <c r="M943" i="31"/>
  <c r="I943" i="31"/>
  <c r="M942" i="31"/>
  <c r="L940" i="31"/>
  <c r="I940" i="31"/>
  <c r="L939" i="31"/>
  <c r="I939" i="31"/>
  <c r="L938" i="31"/>
  <c r="M937" i="31"/>
  <c r="K936" i="31"/>
  <c r="I936" i="31"/>
  <c r="K935" i="31"/>
  <c r="I935" i="31" s="1"/>
  <c r="K934" i="31"/>
  <c r="K933" i="31" s="1"/>
  <c r="I933" i="31" s="1"/>
  <c r="K932" i="31"/>
  <c r="I932" i="31"/>
  <c r="K931" i="31"/>
  <c r="I931" i="31" s="1"/>
  <c r="K930" i="31"/>
  <c r="I930" i="31"/>
  <c r="K928" i="31"/>
  <c r="I928" i="31"/>
  <c r="K927" i="31"/>
  <c r="K926" i="31"/>
  <c r="I926" i="31"/>
  <c r="L924" i="31"/>
  <c r="I924" i="31"/>
  <c r="L923" i="31"/>
  <c r="I923" i="31"/>
  <c r="L922" i="31"/>
  <c r="L921" i="31" s="1"/>
  <c r="I921" i="31" s="1"/>
  <c r="L920" i="31"/>
  <c r="I920" i="31"/>
  <c r="L919" i="31"/>
  <c r="I919" i="31" s="1"/>
  <c r="L918" i="31"/>
  <c r="L917" i="31" s="1"/>
  <c r="I917" i="31" s="1"/>
  <c r="I918" i="31"/>
  <c r="L916" i="31"/>
  <c r="I916" i="31"/>
  <c r="L915" i="31"/>
  <c r="I915" i="31" s="1"/>
  <c r="L914" i="31"/>
  <c r="I914" i="31"/>
  <c r="L912" i="31"/>
  <c r="I912" i="31"/>
  <c r="L911" i="31"/>
  <c r="L910" i="31"/>
  <c r="I910" i="31"/>
  <c r="I908" i="31"/>
  <c r="I907" i="31"/>
  <c r="I906" i="31"/>
  <c r="K905" i="31"/>
  <c r="I905" i="31" s="1"/>
  <c r="I904" i="31"/>
  <c r="I903" i="31"/>
  <c r="I902" i="31"/>
  <c r="L901" i="31"/>
  <c r="K901" i="31"/>
  <c r="I900" i="31"/>
  <c r="I899" i="31"/>
  <c r="I898" i="31"/>
  <c r="L897" i="31"/>
  <c r="K897" i="31"/>
  <c r="J897" i="31"/>
  <c r="I897" i="31"/>
  <c r="I895" i="31"/>
  <c r="I894" i="31"/>
  <c r="O893" i="31"/>
  <c r="N893" i="31"/>
  <c r="M893" i="31"/>
  <c r="L893" i="31"/>
  <c r="K893" i="31"/>
  <c r="J893" i="31"/>
  <c r="I891" i="31"/>
  <c r="I890" i="31"/>
  <c r="O889" i="31"/>
  <c r="N889" i="31"/>
  <c r="M889" i="31"/>
  <c r="L889" i="31"/>
  <c r="K889" i="31"/>
  <c r="J889" i="31"/>
  <c r="I888" i="31"/>
  <c r="I887" i="31"/>
  <c r="I886" i="31"/>
  <c r="O885" i="31"/>
  <c r="N885" i="31"/>
  <c r="M885" i="31"/>
  <c r="L885" i="31"/>
  <c r="K885" i="31"/>
  <c r="J885" i="31"/>
  <c r="I883" i="31"/>
  <c r="I882" i="31"/>
  <c r="O881" i="31"/>
  <c r="N881" i="31"/>
  <c r="M881" i="31"/>
  <c r="L881" i="31"/>
  <c r="K881" i="31"/>
  <c r="J881" i="31"/>
  <c r="I879" i="31"/>
  <c r="I878" i="31"/>
  <c r="O877" i="31"/>
  <c r="N877" i="31"/>
  <c r="M877" i="31"/>
  <c r="L877" i="31"/>
  <c r="K877" i="31"/>
  <c r="J877" i="31"/>
  <c r="O875" i="31"/>
  <c r="N875" i="31"/>
  <c r="M875" i="31"/>
  <c r="L875" i="31"/>
  <c r="K875" i="31"/>
  <c r="J875" i="31"/>
  <c r="O874" i="31"/>
  <c r="N874" i="31"/>
  <c r="M874" i="31"/>
  <c r="L874" i="31"/>
  <c r="K874" i="31"/>
  <c r="J874" i="31"/>
  <c r="O873" i="31"/>
  <c r="N873" i="31"/>
  <c r="M873" i="31"/>
  <c r="L873" i="31"/>
  <c r="K873" i="31"/>
  <c r="J873" i="31"/>
  <c r="I871" i="31"/>
  <c r="I870" i="31"/>
  <c r="I869" i="31"/>
  <c r="O868" i="31"/>
  <c r="N868" i="31"/>
  <c r="M868" i="31"/>
  <c r="L868" i="31"/>
  <c r="K868" i="31"/>
  <c r="J868" i="31"/>
  <c r="I867" i="31"/>
  <c r="I866" i="31"/>
  <c r="I865" i="31"/>
  <c r="O864" i="31"/>
  <c r="N864" i="31"/>
  <c r="M864" i="31"/>
  <c r="L864" i="31"/>
  <c r="K864" i="31"/>
  <c r="J864" i="31"/>
  <c r="I863" i="31"/>
  <c r="I862" i="31"/>
  <c r="I861" i="31"/>
  <c r="O860" i="31"/>
  <c r="N860" i="31"/>
  <c r="M860" i="31"/>
  <c r="L860" i="31"/>
  <c r="K860" i="31"/>
  <c r="J860" i="31"/>
  <c r="I859" i="31"/>
  <c r="I858" i="31"/>
  <c r="I857" i="31"/>
  <c r="O856" i="31"/>
  <c r="N856" i="31"/>
  <c r="M856" i="31"/>
  <c r="L856" i="31"/>
  <c r="K856" i="31"/>
  <c r="K872" i="31" s="1"/>
  <c r="J856" i="31"/>
  <c r="I855" i="31"/>
  <c r="I854" i="31"/>
  <c r="I853" i="31"/>
  <c r="N852" i="31"/>
  <c r="K852" i="31"/>
  <c r="I852" i="31"/>
  <c r="I851" i="31"/>
  <c r="I850" i="31"/>
  <c r="I849" i="31"/>
  <c r="I848" i="31"/>
  <c r="I847" i="31"/>
  <c r="I846" i="31"/>
  <c r="I845" i="31"/>
  <c r="O844" i="31"/>
  <c r="N844" i="31"/>
  <c r="M844" i="31"/>
  <c r="L844" i="31"/>
  <c r="K844" i="31"/>
  <c r="J844" i="31"/>
  <c r="O842" i="31"/>
  <c r="N842" i="31"/>
  <c r="M842" i="31"/>
  <c r="L842" i="31"/>
  <c r="K842" i="31"/>
  <c r="J842" i="31"/>
  <c r="O841" i="31"/>
  <c r="N841" i="31"/>
  <c r="M841" i="31"/>
  <c r="L841" i="31"/>
  <c r="K841" i="31"/>
  <c r="J841" i="31"/>
  <c r="O840" i="31"/>
  <c r="N840" i="31"/>
  <c r="M840" i="31"/>
  <c r="L840" i="31"/>
  <c r="K840" i="31"/>
  <c r="J840" i="31"/>
  <c r="I838" i="31"/>
  <c r="I837" i="31"/>
  <c r="I836" i="31"/>
  <c r="O835" i="31"/>
  <c r="N835" i="31"/>
  <c r="M835" i="31"/>
  <c r="L835" i="31"/>
  <c r="K835" i="31"/>
  <c r="J835" i="31"/>
  <c r="I834" i="31"/>
  <c r="I833" i="31"/>
  <c r="I832" i="31"/>
  <c r="O831" i="31"/>
  <c r="N831" i="31"/>
  <c r="M831" i="31"/>
  <c r="L831" i="31"/>
  <c r="K831" i="31"/>
  <c r="J831" i="31"/>
  <c r="I830" i="31"/>
  <c r="I829" i="31"/>
  <c r="I828" i="31"/>
  <c r="O827" i="31"/>
  <c r="N827" i="31"/>
  <c r="M827" i="31"/>
  <c r="L827" i="31"/>
  <c r="K827" i="31"/>
  <c r="J827" i="31"/>
  <c r="I826" i="31"/>
  <c r="I825" i="31"/>
  <c r="I824" i="31"/>
  <c r="O823" i="31"/>
  <c r="N823" i="31"/>
  <c r="M823" i="31"/>
  <c r="L823" i="31"/>
  <c r="K823" i="31"/>
  <c r="J823" i="31"/>
  <c r="J839" i="31" s="1"/>
  <c r="I822" i="31"/>
  <c r="I821" i="31"/>
  <c r="I820" i="31"/>
  <c r="O819" i="31"/>
  <c r="N819" i="31"/>
  <c r="M819" i="31"/>
  <c r="L819" i="31"/>
  <c r="K819" i="31"/>
  <c r="J819" i="31"/>
  <c r="I818" i="31"/>
  <c r="I817" i="31"/>
  <c r="I816" i="31"/>
  <c r="O815" i="31"/>
  <c r="N815" i="31"/>
  <c r="M815" i="31"/>
  <c r="L815" i="31"/>
  <c r="K815" i="31"/>
  <c r="J815" i="31"/>
  <c r="I814" i="31"/>
  <c r="I813" i="31"/>
  <c r="I812" i="31"/>
  <c r="O811" i="31"/>
  <c r="N811" i="31"/>
  <c r="M811" i="31"/>
  <c r="L811" i="31"/>
  <c r="K811" i="31"/>
  <c r="J811" i="31"/>
  <c r="I810" i="31"/>
  <c r="I809" i="31"/>
  <c r="I808" i="31"/>
  <c r="O807" i="31"/>
  <c r="N807" i="31"/>
  <c r="M807" i="31"/>
  <c r="L807" i="31"/>
  <c r="K807" i="31"/>
  <c r="J807" i="31"/>
  <c r="O805" i="31"/>
  <c r="N805" i="31"/>
  <c r="M805" i="31"/>
  <c r="L805" i="31"/>
  <c r="K805" i="31"/>
  <c r="J805" i="31"/>
  <c r="O804" i="31"/>
  <c r="N804" i="31"/>
  <c r="M804" i="31"/>
  <c r="L804" i="31"/>
  <c r="K804" i="31"/>
  <c r="J804" i="31"/>
  <c r="O803" i="31"/>
  <c r="N803" i="31"/>
  <c r="M803" i="31"/>
  <c r="L803" i="31"/>
  <c r="K803" i="31"/>
  <c r="J803" i="31"/>
  <c r="I801" i="31"/>
  <c r="I800" i="31"/>
  <c r="I799" i="31"/>
  <c r="O798" i="31"/>
  <c r="N798" i="31"/>
  <c r="M798" i="31"/>
  <c r="L798" i="31"/>
  <c r="K798" i="31"/>
  <c r="J798" i="31"/>
  <c r="I797" i="31"/>
  <c r="I805" i="31" s="1"/>
  <c r="I796" i="31"/>
  <c r="I795" i="31"/>
  <c r="O794" i="31"/>
  <c r="N794" i="31"/>
  <c r="N802" i="31" s="1"/>
  <c r="M794" i="31"/>
  <c r="M802" i="31" s="1"/>
  <c r="L794" i="31"/>
  <c r="L802" i="31" s="1"/>
  <c r="K794" i="31"/>
  <c r="K802" i="31" s="1"/>
  <c r="J794" i="31"/>
  <c r="J802" i="31" s="1"/>
  <c r="O792" i="31"/>
  <c r="N792" i="31"/>
  <c r="M792" i="31"/>
  <c r="L792" i="31"/>
  <c r="K792" i="31"/>
  <c r="J792" i="31"/>
  <c r="O791" i="31"/>
  <c r="N791" i="31"/>
  <c r="M791" i="31"/>
  <c r="L791" i="31"/>
  <c r="K791" i="31"/>
  <c r="J791" i="31"/>
  <c r="O790" i="31"/>
  <c r="N790" i="31"/>
  <c r="M790" i="31"/>
  <c r="L790" i="31"/>
  <c r="K790" i="31"/>
  <c r="J790" i="31"/>
  <c r="I788" i="31"/>
  <c r="I787" i="31"/>
  <c r="I786" i="31"/>
  <c r="O785" i="31"/>
  <c r="N785" i="31"/>
  <c r="M785" i="31"/>
  <c r="I785" i="31" s="1"/>
  <c r="L785" i="31"/>
  <c r="K785" i="31"/>
  <c r="J785" i="31"/>
  <c r="I784" i="31"/>
  <c r="I783" i="31"/>
  <c r="I782" i="31"/>
  <c r="O781" i="31"/>
  <c r="N781" i="31"/>
  <c r="M781" i="31"/>
  <c r="L781" i="31"/>
  <c r="K781" i="31"/>
  <c r="J781" i="31"/>
  <c r="I780" i="31"/>
  <c r="I779" i="31"/>
  <c r="I778" i="31"/>
  <c r="O777" i="31"/>
  <c r="N777" i="31"/>
  <c r="M777" i="31"/>
  <c r="L777" i="31"/>
  <c r="K777" i="31"/>
  <c r="J777" i="31"/>
  <c r="I776" i="31"/>
  <c r="I775" i="31"/>
  <c r="I774" i="31"/>
  <c r="O773" i="31"/>
  <c r="N773" i="31"/>
  <c r="M773" i="31"/>
  <c r="L773" i="31"/>
  <c r="K773" i="31"/>
  <c r="J773" i="31"/>
  <c r="I772" i="31"/>
  <c r="I792" i="31" s="1"/>
  <c r="I771" i="31"/>
  <c r="I770" i="31"/>
  <c r="O769" i="31"/>
  <c r="N769" i="31"/>
  <c r="M769" i="31"/>
  <c r="L769" i="31"/>
  <c r="K769" i="31"/>
  <c r="J769" i="31"/>
  <c r="J789" i="31" s="1"/>
  <c r="O767" i="31"/>
  <c r="N767" i="31"/>
  <c r="M767" i="31"/>
  <c r="L767" i="31"/>
  <c r="K767" i="31"/>
  <c r="J767" i="31"/>
  <c r="I767" i="31"/>
  <c r="O766" i="31"/>
  <c r="N766" i="31"/>
  <c r="M766" i="31"/>
  <c r="L766" i="31"/>
  <c r="K766" i="31"/>
  <c r="J766" i="31"/>
  <c r="O765" i="31"/>
  <c r="N765" i="31"/>
  <c r="M765" i="31"/>
  <c r="L765" i="31"/>
  <c r="K765" i="31"/>
  <c r="J765" i="31"/>
  <c r="I763" i="31"/>
  <c r="I762" i="31"/>
  <c r="I766" i="31" s="1"/>
  <c r="I761" i="31"/>
  <c r="I765" i="31" s="1"/>
  <c r="O760" i="31"/>
  <c r="O764" i="31" s="1"/>
  <c r="N760" i="31"/>
  <c r="N764" i="31" s="1"/>
  <c r="M760" i="31"/>
  <c r="M764" i="31" s="1"/>
  <c r="L760" i="31"/>
  <c r="L764" i="31" s="1"/>
  <c r="K760" i="31"/>
  <c r="J760" i="31"/>
  <c r="J764" i="31" s="1"/>
  <c r="O758" i="31"/>
  <c r="N758" i="31"/>
  <c r="M758" i="31"/>
  <c r="L758" i="31"/>
  <c r="K758" i="31"/>
  <c r="J758" i="31"/>
  <c r="I758" i="31"/>
  <c r="O757" i="31"/>
  <c r="N757" i="31"/>
  <c r="M757" i="31"/>
  <c r="L757" i="31"/>
  <c r="K757" i="31"/>
  <c r="J757" i="31"/>
  <c r="O756" i="31"/>
  <c r="N756" i="31"/>
  <c r="M756" i="31"/>
  <c r="L756" i="31"/>
  <c r="K756" i="31"/>
  <c r="J756" i="31"/>
  <c r="I756" i="31"/>
  <c r="I753" i="31"/>
  <c r="O751" i="31"/>
  <c r="N751" i="31"/>
  <c r="M751" i="31"/>
  <c r="L751" i="31"/>
  <c r="K751" i="31"/>
  <c r="J751" i="31"/>
  <c r="I749" i="31"/>
  <c r="O747" i="31"/>
  <c r="N747" i="31"/>
  <c r="M747" i="31"/>
  <c r="L747" i="31"/>
  <c r="K747" i="31"/>
  <c r="J747" i="31"/>
  <c r="I745" i="31"/>
  <c r="O743" i="31"/>
  <c r="N743" i="31"/>
  <c r="M743" i="31"/>
  <c r="L743" i="31"/>
  <c r="K743" i="31"/>
  <c r="J743" i="31"/>
  <c r="I741" i="31"/>
  <c r="O739" i="31"/>
  <c r="N739" i="31"/>
  <c r="I739" i="31" s="1"/>
  <c r="M739" i="31"/>
  <c r="L739" i="31"/>
  <c r="K739" i="31"/>
  <c r="J739" i="31"/>
  <c r="I737" i="31"/>
  <c r="O735" i="31"/>
  <c r="N735" i="31"/>
  <c r="M735" i="31"/>
  <c r="L735" i="31"/>
  <c r="K735" i="31"/>
  <c r="J735" i="31"/>
  <c r="I733" i="31"/>
  <c r="O731" i="31"/>
  <c r="N731" i="31"/>
  <c r="M731" i="31"/>
  <c r="L731" i="31"/>
  <c r="K731" i="31"/>
  <c r="J731" i="31"/>
  <c r="I729" i="31"/>
  <c r="O727" i="31"/>
  <c r="N727" i="31"/>
  <c r="M727" i="31"/>
  <c r="L727" i="31"/>
  <c r="K727" i="31"/>
  <c r="J727" i="31"/>
  <c r="I725" i="31"/>
  <c r="O723" i="31"/>
  <c r="N723" i="31"/>
  <c r="M723" i="31"/>
  <c r="L723" i="31"/>
  <c r="K723" i="31"/>
  <c r="J723" i="31"/>
  <c r="I721" i="31"/>
  <c r="O719" i="31"/>
  <c r="N719" i="31"/>
  <c r="M719" i="31"/>
  <c r="L719" i="31"/>
  <c r="K719" i="31"/>
  <c r="J719" i="31"/>
  <c r="I717" i="31"/>
  <c r="I757" i="31" s="1"/>
  <c r="O715" i="31"/>
  <c r="N715" i="31"/>
  <c r="M715" i="31"/>
  <c r="L715" i="31"/>
  <c r="K715" i="31"/>
  <c r="J715" i="31"/>
  <c r="O713" i="31"/>
  <c r="N713" i="31"/>
  <c r="M713" i="31"/>
  <c r="L713" i="31"/>
  <c r="K713" i="31"/>
  <c r="J713" i="31"/>
  <c r="O712" i="31"/>
  <c r="N712" i="31"/>
  <c r="M712" i="31"/>
  <c r="L712" i="31"/>
  <c r="K712" i="31"/>
  <c r="J712" i="31"/>
  <c r="O711" i="31"/>
  <c r="N711" i="31"/>
  <c r="M711" i="31"/>
  <c r="L711" i="31"/>
  <c r="K711" i="31"/>
  <c r="J711" i="31"/>
  <c r="I709" i="31"/>
  <c r="I708" i="31"/>
  <c r="I707" i="31"/>
  <c r="O706" i="31"/>
  <c r="M706" i="31"/>
  <c r="L706" i="31"/>
  <c r="K706" i="31"/>
  <c r="J706" i="31"/>
  <c r="I705" i="31"/>
  <c r="I704" i="31"/>
  <c r="I703" i="31"/>
  <c r="O702" i="31"/>
  <c r="M702" i="31"/>
  <c r="L702" i="31"/>
  <c r="K702" i="31"/>
  <c r="J702" i="31"/>
  <c r="I702" i="31" s="1"/>
  <c r="I701" i="31"/>
  <c r="I700" i="31"/>
  <c r="I699" i="31"/>
  <c r="O698" i="31"/>
  <c r="N698" i="31"/>
  <c r="M698" i="31"/>
  <c r="L698" i="31"/>
  <c r="K698" i="31"/>
  <c r="J698" i="31"/>
  <c r="I697" i="31"/>
  <c r="I696" i="31"/>
  <c r="I695" i="31"/>
  <c r="O694" i="31"/>
  <c r="N694" i="31"/>
  <c r="M694" i="31"/>
  <c r="L694" i="31"/>
  <c r="K694" i="31"/>
  <c r="J694" i="31"/>
  <c r="I693" i="31"/>
  <c r="I692" i="31"/>
  <c r="I691" i="31"/>
  <c r="O690" i="31"/>
  <c r="N690" i="31"/>
  <c r="M690" i="31"/>
  <c r="L690" i="31"/>
  <c r="K690" i="31"/>
  <c r="J690" i="31"/>
  <c r="I689" i="31"/>
  <c r="I688" i="31"/>
  <c r="I687" i="31"/>
  <c r="O686" i="31"/>
  <c r="N686" i="31"/>
  <c r="M686" i="31"/>
  <c r="L686" i="31"/>
  <c r="K686" i="31"/>
  <c r="J686" i="31"/>
  <c r="I685" i="31"/>
  <c r="I684" i="31"/>
  <c r="I683" i="31"/>
  <c r="O682" i="31"/>
  <c r="N682" i="31"/>
  <c r="M682" i="31"/>
  <c r="L682" i="31"/>
  <c r="K682" i="31"/>
  <c r="J682" i="31"/>
  <c r="I681" i="31"/>
  <c r="I680" i="31"/>
  <c r="I679" i="31"/>
  <c r="O678" i="31"/>
  <c r="N678" i="31"/>
  <c r="M678" i="31"/>
  <c r="L678" i="31"/>
  <c r="K678" i="31"/>
  <c r="J678" i="31"/>
  <c r="I678" i="31" s="1"/>
  <c r="I677" i="31"/>
  <c r="I676" i="31"/>
  <c r="I675" i="31"/>
  <c r="O674" i="31"/>
  <c r="N674" i="31"/>
  <c r="M674" i="31"/>
  <c r="L674" i="31"/>
  <c r="K674" i="31"/>
  <c r="J674" i="31"/>
  <c r="O672" i="31"/>
  <c r="N672" i="31"/>
  <c r="M672" i="31"/>
  <c r="L672" i="31"/>
  <c r="K672" i="31"/>
  <c r="J672" i="31"/>
  <c r="O671" i="31"/>
  <c r="N671" i="31"/>
  <c r="M671" i="31"/>
  <c r="L671" i="31"/>
  <c r="K671" i="31"/>
  <c r="J671" i="31"/>
  <c r="O670" i="31"/>
  <c r="N670" i="31"/>
  <c r="M670" i="31"/>
  <c r="L670" i="31"/>
  <c r="K670" i="31"/>
  <c r="J670" i="31"/>
  <c r="P669" i="31"/>
  <c r="I668" i="31"/>
  <c r="I667" i="31"/>
  <c r="I666" i="31"/>
  <c r="O665" i="31"/>
  <c r="N665" i="31"/>
  <c r="M665" i="31"/>
  <c r="L665" i="31"/>
  <c r="K665" i="31"/>
  <c r="J665" i="31"/>
  <c r="I664" i="31"/>
  <c r="I663" i="31"/>
  <c r="I662" i="31"/>
  <c r="O661" i="31"/>
  <c r="N661" i="31"/>
  <c r="M661" i="31"/>
  <c r="L661" i="31"/>
  <c r="K661" i="31"/>
  <c r="J661" i="31"/>
  <c r="I660" i="31"/>
  <c r="I659" i="31"/>
  <c r="I658" i="31"/>
  <c r="O657" i="31"/>
  <c r="N657" i="31"/>
  <c r="M657" i="31"/>
  <c r="L657" i="31"/>
  <c r="K657" i="31"/>
  <c r="J657" i="31"/>
  <c r="I657" i="31" s="1"/>
  <c r="I656" i="31"/>
  <c r="I655" i="31"/>
  <c r="I654" i="31"/>
  <c r="O653" i="31"/>
  <c r="N653" i="31"/>
  <c r="M653" i="31"/>
  <c r="L653" i="31"/>
  <c r="K653" i="31"/>
  <c r="J653" i="31"/>
  <c r="I652" i="31"/>
  <c r="I651" i="31"/>
  <c r="I650" i="31"/>
  <c r="O649" i="31"/>
  <c r="N649" i="31"/>
  <c r="M649" i="31"/>
  <c r="L649" i="31"/>
  <c r="K649" i="31"/>
  <c r="J649" i="31"/>
  <c r="I648" i="31"/>
  <c r="I647" i="31"/>
  <c r="I646" i="31"/>
  <c r="O645" i="31"/>
  <c r="N645" i="31"/>
  <c r="M645" i="31"/>
  <c r="L645" i="31"/>
  <c r="K645" i="31"/>
  <c r="J645" i="31"/>
  <c r="O643" i="31"/>
  <c r="N643" i="31"/>
  <c r="M643" i="31"/>
  <c r="L643" i="31"/>
  <c r="K643" i="31"/>
  <c r="J643" i="31"/>
  <c r="I643" i="31"/>
  <c r="O642" i="31"/>
  <c r="N642" i="31"/>
  <c r="M642" i="31"/>
  <c r="L642" i="31"/>
  <c r="K642" i="31"/>
  <c r="J642" i="31"/>
  <c r="O641" i="31"/>
  <c r="N641" i="31"/>
  <c r="M641" i="31"/>
  <c r="L641" i="31"/>
  <c r="K641" i="31"/>
  <c r="J641" i="31"/>
  <c r="I638" i="31"/>
  <c r="I636" i="31"/>
  <c r="I634" i="31"/>
  <c r="I633" i="31"/>
  <c r="I632" i="31"/>
  <c r="I630" i="31"/>
  <c r="O628" i="31"/>
  <c r="N628" i="31"/>
  <c r="M628" i="31"/>
  <c r="K628" i="31"/>
  <c r="J628" i="31"/>
  <c r="J640" i="31" s="1"/>
  <c r="I626" i="31"/>
  <c r="O624" i="31"/>
  <c r="N624" i="31"/>
  <c r="M624" i="31"/>
  <c r="L624" i="31"/>
  <c r="K624" i="31"/>
  <c r="I622" i="31"/>
  <c r="O620" i="31"/>
  <c r="N620" i="31"/>
  <c r="M620" i="31"/>
  <c r="K620" i="31"/>
  <c r="J620" i="31"/>
  <c r="I618" i="31"/>
  <c r="I617" i="31"/>
  <c r="O616" i="31"/>
  <c r="N616" i="31"/>
  <c r="M616" i="31"/>
  <c r="L616" i="31"/>
  <c r="K616" i="31"/>
  <c r="I614" i="31"/>
  <c r="I612" i="31"/>
  <c r="I610" i="31"/>
  <c r="I608" i="31"/>
  <c r="I606" i="31"/>
  <c r="I604" i="31"/>
  <c r="I602" i="31"/>
  <c r="I600" i="31"/>
  <c r="I598" i="31"/>
  <c r="O596" i="31"/>
  <c r="N596" i="31"/>
  <c r="M596" i="31"/>
  <c r="L596" i="31"/>
  <c r="K596" i="31"/>
  <c r="I594" i="31"/>
  <c r="I593" i="31"/>
  <c r="O592" i="31"/>
  <c r="N592" i="31"/>
  <c r="M592" i="31"/>
  <c r="L592" i="31"/>
  <c r="K592" i="31"/>
  <c r="J592" i="31"/>
  <c r="I590" i="31"/>
  <c r="I589" i="31"/>
  <c r="O588" i="31"/>
  <c r="N588" i="31"/>
  <c r="M588" i="31"/>
  <c r="K588" i="31"/>
  <c r="I586" i="31"/>
  <c r="O584" i="31"/>
  <c r="N584" i="31"/>
  <c r="M584" i="31"/>
  <c r="L584" i="31"/>
  <c r="K584" i="31"/>
  <c r="O582" i="31"/>
  <c r="N582" i="31"/>
  <c r="M582" i="31"/>
  <c r="L582" i="31"/>
  <c r="K582" i="31"/>
  <c r="J582" i="31"/>
  <c r="O581" i="31"/>
  <c r="N581" i="31"/>
  <c r="M581" i="31"/>
  <c r="L581" i="31"/>
  <c r="K581" i="31"/>
  <c r="J581" i="31"/>
  <c r="O580" i="31"/>
  <c r="N580" i="31"/>
  <c r="M580" i="31"/>
  <c r="L580" i="31"/>
  <c r="K580" i="31"/>
  <c r="J580" i="31"/>
  <c r="O579" i="31"/>
  <c r="I578" i="31"/>
  <c r="I577" i="31"/>
  <c r="I576" i="31"/>
  <c r="O575" i="31"/>
  <c r="N575" i="31"/>
  <c r="M575" i="31"/>
  <c r="L575" i="31"/>
  <c r="K575" i="31"/>
  <c r="J575" i="31"/>
  <c r="I574" i="31"/>
  <c r="I573" i="31"/>
  <c r="I572" i="31"/>
  <c r="O571" i="31"/>
  <c r="N571" i="31"/>
  <c r="M571" i="31"/>
  <c r="I571" i="31" s="1"/>
  <c r="L571" i="31"/>
  <c r="J571" i="31"/>
  <c r="I570" i="31"/>
  <c r="I569" i="31"/>
  <c r="I568" i="31"/>
  <c r="O567" i="31"/>
  <c r="N567" i="31"/>
  <c r="I567" i="31" s="1"/>
  <c r="M567" i="31"/>
  <c r="J567" i="31"/>
  <c r="I566" i="31"/>
  <c r="I565" i="31"/>
  <c r="I564" i="31"/>
  <c r="O563" i="31"/>
  <c r="N563" i="31"/>
  <c r="N579" i="31" s="1"/>
  <c r="M563" i="31"/>
  <c r="L563" i="31"/>
  <c r="K563" i="31"/>
  <c r="K579" i="31" s="1"/>
  <c r="J563" i="31"/>
  <c r="O561" i="31"/>
  <c r="N561" i="31"/>
  <c r="M561" i="31"/>
  <c r="L561" i="31"/>
  <c r="K561" i="31"/>
  <c r="J561" i="31"/>
  <c r="O560" i="31"/>
  <c r="N560" i="31"/>
  <c r="M560" i="31"/>
  <c r="L560" i="31"/>
  <c r="K560" i="31"/>
  <c r="J560" i="31"/>
  <c r="O559" i="31"/>
  <c r="N559" i="31"/>
  <c r="M559" i="31"/>
  <c r="L559" i="31"/>
  <c r="K559" i="31"/>
  <c r="J559" i="31"/>
  <c r="I557" i="31"/>
  <c r="I556" i="31"/>
  <c r="I555" i="31"/>
  <c r="O554" i="31"/>
  <c r="N554" i="31"/>
  <c r="M554" i="31"/>
  <c r="L554" i="31"/>
  <c r="K554" i="31"/>
  <c r="J554" i="31"/>
  <c r="I553" i="31"/>
  <c r="I552" i="31"/>
  <c r="I551" i="31"/>
  <c r="O550" i="31"/>
  <c r="N550" i="31"/>
  <c r="M550" i="31"/>
  <c r="L550" i="31"/>
  <c r="K550" i="31"/>
  <c r="J550" i="31"/>
  <c r="I549" i="31"/>
  <c r="I548" i="31"/>
  <c r="I547" i="31"/>
  <c r="O546" i="31"/>
  <c r="N546" i="31"/>
  <c r="M546" i="31"/>
  <c r="L546" i="31"/>
  <c r="I546" i="31" s="1"/>
  <c r="I545" i="31"/>
  <c r="I544" i="31"/>
  <c r="I543" i="31"/>
  <c r="O542" i="31"/>
  <c r="N542" i="31"/>
  <c r="M542" i="31"/>
  <c r="L542" i="31"/>
  <c r="K542" i="31"/>
  <c r="I541" i="31"/>
  <c r="I540" i="31"/>
  <c r="I539" i="31"/>
  <c r="O538" i="31"/>
  <c r="N538" i="31"/>
  <c r="M538" i="31"/>
  <c r="L538" i="31"/>
  <c r="K538" i="31"/>
  <c r="I537" i="31"/>
  <c r="I536" i="31"/>
  <c r="I535" i="31"/>
  <c r="O534" i="31"/>
  <c r="N534" i="31"/>
  <c r="M534" i="31"/>
  <c r="L534" i="31"/>
  <c r="K534" i="31"/>
  <c r="J534" i="31"/>
  <c r="I533" i="31"/>
  <c r="I532" i="31"/>
  <c r="I531" i="31"/>
  <c r="O530" i="31"/>
  <c r="N530" i="31"/>
  <c r="M530" i="31"/>
  <c r="L530" i="31"/>
  <c r="K530" i="31"/>
  <c r="J530" i="31"/>
  <c r="I529" i="31"/>
  <c r="I528" i="31"/>
  <c r="I527" i="31"/>
  <c r="O526" i="31"/>
  <c r="N526" i="31"/>
  <c r="M526" i="31"/>
  <c r="L526" i="31"/>
  <c r="K526" i="31"/>
  <c r="J526" i="31"/>
  <c r="I525" i="31"/>
  <c r="I524" i="31"/>
  <c r="I523" i="31"/>
  <c r="O522" i="31"/>
  <c r="N522" i="31"/>
  <c r="M522" i="31"/>
  <c r="L522" i="31"/>
  <c r="K522" i="31"/>
  <c r="J522" i="31"/>
  <c r="I521" i="31"/>
  <c r="I520" i="31"/>
  <c r="I519" i="31"/>
  <c r="O518" i="31"/>
  <c r="N518" i="31"/>
  <c r="M518" i="31"/>
  <c r="L518" i="31"/>
  <c r="K518" i="31"/>
  <c r="J518" i="31"/>
  <c r="I517" i="31"/>
  <c r="I516" i="31"/>
  <c r="I515" i="31"/>
  <c r="O514" i="31"/>
  <c r="N514" i="31"/>
  <c r="M514" i="31"/>
  <c r="L514" i="31"/>
  <c r="K514" i="31"/>
  <c r="J514" i="31"/>
  <c r="I513" i="31"/>
  <c r="I512" i="31"/>
  <c r="I511" i="31"/>
  <c r="O510" i="31"/>
  <c r="N510" i="31"/>
  <c r="M510" i="31"/>
  <c r="L510" i="31"/>
  <c r="K510" i="31"/>
  <c r="J510" i="31"/>
  <c r="I509" i="31"/>
  <c r="I508" i="31"/>
  <c r="I507" i="31"/>
  <c r="O506" i="31"/>
  <c r="N506" i="31"/>
  <c r="M506" i="31"/>
  <c r="L506" i="31"/>
  <c r="K506" i="31"/>
  <c r="J506" i="31"/>
  <c r="I505" i="31"/>
  <c r="I504" i="31"/>
  <c r="I503" i="31"/>
  <c r="O502" i="31"/>
  <c r="N502" i="31"/>
  <c r="M502" i="31"/>
  <c r="L502" i="31"/>
  <c r="K502" i="31"/>
  <c r="J502" i="31"/>
  <c r="O500" i="31"/>
  <c r="N500" i="31"/>
  <c r="M500" i="31"/>
  <c r="L500" i="31"/>
  <c r="K500" i="31"/>
  <c r="J500" i="31"/>
  <c r="O499" i="31"/>
  <c r="N499" i="31"/>
  <c r="M499" i="31"/>
  <c r="L499" i="31"/>
  <c r="K499" i="31"/>
  <c r="J499" i="31"/>
  <c r="O498" i="31"/>
  <c r="N498" i="31"/>
  <c r="M498" i="31"/>
  <c r="L498" i="31"/>
  <c r="K498" i="31"/>
  <c r="J498" i="31"/>
  <c r="I496" i="31"/>
  <c r="I495" i="31"/>
  <c r="I494" i="31"/>
  <c r="O493" i="31"/>
  <c r="N493" i="31"/>
  <c r="M493" i="31"/>
  <c r="L493" i="31"/>
  <c r="K493" i="31"/>
  <c r="J493" i="31"/>
  <c r="I492" i="31"/>
  <c r="I491" i="31"/>
  <c r="I490" i="31"/>
  <c r="O489" i="31"/>
  <c r="N489" i="31"/>
  <c r="M489" i="31"/>
  <c r="L489" i="31"/>
  <c r="K489" i="31"/>
  <c r="J489" i="31"/>
  <c r="I488" i="31"/>
  <c r="I487" i="31"/>
  <c r="I486" i="31"/>
  <c r="O485" i="31"/>
  <c r="N485" i="31"/>
  <c r="M485" i="31"/>
  <c r="L485" i="31"/>
  <c r="K485" i="31"/>
  <c r="J485" i="31"/>
  <c r="I484" i="31"/>
  <c r="I483" i="31"/>
  <c r="I482" i="31"/>
  <c r="I498" i="31" s="1"/>
  <c r="O481" i="31"/>
  <c r="N481" i="31"/>
  <c r="M481" i="31"/>
  <c r="L481" i="31"/>
  <c r="K481" i="31"/>
  <c r="K497" i="31" s="1"/>
  <c r="J481" i="31"/>
  <c r="I481" i="31" s="1"/>
  <c r="O479" i="31"/>
  <c r="N479" i="31"/>
  <c r="M479" i="31"/>
  <c r="L479" i="31"/>
  <c r="K479" i="31"/>
  <c r="J479" i="31"/>
  <c r="I479" i="31"/>
  <c r="O478" i="31"/>
  <c r="N478" i="31"/>
  <c r="M478" i="31"/>
  <c r="L478" i="31"/>
  <c r="K478" i="31"/>
  <c r="J478" i="31"/>
  <c r="O477" i="31"/>
  <c r="N477" i="31"/>
  <c r="M477" i="31"/>
  <c r="L477" i="31"/>
  <c r="K477" i="31"/>
  <c r="J477" i="31"/>
  <c r="I477" i="31"/>
  <c r="I474" i="31"/>
  <c r="O472" i="31"/>
  <c r="N472" i="31"/>
  <c r="M472" i="31"/>
  <c r="L472" i="31"/>
  <c r="L476" i="31" s="1"/>
  <c r="K472" i="31"/>
  <c r="I470" i="31"/>
  <c r="O468" i="31"/>
  <c r="N468" i="31"/>
  <c r="M468" i="31"/>
  <c r="L468" i="31"/>
  <c r="K468" i="31"/>
  <c r="J468" i="31"/>
  <c r="J476" i="31" s="1"/>
  <c r="O466" i="31"/>
  <c r="N466" i="31"/>
  <c r="M466" i="31"/>
  <c r="L466" i="31"/>
  <c r="K466" i="31"/>
  <c r="J466" i="31"/>
  <c r="O465" i="31"/>
  <c r="N465" i="31"/>
  <c r="M465" i="31"/>
  <c r="L465" i="31"/>
  <c r="K465" i="31"/>
  <c r="J465" i="31"/>
  <c r="O464" i="31"/>
  <c r="N464" i="31"/>
  <c r="M464" i="31"/>
  <c r="L464" i="31"/>
  <c r="K464" i="31"/>
  <c r="J464" i="31"/>
  <c r="I462" i="31"/>
  <c r="I461" i="31"/>
  <c r="I460" i="31"/>
  <c r="O459" i="31"/>
  <c r="N459" i="31"/>
  <c r="M459" i="31"/>
  <c r="L459" i="31"/>
  <c r="K459" i="31"/>
  <c r="J459" i="31"/>
  <c r="I458" i="31"/>
  <c r="I457" i="31"/>
  <c r="I456" i="31"/>
  <c r="O455" i="31"/>
  <c r="N455" i="31"/>
  <c r="M455" i="31"/>
  <c r="L455" i="31"/>
  <c r="K455" i="31"/>
  <c r="J455" i="31"/>
  <c r="I454" i="31"/>
  <c r="I453" i="31"/>
  <c r="I452" i="31"/>
  <c r="O451" i="31"/>
  <c r="N451" i="31"/>
  <c r="I451" i="31" s="1"/>
  <c r="M451" i="31"/>
  <c r="L451" i="31"/>
  <c r="K451" i="31"/>
  <c r="J451" i="31"/>
  <c r="I450" i="31"/>
  <c r="I449" i="31"/>
  <c r="I448" i="31"/>
  <c r="O447" i="31"/>
  <c r="N447" i="31"/>
  <c r="M447" i="31"/>
  <c r="L447" i="31"/>
  <c r="K447" i="31"/>
  <c r="J447" i="31"/>
  <c r="I447" i="31" s="1"/>
  <c r="I446" i="31"/>
  <c r="I445" i="31"/>
  <c r="I444" i="31"/>
  <c r="O443" i="31"/>
  <c r="N443" i="31"/>
  <c r="M443" i="31"/>
  <c r="L443" i="31"/>
  <c r="K443" i="31"/>
  <c r="J443" i="31"/>
  <c r="O441" i="31"/>
  <c r="N441" i="31"/>
  <c r="M441" i="31"/>
  <c r="L441" i="31"/>
  <c r="K441" i="31"/>
  <c r="J441" i="31"/>
  <c r="O440" i="31"/>
  <c r="N440" i="31"/>
  <c r="M440" i="31"/>
  <c r="L440" i="31"/>
  <c r="K440" i="31"/>
  <c r="J440" i="31"/>
  <c r="O439" i="31"/>
  <c r="N439" i="31"/>
  <c r="M439" i="31"/>
  <c r="L439" i="31"/>
  <c r="K439" i="31"/>
  <c r="J439" i="31"/>
  <c r="I437" i="31"/>
  <c r="I436" i="31"/>
  <c r="I435" i="31"/>
  <c r="O434" i="31"/>
  <c r="N434" i="31"/>
  <c r="M434" i="31"/>
  <c r="L434" i="31"/>
  <c r="K434" i="31"/>
  <c r="I433" i="31"/>
  <c r="I432" i="31"/>
  <c r="I431" i="31"/>
  <c r="O430" i="31"/>
  <c r="N430" i="31"/>
  <c r="M430" i="31"/>
  <c r="L430" i="31"/>
  <c r="K430" i="31"/>
  <c r="I429" i="31"/>
  <c r="I428" i="31"/>
  <c r="I427" i="31"/>
  <c r="O426" i="31"/>
  <c r="N426" i="31"/>
  <c r="M426" i="31"/>
  <c r="L426" i="31"/>
  <c r="K426" i="31"/>
  <c r="J426" i="31"/>
  <c r="I425" i="31"/>
  <c r="I424" i="31"/>
  <c r="I423" i="31"/>
  <c r="O422" i="31"/>
  <c r="N422" i="31"/>
  <c r="M422" i="31"/>
  <c r="L422" i="31"/>
  <c r="K422" i="31"/>
  <c r="J422" i="31"/>
  <c r="I421" i="31"/>
  <c r="I420" i="31"/>
  <c r="I419" i="31"/>
  <c r="O418" i="31"/>
  <c r="N418" i="31"/>
  <c r="I418" i="31" s="1"/>
  <c r="M418" i="31"/>
  <c r="L418" i="31"/>
  <c r="K418" i="31"/>
  <c r="J418" i="31"/>
  <c r="I417" i="31"/>
  <c r="I416" i="31"/>
  <c r="I415" i="31"/>
  <c r="O414" i="31"/>
  <c r="N414" i="31"/>
  <c r="M414" i="31"/>
  <c r="L414" i="31"/>
  <c r="K414" i="31"/>
  <c r="J414" i="31"/>
  <c r="I413" i="31"/>
  <c r="I412" i="31"/>
  <c r="I411" i="31"/>
  <c r="O410" i="31"/>
  <c r="N410" i="31"/>
  <c r="M410" i="31"/>
  <c r="L410" i="31"/>
  <c r="K410" i="31"/>
  <c r="J410" i="31"/>
  <c r="I409" i="31"/>
  <c r="I408" i="31"/>
  <c r="I407" i="31"/>
  <c r="O406" i="31"/>
  <c r="N406" i="31"/>
  <c r="M406" i="31"/>
  <c r="L406" i="31"/>
  <c r="K406" i="31"/>
  <c r="J406" i="31"/>
  <c r="O404" i="31"/>
  <c r="N404" i="31"/>
  <c r="M404" i="31"/>
  <c r="L404" i="31"/>
  <c r="K404" i="31"/>
  <c r="J404" i="31"/>
  <c r="O403" i="31"/>
  <c r="N403" i="31"/>
  <c r="M403" i="31"/>
  <c r="L403" i="31"/>
  <c r="K403" i="31"/>
  <c r="J403" i="31"/>
  <c r="O402" i="31"/>
  <c r="N402" i="31"/>
  <c r="M402" i="31"/>
  <c r="L402" i="31"/>
  <c r="K402" i="31"/>
  <c r="J402" i="31"/>
  <c r="I400" i="31"/>
  <c r="I399" i="31"/>
  <c r="I398" i="31"/>
  <c r="O397" i="31"/>
  <c r="N397" i="31"/>
  <c r="M397" i="31"/>
  <c r="L397" i="31"/>
  <c r="K397" i="31"/>
  <c r="J397" i="31"/>
  <c r="I396" i="31"/>
  <c r="I395" i="31"/>
  <c r="I394" i="31"/>
  <c r="O393" i="31"/>
  <c r="M393" i="31"/>
  <c r="L393" i="31"/>
  <c r="K393" i="31"/>
  <c r="J393" i="31"/>
  <c r="I392" i="31"/>
  <c r="I391" i="31"/>
  <c r="I390" i="31"/>
  <c r="O389" i="31"/>
  <c r="M389" i="31"/>
  <c r="L389" i="31"/>
  <c r="K389" i="31"/>
  <c r="J389" i="31"/>
  <c r="I388" i="31"/>
  <c r="I387" i="31"/>
  <c r="I386" i="31"/>
  <c r="O385" i="31"/>
  <c r="M385" i="31"/>
  <c r="L385" i="31"/>
  <c r="K385" i="31"/>
  <c r="J385" i="31"/>
  <c r="I384" i="31"/>
  <c r="I383" i="31"/>
  <c r="I382" i="31"/>
  <c r="O381" i="31"/>
  <c r="M381" i="31"/>
  <c r="L381" i="31"/>
  <c r="K381" i="31"/>
  <c r="J381" i="31"/>
  <c r="I380" i="31"/>
  <c r="I379" i="31"/>
  <c r="I378" i="31"/>
  <c r="O377" i="31"/>
  <c r="M377" i="31"/>
  <c r="L377" i="31"/>
  <c r="K377" i="31"/>
  <c r="J377" i="31"/>
  <c r="I376" i="31"/>
  <c r="I375" i="31"/>
  <c r="I374" i="31"/>
  <c r="O373" i="31"/>
  <c r="N373" i="31"/>
  <c r="M373" i="31"/>
  <c r="L373" i="31"/>
  <c r="K373" i="31"/>
  <c r="J373" i="31"/>
  <c r="I372" i="31"/>
  <c r="I371" i="31"/>
  <c r="I370" i="31"/>
  <c r="O369" i="31"/>
  <c r="N369" i="31"/>
  <c r="M369" i="31"/>
  <c r="L369" i="31"/>
  <c r="K369" i="31"/>
  <c r="J369" i="31"/>
  <c r="I368" i="31"/>
  <c r="I367" i="31"/>
  <c r="I366" i="31"/>
  <c r="O365" i="31"/>
  <c r="N365" i="31"/>
  <c r="M365" i="31"/>
  <c r="L365" i="31"/>
  <c r="K365" i="31"/>
  <c r="J365" i="31"/>
  <c r="I364" i="31"/>
  <c r="I363" i="31"/>
  <c r="I362" i="31"/>
  <c r="O361" i="31"/>
  <c r="N361" i="31"/>
  <c r="M361" i="31"/>
  <c r="L361" i="31"/>
  <c r="K361" i="31"/>
  <c r="J361" i="31"/>
  <c r="I360" i="31"/>
  <c r="I359" i="31"/>
  <c r="I358" i="31"/>
  <c r="O357" i="31"/>
  <c r="N357" i="31"/>
  <c r="M357" i="31"/>
  <c r="L357" i="31"/>
  <c r="K357" i="31"/>
  <c r="J357" i="31"/>
  <c r="J401" i="31" s="1"/>
  <c r="I356" i="31"/>
  <c r="I355" i="31"/>
  <c r="I354" i="31"/>
  <c r="O353" i="31"/>
  <c r="N353" i="31"/>
  <c r="M353" i="31"/>
  <c r="L353" i="31"/>
  <c r="L401" i="31" s="1"/>
  <c r="K353" i="31"/>
  <c r="J353" i="31"/>
  <c r="O351" i="31"/>
  <c r="N351" i="31"/>
  <c r="M351" i="31"/>
  <c r="L351" i="31"/>
  <c r="K351" i="31"/>
  <c r="J351" i="31"/>
  <c r="O350" i="31"/>
  <c r="N350" i="31"/>
  <c r="M350" i="31"/>
  <c r="L350" i="31"/>
  <c r="K350" i="31"/>
  <c r="J350" i="31"/>
  <c r="O349" i="31"/>
  <c r="N349" i="31"/>
  <c r="M349" i="31"/>
  <c r="L349" i="31"/>
  <c r="K349" i="31"/>
  <c r="J349" i="31"/>
  <c r="I347" i="31"/>
  <c r="I346" i="31"/>
  <c r="I345" i="31"/>
  <c r="O344" i="31"/>
  <c r="N344" i="31"/>
  <c r="M344" i="31"/>
  <c r="L344" i="31"/>
  <c r="K344" i="31"/>
  <c r="I343" i="31"/>
  <c r="I342" i="31"/>
  <c r="I341" i="31"/>
  <c r="O340" i="31"/>
  <c r="N340" i="31"/>
  <c r="M340" i="31"/>
  <c r="L340" i="31"/>
  <c r="K340" i="31"/>
  <c r="I339" i="31"/>
  <c r="I338" i="31"/>
  <c r="I337" i="31"/>
  <c r="O336" i="31"/>
  <c r="N336" i="31"/>
  <c r="M336" i="31"/>
  <c r="L336" i="31"/>
  <c r="K336" i="31"/>
  <c r="I335" i="31"/>
  <c r="I334" i="31"/>
  <c r="I333" i="31"/>
  <c r="O332" i="31"/>
  <c r="N332" i="31"/>
  <c r="M332" i="31"/>
  <c r="L332" i="31"/>
  <c r="K332" i="31"/>
  <c r="I331" i="31"/>
  <c r="I330" i="31"/>
  <c r="I329" i="31"/>
  <c r="O328" i="31"/>
  <c r="I328" i="31" s="1"/>
  <c r="N328" i="31"/>
  <c r="M328" i="31"/>
  <c r="L328" i="31"/>
  <c r="K328" i="31"/>
  <c r="I327" i="31"/>
  <c r="I326" i="31"/>
  <c r="I325" i="31"/>
  <c r="O324" i="31"/>
  <c r="I324" i="31" s="1"/>
  <c r="N324" i="31"/>
  <c r="M324" i="31"/>
  <c r="L324" i="31"/>
  <c r="K324" i="31"/>
  <c r="I323" i="31"/>
  <c r="I322" i="31"/>
  <c r="I321" i="31"/>
  <c r="O320" i="31"/>
  <c r="N320" i="31"/>
  <c r="M320" i="31"/>
  <c r="L320" i="31"/>
  <c r="K320" i="31"/>
  <c r="I319" i="31"/>
  <c r="I318" i="31"/>
  <c r="I317" i="31"/>
  <c r="O316" i="31"/>
  <c r="I316" i="31" s="1"/>
  <c r="N316" i="31"/>
  <c r="M316" i="31"/>
  <c r="L316" i="31"/>
  <c r="K316" i="31"/>
  <c r="I315" i="31"/>
  <c r="I314" i="31"/>
  <c r="I313" i="31"/>
  <c r="O312" i="31"/>
  <c r="N312" i="31"/>
  <c r="M312" i="31"/>
  <c r="L312" i="31"/>
  <c r="K312" i="31"/>
  <c r="I312" i="31" s="1"/>
  <c r="I311" i="31"/>
  <c r="I310" i="31"/>
  <c r="I309" i="31"/>
  <c r="O308" i="31"/>
  <c r="N308" i="31"/>
  <c r="M308" i="31"/>
  <c r="L308" i="31"/>
  <c r="K308" i="31"/>
  <c r="I308" i="31" s="1"/>
  <c r="I307" i="31"/>
  <c r="I306" i="31"/>
  <c r="I305" i="31"/>
  <c r="O304" i="31"/>
  <c r="N304" i="31"/>
  <c r="M304" i="31"/>
  <c r="L304" i="31"/>
  <c r="K304" i="31"/>
  <c r="I303" i="31"/>
  <c r="I302" i="31"/>
  <c r="I301" i="31"/>
  <c r="O300" i="31"/>
  <c r="N300" i="31"/>
  <c r="M300" i="31"/>
  <c r="L300" i="31"/>
  <c r="K300" i="31"/>
  <c r="I299" i="31"/>
  <c r="I298" i="31"/>
  <c r="I297" i="31"/>
  <c r="O296" i="31"/>
  <c r="N296" i="31"/>
  <c r="M296" i="31"/>
  <c r="L296" i="31"/>
  <c r="K296" i="31"/>
  <c r="I295" i="31"/>
  <c r="I294" i="31"/>
  <c r="I293" i="31"/>
  <c r="O292" i="31"/>
  <c r="N292" i="31"/>
  <c r="M292" i="31"/>
  <c r="L292" i="31"/>
  <c r="K292" i="31"/>
  <c r="I292" i="31"/>
  <c r="I291" i="31"/>
  <c r="I290" i="31"/>
  <c r="I289" i="31"/>
  <c r="O288" i="31"/>
  <c r="N288" i="31"/>
  <c r="M288" i="31"/>
  <c r="L288" i="31"/>
  <c r="K288" i="31"/>
  <c r="I288" i="31"/>
  <c r="I287" i="31"/>
  <c r="I286" i="31"/>
  <c r="I285" i="31"/>
  <c r="O284" i="31"/>
  <c r="N284" i="31"/>
  <c r="M284" i="31"/>
  <c r="L284" i="31"/>
  <c r="K284" i="31"/>
  <c r="I284" i="31" s="1"/>
  <c r="I283" i="31"/>
  <c r="I282" i="31"/>
  <c r="I281" i="31"/>
  <c r="O280" i="31"/>
  <c r="N280" i="31"/>
  <c r="M280" i="31"/>
  <c r="L280" i="31"/>
  <c r="K280" i="31"/>
  <c r="I279" i="31"/>
  <c r="I278" i="31"/>
  <c r="I277" i="31"/>
  <c r="O276" i="31"/>
  <c r="N276" i="31"/>
  <c r="M276" i="31"/>
  <c r="L276" i="31"/>
  <c r="K276" i="31"/>
  <c r="J276" i="31"/>
  <c r="J348" i="31" s="1"/>
  <c r="I275" i="31"/>
  <c r="I274" i="31"/>
  <c r="I273" i="31"/>
  <c r="O272" i="31"/>
  <c r="N272" i="31"/>
  <c r="M272" i="31"/>
  <c r="M348" i="31" s="1"/>
  <c r="L272" i="31"/>
  <c r="K272" i="31"/>
  <c r="J272" i="31"/>
  <c r="O270" i="31"/>
  <c r="N270" i="31"/>
  <c r="M270" i="31"/>
  <c r="L270" i="31"/>
  <c r="K270" i="31"/>
  <c r="J270" i="31"/>
  <c r="O269" i="31"/>
  <c r="N269" i="31"/>
  <c r="M269" i="31"/>
  <c r="L269" i="31"/>
  <c r="K269" i="31"/>
  <c r="J269" i="31"/>
  <c r="O268" i="31"/>
  <c r="N268" i="31"/>
  <c r="M268" i="31"/>
  <c r="L268" i="31"/>
  <c r="K268" i="31"/>
  <c r="J268" i="31"/>
  <c r="I266" i="31"/>
  <c r="I265" i="31"/>
  <c r="I264" i="31"/>
  <c r="O263" i="31"/>
  <c r="N263" i="31"/>
  <c r="L263" i="31"/>
  <c r="K263" i="31"/>
  <c r="J263" i="31"/>
  <c r="I262" i="31"/>
  <c r="I261" i="31"/>
  <c r="I260" i="31"/>
  <c r="O259" i="31"/>
  <c r="N259" i="31"/>
  <c r="L259" i="31"/>
  <c r="K259" i="31"/>
  <c r="J259" i="31"/>
  <c r="I258" i="31"/>
  <c r="I257" i="31"/>
  <c r="I256" i="31"/>
  <c r="O255" i="31"/>
  <c r="N255" i="31"/>
  <c r="M255" i="31"/>
  <c r="L255" i="31"/>
  <c r="K255" i="31"/>
  <c r="J255" i="31"/>
  <c r="I254" i="31"/>
  <c r="I253" i="31"/>
  <c r="I252" i="31"/>
  <c r="O251" i="31"/>
  <c r="O267" i="31" s="1"/>
  <c r="N251" i="31"/>
  <c r="M251" i="31"/>
  <c r="M267" i="31" s="1"/>
  <c r="L251" i="31"/>
  <c r="L267" i="31" s="1"/>
  <c r="K251" i="31"/>
  <c r="J251" i="31"/>
  <c r="O249" i="31"/>
  <c r="N249" i="31"/>
  <c r="M249" i="31"/>
  <c r="L249" i="31"/>
  <c r="K249" i="31"/>
  <c r="J249" i="31"/>
  <c r="O248" i="31"/>
  <c r="N248" i="31"/>
  <c r="M248" i="31"/>
  <c r="L248" i="31"/>
  <c r="K248" i="31"/>
  <c r="J248" i="31"/>
  <c r="O247" i="31"/>
  <c r="N247" i="31"/>
  <c r="M247" i="31"/>
  <c r="L247" i="31"/>
  <c r="K247" i="31"/>
  <c r="J247" i="31"/>
  <c r="I245" i="31"/>
  <c r="I244" i="31"/>
  <c r="I243" i="31"/>
  <c r="O242" i="31"/>
  <c r="N242" i="31"/>
  <c r="M242" i="31"/>
  <c r="L242" i="31"/>
  <c r="K242" i="31"/>
  <c r="J242" i="31"/>
  <c r="I241" i="31"/>
  <c r="I240" i="31"/>
  <c r="I239" i="31"/>
  <c r="O238" i="31"/>
  <c r="N238" i="31"/>
  <c r="M238" i="31"/>
  <c r="L238" i="31"/>
  <c r="K238" i="31"/>
  <c r="J238" i="31"/>
  <c r="I237" i="31"/>
  <c r="I236" i="31"/>
  <c r="I235" i="31"/>
  <c r="O234" i="31"/>
  <c r="N234" i="31"/>
  <c r="N246" i="31" s="1"/>
  <c r="M234" i="31"/>
  <c r="M246" i="31" s="1"/>
  <c r="L234" i="31"/>
  <c r="L246" i="31" s="1"/>
  <c r="K234" i="31"/>
  <c r="J234" i="31"/>
  <c r="O232" i="31"/>
  <c r="N232" i="31"/>
  <c r="M232" i="31"/>
  <c r="L232" i="31"/>
  <c r="K232" i="31"/>
  <c r="J232" i="31"/>
  <c r="O231" i="31"/>
  <c r="N231" i="31"/>
  <c r="M231" i="31"/>
  <c r="L231" i="31"/>
  <c r="K231" i="31"/>
  <c r="J231" i="31"/>
  <c r="O230" i="31"/>
  <c r="N230" i="31"/>
  <c r="M230" i="31"/>
  <c r="L230" i="31"/>
  <c r="K230" i="31"/>
  <c r="J230" i="31"/>
  <c r="I228" i="31"/>
  <c r="I227" i="31"/>
  <c r="I226" i="31"/>
  <c r="I225" i="31"/>
  <c r="I224" i="31"/>
  <c r="I223" i="31"/>
  <c r="I222" i="31"/>
  <c r="I221" i="31"/>
  <c r="I220" i="31"/>
  <c r="I219" i="31"/>
  <c r="I218" i="31"/>
  <c r="I217" i="31"/>
  <c r="I216" i="31"/>
  <c r="I215" i="31"/>
  <c r="I214" i="31"/>
  <c r="I213" i="31"/>
  <c r="I212" i="31"/>
  <c r="I211" i="31"/>
  <c r="I210" i="31"/>
  <c r="O209" i="31"/>
  <c r="I209" i="31" s="1"/>
  <c r="M209" i="31"/>
  <c r="J209" i="31"/>
  <c r="I208" i="31"/>
  <c r="I207" i="31"/>
  <c r="I206" i="31"/>
  <c r="O205" i="31"/>
  <c r="L205" i="31"/>
  <c r="K205" i="31"/>
  <c r="J205" i="31"/>
  <c r="I204" i="31"/>
  <c r="I203" i="31"/>
  <c r="I202" i="31"/>
  <c r="O201" i="31"/>
  <c r="N201" i="31"/>
  <c r="K201" i="31"/>
  <c r="I200" i="31"/>
  <c r="I199" i="31"/>
  <c r="I198" i="31"/>
  <c r="O197" i="31"/>
  <c r="N197" i="31"/>
  <c r="M197" i="31"/>
  <c r="L197" i="31"/>
  <c r="K197" i="31"/>
  <c r="J197" i="31"/>
  <c r="I196" i="31"/>
  <c r="I195" i="31"/>
  <c r="I194" i="31"/>
  <c r="O193" i="31"/>
  <c r="N193" i="31"/>
  <c r="M193" i="31"/>
  <c r="L193" i="31"/>
  <c r="K193" i="31"/>
  <c r="J193" i="31"/>
  <c r="I192" i="31"/>
  <c r="I191" i="31"/>
  <c r="I190" i="31"/>
  <c r="O189" i="31"/>
  <c r="N189" i="31"/>
  <c r="M189" i="31"/>
  <c r="L189" i="31"/>
  <c r="K189" i="31"/>
  <c r="J189" i="31"/>
  <c r="I188" i="31"/>
  <c r="I187" i="31"/>
  <c r="I186" i="31"/>
  <c r="O185" i="31"/>
  <c r="N185" i="31"/>
  <c r="N229" i="31" s="1"/>
  <c r="M185" i="31"/>
  <c r="M229" i="31" s="1"/>
  <c r="L185" i="31"/>
  <c r="K185" i="31"/>
  <c r="J185" i="31"/>
  <c r="O183" i="31"/>
  <c r="N183" i="31"/>
  <c r="M183" i="31"/>
  <c r="L183" i="31"/>
  <c r="K183" i="31"/>
  <c r="J183" i="31"/>
  <c r="I183" i="31"/>
  <c r="O182" i="31"/>
  <c r="N182" i="31"/>
  <c r="M182" i="31"/>
  <c r="L182" i="31"/>
  <c r="K182" i="31"/>
  <c r="J182" i="31"/>
  <c r="O181" i="31"/>
  <c r="N181" i="31"/>
  <c r="M181" i="31"/>
  <c r="L181" i="31"/>
  <c r="K181" i="31"/>
  <c r="J181" i="31"/>
  <c r="I178" i="31"/>
  <c r="I177" i="31"/>
  <c r="O176" i="31"/>
  <c r="N176" i="31"/>
  <c r="M176" i="31"/>
  <c r="L176" i="31"/>
  <c r="K176" i="31"/>
  <c r="J176" i="31"/>
  <c r="I176" i="31" s="1"/>
  <c r="I174" i="31"/>
  <c r="I173" i="31"/>
  <c r="O172" i="31"/>
  <c r="N172" i="31"/>
  <c r="M172" i="31"/>
  <c r="L172" i="31"/>
  <c r="K172" i="31"/>
  <c r="J172" i="31"/>
  <c r="I170" i="31"/>
  <c r="I169" i="31"/>
  <c r="O168" i="31"/>
  <c r="N168" i="31"/>
  <c r="M168" i="31"/>
  <c r="L168" i="31"/>
  <c r="K168" i="31"/>
  <c r="J168" i="31"/>
  <c r="I166" i="31"/>
  <c r="I165" i="31"/>
  <c r="O164" i="31"/>
  <c r="N164" i="31"/>
  <c r="M164" i="31"/>
  <c r="L164" i="31"/>
  <c r="K164" i="31"/>
  <c r="J164" i="31"/>
  <c r="I162" i="31"/>
  <c r="I161" i="31"/>
  <c r="O160" i="31"/>
  <c r="N160" i="31"/>
  <c r="M160" i="31"/>
  <c r="L160" i="31"/>
  <c r="K160" i="31"/>
  <c r="J160" i="31"/>
  <c r="I158" i="31"/>
  <c r="I157" i="31"/>
  <c r="I156" i="31"/>
  <c r="I154" i="31"/>
  <c r="O152" i="31"/>
  <c r="N152" i="31"/>
  <c r="L152" i="31"/>
  <c r="K152" i="31"/>
  <c r="I152" i="31"/>
  <c r="I150" i="31"/>
  <c r="I149" i="31"/>
  <c r="O148" i="31"/>
  <c r="N148" i="31"/>
  <c r="L148" i="31"/>
  <c r="K148" i="31"/>
  <c r="I146" i="31"/>
  <c r="I145" i="31"/>
  <c r="O144" i="31"/>
  <c r="N144" i="31"/>
  <c r="L144" i="31"/>
  <c r="K144" i="31"/>
  <c r="I142" i="31"/>
  <c r="I141" i="31"/>
  <c r="O140" i="31"/>
  <c r="N140" i="31"/>
  <c r="M140" i="31"/>
  <c r="L140" i="31"/>
  <c r="J140" i="31"/>
  <c r="I138" i="31"/>
  <c r="I137" i="31"/>
  <c r="O136" i="31"/>
  <c r="N136" i="31"/>
  <c r="L136" i="31"/>
  <c r="K136" i="31"/>
  <c r="I134" i="31"/>
  <c r="I133" i="31"/>
  <c r="O132" i="31"/>
  <c r="N132" i="31"/>
  <c r="L132" i="31"/>
  <c r="K132" i="31"/>
  <c r="I132" i="31" s="1"/>
  <c r="I130" i="31"/>
  <c r="I129" i="31"/>
  <c r="O128" i="31"/>
  <c r="N128" i="31"/>
  <c r="L128" i="31"/>
  <c r="K128" i="31"/>
  <c r="I128" i="31" s="1"/>
  <c r="I126" i="31"/>
  <c r="I125" i="31"/>
  <c r="O124" i="31"/>
  <c r="N124" i="31"/>
  <c r="M124" i="31"/>
  <c r="L124" i="31"/>
  <c r="K124" i="31"/>
  <c r="J124" i="31"/>
  <c r="I122" i="31"/>
  <c r="I121" i="31"/>
  <c r="O120" i="31"/>
  <c r="N120" i="31"/>
  <c r="M120" i="31"/>
  <c r="L120" i="31"/>
  <c r="K120" i="31"/>
  <c r="J120" i="31"/>
  <c r="I118" i="31"/>
  <c r="I117" i="31"/>
  <c r="O116" i="31"/>
  <c r="N116" i="31"/>
  <c r="M116" i="31"/>
  <c r="L116" i="31"/>
  <c r="K116" i="31"/>
  <c r="J116" i="31"/>
  <c r="I114" i="31"/>
  <c r="I113" i="31"/>
  <c r="O112" i="31"/>
  <c r="N112" i="31"/>
  <c r="M112" i="31"/>
  <c r="L112" i="31"/>
  <c r="K112" i="31"/>
  <c r="J112" i="31"/>
  <c r="I110" i="31"/>
  <c r="I109" i="31"/>
  <c r="O108" i="31"/>
  <c r="N108" i="31"/>
  <c r="M108" i="31"/>
  <c r="L108" i="31"/>
  <c r="K108" i="31"/>
  <c r="J108" i="31"/>
  <c r="I106" i="31"/>
  <c r="I105" i="31"/>
  <c r="O104" i="31"/>
  <c r="N104" i="31"/>
  <c r="I104" i="31" s="1"/>
  <c r="M104" i="31"/>
  <c r="L104" i="31"/>
  <c r="K104" i="31"/>
  <c r="J104" i="31"/>
  <c r="I102" i="31"/>
  <c r="I101" i="31"/>
  <c r="O100" i="31"/>
  <c r="I100" i="31" s="1"/>
  <c r="N100" i="31"/>
  <c r="M100" i="31"/>
  <c r="K100" i="31"/>
  <c r="J100" i="31"/>
  <c r="O98" i="31"/>
  <c r="N98" i="31"/>
  <c r="M98" i="31"/>
  <c r="L98" i="31"/>
  <c r="K98" i="31"/>
  <c r="J98" i="31"/>
  <c r="O97" i="31"/>
  <c r="N97" i="31"/>
  <c r="M97" i="31"/>
  <c r="L97" i="31"/>
  <c r="K97" i="31"/>
  <c r="J97" i="31"/>
  <c r="O96" i="31"/>
  <c r="N96" i="31"/>
  <c r="M96" i="31"/>
  <c r="L96" i="31"/>
  <c r="K96" i="31"/>
  <c r="J96" i="31"/>
  <c r="I94" i="31"/>
  <c r="I93" i="31"/>
  <c r="I92" i="31"/>
  <c r="O91" i="31"/>
  <c r="N91" i="31"/>
  <c r="M91" i="31"/>
  <c r="L91" i="31"/>
  <c r="K91" i="31"/>
  <c r="J91" i="31"/>
  <c r="I90" i="31"/>
  <c r="I89" i="31"/>
  <c r="I88" i="31"/>
  <c r="O87" i="31"/>
  <c r="M87" i="31"/>
  <c r="L87" i="31"/>
  <c r="K87" i="31"/>
  <c r="J87" i="31"/>
  <c r="I86" i="31"/>
  <c r="I85" i="31"/>
  <c r="I84" i="31"/>
  <c r="O83" i="31"/>
  <c r="M83" i="31"/>
  <c r="L83" i="31"/>
  <c r="K83" i="31"/>
  <c r="J83" i="31"/>
  <c r="I82" i="31"/>
  <c r="I81" i="31"/>
  <c r="I80" i="31"/>
  <c r="O79" i="31"/>
  <c r="M79" i="31"/>
  <c r="L79" i="31"/>
  <c r="K79" i="31"/>
  <c r="J79" i="31"/>
  <c r="I78" i="31"/>
  <c r="I77" i="31"/>
  <c r="I76" i="31"/>
  <c r="O75" i="31"/>
  <c r="M75" i="31"/>
  <c r="L75" i="31"/>
  <c r="J75" i="31"/>
  <c r="I74" i="31"/>
  <c r="I73" i="31"/>
  <c r="I72" i="31"/>
  <c r="O71" i="31"/>
  <c r="N71" i="31"/>
  <c r="M71" i="31"/>
  <c r="L71" i="31"/>
  <c r="K71" i="31"/>
  <c r="J71" i="31"/>
  <c r="I70" i="31"/>
  <c r="I69" i="31"/>
  <c r="I68" i="31"/>
  <c r="O67" i="31"/>
  <c r="N67" i="31"/>
  <c r="M67" i="31"/>
  <c r="L67" i="31"/>
  <c r="K67" i="31"/>
  <c r="J67" i="31"/>
  <c r="I66" i="31"/>
  <c r="I65" i="31"/>
  <c r="I64" i="31"/>
  <c r="O63" i="31"/>
  <c r="N63" i="31"/>
  <c r="M63" i="31"/>
  <c r="L63" i="31"/>
  <c r="K63" i="31"/>
  <c r="J63" i="31"/>
  <c r="I62" i="31"/>
  <c r="I61" i="31"/>
  <c r="I60" i="31"/>
  <c r="O59" i="31"/>
  <c r="N59" i="31"/>
  <c r="M59" i="31"/>
  <c r="L59" i="31"/>
  <c r="K59" i="31"/>
  <c r="J59" i="31"/>
  <c r="I58" i="31"/>
  <c r="I57" i="31"/>
  <c r="I56" i="31"/>
  <c r="O55" i="31"/>
  <c r="N55" i="31"/>
  <c r="M55" i="31"/>
  <c r="L55" i="31"/>
  <c r="K55" i="31"/>
  <c r="J55" i="31"/>
  <c r="I54" i="31"/>
  <c r="I53" i="31"/>
  <c r="I52" i="31"/>
  <c r="O51" i="31"/>
  <c r="N51" i="31"/>
  <c r="M51" i="31"/>
  <c r="L51" i="31"/>
  <c r="K51" i="31"/>
  <c r="J51" i="31"/>
  <c r="I50" i="31"/>
  <c r="I49" i="31"/>
  <c r="I48" i="31"/>
  <c r="O47" i="31"/>
  <c r="N47" i="31"/>
  <c r="M47" i="31"/>
  <c r="L47" i="31"/>
  <c r="K47" i="31"/>
  <c r="J47" i="31"/>
  <c r="I46" i="31"/>
  <c r="I45" i="31"/>
  <c r="I44" i="31"/>
  <c r="O43" i="31"/>
  <c r="N43" i="31"/>
  <c r="M43" i="31"/>
  <c r="L43" i="31"/>
  <c r="K43" i="31"/>
  <c r="J43" i="31"/>
  <c r="I43" i="31" s="1"/>
  <c r="I42" i="31"/>
  <c r="I41" i="31"/>
  <c r="I40" i="31"/>
  <c r="O39" i="31"/>
  <c r="N39" i="31"/>
  <c r="M39" i="31"/>
  <c r="L39" i="31"/>
  <c r="K39" i="31"/>
  <c r="J39" i="31"/>
  <c r="I38" i="31"/>
  <c r="I37" i="31"/>
  <c r="I36" i="31"/>
  <c r="O35" i="31"/>
  <c r="N35" i="31"/>
  <c r="M35" i="31"/>
  <c r="L35" i="31"/>
  <c r="K35" i="31"/>
  <c r="K95" i="31" s="1"/>
  <c r="J35" i="31"/>
  <c r="O33" i="31"/>
  <c r="N33" i="31"/>
  <c r="M33" i="31"/>
  <c r="L33" i="31"/>
  <c r="K33" i="31"/>
  <c r="J33" i="31"/>
  <c r="O32" i="31"/>
  <c r="N32" i="31"/>
  <c r="M32" i="31"/>
  <c r="L32" i="31"/>
  <c r="K32" i="31"/>
  <c r="J32" i="31"/>
  <c r="O31" i="31"/>
  <c r="N31" i="31"/>
  <c r="M31" i="31"/>
  <c r="L31" i="31"/>
  <c r="K31" i="31"/>
  <c r="J31" i="31"/>
  <c r="I29" i="31"/>
  <c r="I28" i="31"/>
  <c r="I27" i="31"/>
  <c r="O26" i="31"/>
  <c r="M26" i="31"/>
  <c r="L26" i="31"/>
  <c r="K26" i="31"/>
  <c r="J26" i="31"/>
  <c r="I25" i="31"/>
  <c r="I24" i="31"/>
  <c r="I23" i="31"/>
  <c r="O22" i="31"/>
  <c r="N22" i="31"/>
  <c r="M22" i="31"/>
  <c r="L22" i="31"/>
  <c r="K22" i="31"/>
  <c r="J22" i="31"/>
  <c r="I21" i="31"/>
  <c r="I20" i="31"/>
  <c r="I19" i="31"/>
  <c r="O18" i="31"/>
  <c r="N18" i="31"/>
  <c r="M18" i="31"/>
  <c r="L18" i="31"/>
  <c r="K18" i="31"/>
  <c r="J18" i="31"/>
  <c r="I17" i="31"/>
  <c r="I16" i="31"/>
  <c r="I15" i="31"/>
  <c r="O14" i="31"/>
  <c r="N14" i="31"/>
  <c r="M14" i="31"/>
  <c r="L14" i="31"/>
  <c r="K14" i="31"/>
  <c r="J14" i="31"/>
  <c r="I13" i="31"/>
  <c r="I12" i="31"/>
  <c r="I11" i="31"/>
  <c r="O10" i="31"/>
  <c r="N10" i="31"/>
  <c r="M10" i="31"/>
  <c r="L10" i="31"/>
  <c r="K10" i="31"/>
  <c r="J10" i="31"/>
  <c r="I10" i="31" s="1"/>
  <c r="I9" i="31"/>
  <c r="I33" i="31" s="1"/>
  <c r="I8" i="31"/>
  <c r="I7" i="31"/>
  <c r="O6" i="31"/>
  <c r="N6" i="31"/>
  <c r="M6" i="31"/>
  <c r="L6" i="31"/>
  <c r="K6" i="31"/>
  <c r="K30" i="31" s="1"/>
  <c r="J6" i="31"/>
  <c r="I6" i="31" s="1"/>
  <c r="I108" i="31" l="1"/>
  <c r="I735" i="31"/>
  <c r="I434" i="31"/>
  <c r="K669" i="31"/>
  <c r="J755" i="31"/>
  <c r="I731" i="31"/>
  <c r="M1050" i="31"/>
  <c r="M1104" i="31" s="1"/>
  <c r="I251" i="31"/>
  <c r="L438" i="31"/>
  <c r="L463" i="31"/>
  <c r="I75" i="31"/>
  <c r="I554" i="31"/>
  <c r="I563" i="31"/>
  <c r="I579" i="31" s="1"/>
  <c r="L1052" i="31"/>
  <c r="M1051" i="31"/>
  <c r="M1105" i="31" s="1"/>
  <c r="I1028" i="31"/>
  <c r="I1052" i="31" s="1"/>
  <c r="N1033" i="31"/>
  <c r="N1041" i="31"/>
  <c r="N1045" i="31"/>
  <c r="K1045" i="31"/>
  <c r="I1058" i="31"/>
  <c r="M95" i="31"/>
  <c r="I466" i="31"/>
  <c r="M1052" i="31"/>
  <c r="M1106" i="31" s="1"/>
  <c r="M438" i="31"/>
  <c r="K438" i="31"/>
  <c r="K755" i="31"/>
  <c r="I727" i="31"/>
  <c r="I1091" i="31"/>
  <c r="J267" i="31"/>
  <c r="O669" i="31"/>
  <c r="I723" i="31"/>
  <c r="I377" i="31"/>
  <c r="I385" i="31"/>
  <c r="M497" i="31"/>
  <c r="I534" i="31"/>
  <c r="I641" i="31"/>
  <c r="M755" i="31"/>
  <c r="I719" i="31"/>
  <c r="I751" i="31"/>
  <c r="I760" i="31"/>
  <c r="I764" i="31" s="1"/>
  <c r="N789" i="31"/>
  <c r="I889" i="31"/>
  <c r="L1050" i="31"/>
  <c r="M949" i="31"/>
  <c r="I949" i="31" s="1"/>
  <c r="L989" i="31"/>
  <c r="I989" i="31" s="1"/>
  <c r="L997" i="31"/>
  <c r="I997" i="31" s="1"/>
  <c r="K1021" i="31"/>
  <c r="I1021" i="31" s="1"/>
  <c r="M1033" i="31"/>
  <c r="O1045" i="31"/>
  <c r="O839" i="31"/>
  <c r="K1029" i="31"/>
  <c r="I1029" i="31" s="1"/>
  <c r="I1043" i="31"/>
  <c r="I1047" i="31"/>
  <c r="I79" i="31"/>
  <c r="L1013" i="31"/>
  <c r="M1045" i="31"/>
  <c r="I518" i="31"/>
  <c r="I581" i="31"/>
  <c r="I580" i="31"/>
  <c r="L755" i="31"/>
  <c r="M789" i="31"/>
  <c r="I559" i="31"/>
  <c r="I575" i="31"/>
  <c r="N755" i="31"/>
  <c r="I747" i="31"/>
  <c r="J872" i="31"/>
  <c r="K957" i="31"/>
  <c r="I957" i="31" s="1"/>
  <c r="O1050" i="31"/>
  <c r="L1005" i="31"/>
  <c r="I1005" i="31" s="1"/>
  <c r="N1099" i="31"/>
  <c r="I83" i="31"/>
  <c r="I443" i="31"/>
  <c r="L669" i="31"/>
  <c r="L1051" i="31"/>
  <c r="K640" i="31"/>
  <c r="I320" i="31"/>
  <c r="I798" i="31"/>
  <c r="I59" i="31"/>
  <c r="I14" i="31"/>
  <c r="I97" i="31"/>
  <c r="I67" i="31"/>
  <c r="I365" i="31"/>
  <c r="I485" i="31"/>
  <c r="I530" i="31"/>
  <c r="M579" i="31"/>
  <c r="I682" i="31"/>
  <c r="O755" i="31"/>
  <c r="I743" i="31"/>
  <c r="I804" i="31"/>
  <c r="I860" i="31"/>
  <c r="I877" i="31"/>
  <c r="I881" i="31"/>
  <c r="I901" i="31"/>
  <c r="I922" i="31"/>
  <c r="K1051" i="31"/>
  <c r="K1105" i="31" s="1"/>
  <c r="I934" i="31"/>
  <c r="K965" i="31"/>
  <c r="I965" i="31" s="1"/>
  <c r="I1012" i="31"/>
  <c r="N1037" i="31"/>
  <c r="O1099" i="31"/>
  <c r="I1045" i="31"/>
  <c r="L348" i="31"/>
  <c r="K463" i="31"/>
  <c r="K710" i="31"/>
  <c r="I1033" i="31"/>
  <c r="J1082" i="31"/>
  <c r="L30" i="31"/>
  <c r="L95" i="31"/>
  <c r="J180" i="31"/>
  <c r="I885" i="31"/>
  <c r="M476" i="31"/>
  <c r="I472" i="31"/>
  <c r="J669" i="31"/>
  <c r="M710" i="31"/>
  <c r="I713" i="31"/>
  <c r="I781" i="31"/>
  <c r="I803" i="31"/>
  <c r="J1105" i="31"/>
  <c r="O1104" i="31"/>
  <c r="I500" i="31"/>
  <c r="I560" i="31"/>
  <c r="I592" i="31"/>
  <c r="I873" i="31"/>
  <c r="M1082" i="31"/>
  <c r="I22" i="31"/>
  <c r="I247" i="31"/>
  <c r="O246" i="31"/>
  <c r="I402" i="31"/>
  <c r="I373" i="31"/>
  <c r="O476" i="31"/>
  <c r="I514" i="31"/>
  <c r="I542" i="31"/>
  <c r="L640" i="31"/>
  <c r="O710" i="31"/>
  <c r="I706" i="31"/>
  <c r="O789" i="31"/>
  <c r="I87" i="31"/>
  <c r="I582" i="31"/>
  <c r="I628" i="31"/>
  <c r="K764" i="31"/>
  <c r="I840" i="31"/>
  <c r="I811" i="31"/>
  <c r="J1106" i="31"/>
  <c r="I201" i="31"/>
  <c r="I489" i="31"/>
  <c r="O802" i="31"/>
  <c r="I807" i="31"/>
  <c r="K1082" i="31"/>
  <c r="I439" i="31"/>
  <c r="I499" i="31"/>
  <c r="I550" i="31"/>
  <c r="I715" i="31"/>
  <c r="O872" i="31"/>
  <c r="L872" i="31"/>
  <c r="I893" i="31"/>
  <c r="I18" i="31"/>
  <c r="I242" i="31"/>
  <c r="I671" i="31"/>
  <c r="O95" i="31"/>
  <c r="I51" i="31"/>
  <c r="I230" i="31"/>
  <c r="O229" i="31"/>
  <c r="I26" i="31"/>
  <c r="I96" i="31"/>
  <c r="I91" i="31"/>
  <c r="I112" i="31"/>
  <c r="K229" i="31"/>
  <c r="I232" i="31"/>
  <c r="I231" i="31"/>
  <c r="I249" i="31"/>
  <c r="I248" i="31"/>
  <c r="I269" i="31"/>
  <c r="I296" i="31"/>
  <c r="I403" i="31"/>
  <c r="I369" i="31"/>
  <c r="I478" i="31"/>
  <c r="N558" i="31"/>
  <c r="I588" i="31"/>
  <c r="I790" i="31"/>
  <c r="I827" i="31"/>
  <c r="O1082" i="31"/>
  <c r="I1066" i="31"/>
  <c r="I1102" i="31"/>
  <c r="J95" i="31"/>
  <c r="O30" i="31"/>
  <c r="K180" i="31"/>
  <c r="I205" i="31"/>
  <c r="K401" i="31"/>
  <c r="M669" i="31"/>
  <c r="I686" i="31"/>
  <c r="M872" i="31"/>
  <c r="I32" i="31"/>
  <c r="I39" i="31"/>
  <c r="I259" i="31"/>
  <c r="K267" i="31"/>
  <c r="I361" i="31"/>
  <c r="O438" i="31"/>
  <c r="I712" i="31"/>
  <c r="N1082" i="31"/>
  <c r="M30" i="31"/>
  <c r="I98" i="31"/>
  <c r="I670" i="31"/>
  <c r="I665" i="31"/>
  <c r="I945" i="31"/>
  <c r="L1082" i="31"/>
  <c r="N30" i="31"/>
  <c r="L1106" i="31"/>
  <c r="N95" i="31"/>
  <c r="I63" i="31"/>
  <c r="I71" i="31"/>
  <c r="I389" i="31"/>
  <c r="I426" i="31"/>
  <c r="I430" i="31"/>
  <c r="L497" i="31"/>
  <c r="O640" i="31"/>
  <c r="I596" i="31"/>
  <c r="N710" i="31"/>
  <c r="I148" i="31"/>
  <c r="I31" i="31"/>
  <c r="I47" i="31"/>
  <c r="I55" i="31"/>
  <c r="I181" i="31"/>
  <c r="I136" i="31"/>
  <c r="I193" i="31"/>
  <c r="K246" i="31"/>
  <c r="I238" i="31"/>
  <c r="I270" i="31"/>
  <c r="I404" i="31"/>
  <c r="I381" i="31"/>
  <c r="J438" i="31"/>
  <c r="I455" i="31"/>
  <c r="K476" i="31"/>
  <c r="O558" i="31"/>
  <c r="I698" i="31"/>
  <c r="I769" i="31"/>
  <c r="I791" i="31"/>
  <c r="I815" i="31"/>
  <c r="K839" i="31"/>
  <c r="I823" i="31"/>
  <c r="I1084" i="31"/>
  <c r="I1062" i="31"/>
  <c r="K1099" i="31"/>
  <c r="I1101" i="31"/>
  <c r="I144" i="31"/>
  <c r="I160" i="31"/>
  <c r="I336" i="31"/>
  <c r="I182" i="31"/>
  <c r="I140" i="31"/>
  <c r="I263" i="31"/>
  <c r="I276" i="31"/>
  <c r="I280" i="31"/>
  <c r="I332" i="31"/>
  <c r="K348" i="31"/>
  <c r="O401" i="31"/>
  <c r="I393" i="31"/>
  <c r="N438" i="31"/>
  <c r="I406" i="31"/>
  <c r="I465" i="31"/>
  <c r="I468" i="31"/>
  <c r="N476" i="31"/>
  <c r="I493" i="31"/>
  <c r="I497" i="31" s="1"/>
  <c r="M558" i="31"/>
  <c r="I506" i="31"/>
  <c r="N640" i="31"/>
  <c r="J710" i="31"/>
  <c r="I794" i="31"/>
  <c r="N839" i="31"/>
  <c r="I819" i="31"/>
  <c r="N872" i="31"/>
  <c r="I911" i="31"/>
  <c r="I927" i="31"/>
  <c r="I962" i="31"/>
  <c r="I990" i="31"/>
  <c r="I1003" i="31"/>
  <c r="I1006" i="31"/>
  <c r="I1015" i="31"/>
  <c r="O1041" i="31"/>
  <c r="I1041" i="31" s="1"/>
  <c r="N1051" i="31"/>
  <c r="N1105" i="31" s="1"/>
  <c r="I1070" i="31"/>
  <c r="J246" i="31"/>
  <c r="I234" i="31"/>
  <c r="O348" i="31"/>
  <c r="I440" i="31"/>
  <c r="I672" i="31"/>
  <c r="K789" i="31"/>
  <c r="I841" i="31"/>
  <c r="I874" i="31"/>
  <c r="K1052" i="31"/>
  <c r="K1106" i="31" s="1"/>
  <c r="O1001" i="31"/>
  <c r="I1001" i="31" s="1"/>
  <c r="I1026" i="31"/>
  <c r="L1105" i="31"/>
  <c r="N348" i="31"/>
  <c r="I272" i="31"/>
  <c r="N1106" i="31"/>
  <c r="N267" i="31"/>
  <c r="I255" i="31"/>
  <c r="O1106" i="31"/>
  <c r="M180" i="31"/>
  <c r="I120" i="31"/>
  <c r="I124" i="31"/>
  <c r="I168" i="31"/>
  <c r="I172" i="31"/>
  <c r="I197" i="31"/>
  <c r="I268" i="31"/>
  <c r="I349" i="31"/>
  <c r="I304" i="31"/>
  <c r="I357" i="31"/>
  <c r="I441" i="31"/>
  <c r="M463" i="31"/>
  <c r="I502" i="31"/>
  <c r="I538" i="31"/>
  <c r="L579" i="31"/>
  <c r="I661" i="31"/>
  <c r="I773" i="31"/>
  <c r="I777" i="31"/>
  <c r="I842" i="31"/>
  <c r="I875" i="31"/>
  <c r="I864" i="31"/>
  <c r="I868" i="31"/>
  <c r="I946" i="31"/>
  <c r="I1042" i="31"/>
  <c r="J1099" i="31"/>
  <c r="I1087" i="31"/>
  <c r="J30" i="31"/>
  <c r="K1050" i="31"/>
  <c r="K1104" i="31" s="1"/>
  <c r="L1104" i="31"/>
  <c r="O1105" i="31"/>
  <c r="I35" i="31"/>
  <c r="N180" i="31"/>
  <c r="I116" i="31"/>
  <c r="I164" i="31"/>
  <c r="J229" i="31"/>
  <c r="I189" i="31"/>
  <c r="I350" i="31"/>
  <c r="I300" i="31"/>
  <c r="I353" i="31"/>
  <c r="I422" i="31"/>
  <c r="N463" i="31"/>
  <c r="N497" i="31"/>
  <c r="J558" i="31"/>
  <c r="I561" i="31"/>
  <c r="I526" i="31"/>
  <c r="I584" i="31"/>
  <c r="I649" i="31"/>
  <c r="I653" i="31"/>
  <c r="L789" i="31"/>
  <c r="I844" i="31"/>
  <c r="L913" i="31"/>
  <c r="I913" i="31" s="1"/>
  <c r="K929" i="31"/>
  <c r="I929" i="31" s="1"/>
  <c r="M977" i="31"/>
  <c r="I977" i="31" s="1"/>
  <c r="L993" i="31"/>
  <c r="I993" i="31" s="1"/>
  <c r="K1037" i="31"/>
  <c r="I1037" i="31" s="1"/>
  <c r="L937" i="31"/>
  <c r="I937" i="31" s="1"/>
  <c r="I938" i="31"/>
  <c r="I642" i="31"/>
  <c r="L710" i="31"/>
  <c r="O180" i="31"/>
  <c r="L180" i="31"/>
  <c r="L229" i="31"/>
  <c r="I351" i="31"/>
  <c r="I340" i="31"/>
  <c r="I344" i="31"/>
  <c r="M401" i="31"/>
  <c r="I410" i="31"/>
  <c r="I414" i="31"/>
  <c r="O463" i="31"/>
  <c r="O497" i="31"/>
  <c r="K558" i="31"/>
  <c r="I522" i="31"/>
  <c r="I620" i="31"/>
  <c r="I624" i="31"/>
  <c r="I711" i="31"/>
  <c r="I690" i="31"/>
  <c r="L839" i="31"/>
  <c r="I835" i="31"/>
  <c r="M941" i="31"/>
  <c r="I941" i="31" s="1"/>
  <c r="I942" i="31"/>
  <c r="I954" i="31"/>
  <c r="I1018" i="31"/>
  <c r="I1035" i="31"/>
  <c r="I1078" i="31"/>
  <c r="N401" i="31"/>
  <c r="I397" i="31"/>
  <c r="I464" i="31"/>
  <c r="I459" i="31"/>
  <c r="J463" i="31"/>
  <c r="L558" i="31"/>
  <c r="I510" i="31"/>
  <c r="M640" i="31"/>
  <c r="I616" i="31"/>
  <c r="N669" i="31"/>
  <c r="I645" i="31"/>
  <c r="I694" i="31"/>
  <c r="M839" i="31"/>
  <c r="I831" i="31"/>
  <c r="I856" i="31"/>
  <c r="L909" i="31"/>
  <c r="K925" i="31"/>
  <c r="I925" i="31" s="1"/>
  <c r="M1013" i="31"/>
  <c r="N1050" i="31"/>
  <c r="N1104" i="31" s="1"/>
  <c r="N1025" i="31"/>
  <c r="N1049" i="31" s="1"/>
  <c r="I1038" i="31"/>
  <c r="I1046" i="31"/>
  <c r="I1074" i="31"/>
  <c r="I1095" i="31"/>
  <c r="J497" i="31"/>
  <c r="J1025" i="31"/>
  <c r="J1050" i="31"/>
  <c r="J1104" i="31" s="1"/>
  <c r="I1054" i="31"/>
  <c r="J579" i="31"/>
  <c r="I674" i="31"/>
  <c r="I185" i="31"/>
  <c r="I802" i="31" l="1"/>
  <c r="M1049" i="31"/>
  <c r="M1103" i="31" s="1"/>
  <c r="I267" i="31"/>
  <c r="I30" i="31"/>
  <c r="I669" i="31"/>
  <c r="I1013" i="31"/>
  <c r="I755" i="31"/>
  <c r="I1106" i="31"/>
  <c r="I95" i="31"/>
  <c r="I872" i="31"/>
  <c r="I1051" i="31"/>
  <c r="I246" i="31"/>
  <c r="I839" i="31"/>
  <c r="I180" i="31"/>
  <c r="N1103" i="31"/>
  <c r="I789" i="31"/>
  <c r="I1082" i="31"/>
  <c r="I463" i="31"/>
  <c r="I1050" i="31"/>
  <c r="I476" i="31"/>
  <c r="I1105" i="31"/>
  <c r="I1104" i="31"/>
  <c r="I909" i="31"/>
  <c r="I1049" i="31" s="1"/>
  <c r="L1049" i="31"/>
  <c r="L1103" i="31" s="1"/>
  <c r="I1025" i="31"/>
  <c r="J1049" i="31"/>
  <c r="J1103" i="31" s="1"/>
  <c r="O1049" i="31"/>
  <c r="O1103" i="31" s="1"/>
  <c r="I558" i="31"/>
  <c r="I229" i="31"/>
  <c r="I710" i="31"/>
  <c r="I401" i="31"/>
  <c r="I438" i="31"/>
  <c r="I640" i="31"/>
  <c r="I1099" i="31"/>
  <c r="I348" i="31"/>
  <c r="K1049" i="31"/>
  <c r="K1103" i="31" s="1"/>
  <c r="I1103" i="31" l="1"/>
  <c r="I61" i="30"/>
  <c r="H61" i="30"/>
  <c r="G61" i="30"/>
  <c r="F61" i="30"/>
  <c r="E61" i="30"/>
  <c r="D61" i="30"/>
  <c r="C61" i="30"/>
  <c r="I60" i="30"/>
  <c r="H60" i="30"/>
  <c r="G60" i="30"/>
  <c r="F60" i="30"/>
  <c r="E60" i="30"/>
  <c r="D60" i="30"/>
  <c r="C60" i="30"/>
  <c r="I59" i="30"/>
  <c r="H59" i="30"/>
  <c r="G59" i="30"/>
  <c r="F59" i="30"/>
  <c r="E59" i="30"/>
  <c r="D59" i="30"/>
  <c r="C59" i="30"/>
  <c r="I58" i="30"/>
  <c r="H58" i="30"/>
  <c r="G58" i="30"/>
  <c r="F58" i="30"/>
  <c r="E58" i="30"/>
  <c r="D58" i="30"/>
  <c r="C58" i="30"/>
  <c r="I26" i="23" l="1"/>
  <c r="I25" i="23"/>
  <c r="I24" i="23"/>
  <c r="O23" i="23"/>
  <c r="N23" i="23"/>
  <c r="M23" i="23"/>
  <c r="L23" i="23"/>
  <c r="K23" i="23"/>
  <c r="J23" i="23"/>
  <c r="O47" i="29"/>
  <c r="N47" i="29"/>
  <c r="M47" i="29"/>
  <c r="L47" i="29"/>
  <c r="K47" i="29"/>
  <c r="J47" i="29"/>
  <c r="I47" i="29"/>
  <c r="O46" i="29"/>
  <c r="N46" i="29"/>
  <c r="M46" i="29"/>
  <c r="L46" i="29"/>
  <c r="K46" i="29"/>
  <c r="J46" i="29"/>
  <c r="O45" i="29"/>
  <c r="N45" i="29"/>
  <c r="M45" i="29"/>
  <c r="L45" i="29"/>
  <c r="K45" i="29"/>
  <c r="J45" i="29"/>
  <c r="I45" i="29"/>
  <c r="I42" i="29"/>
  <c r="O40" i="29"/>
  <c r="N40" i="29"/>
  <c r="M40" i="29"/>
  <c r="L40" i="29"/>
  <c r="K40" i="29"/>
  <c r="J40" i="29"/>
  <c r="I40" i="29" s="1"/>
  <c r="I38" i="29"/>
  <c r="I46" i="29" s="1"/>
  <c r="O36" i="29"/>
  <c r="N36" i="29"/>
  <c r="M36" i="29"/>
  <c r="L36" i="29"/>
  <c r="K36" i="29"/>
  <c r="J36" i="29"/>
  <c r="O34" i="29"/>
  <c r="N34" i="29"/>
  <c r="M34" i="29"/>
  <c r="L34" i="29"/>
  <c r="K34" i="29"/>
  <c r="J34" i="29"/>
  <c r="O33" i="29"/>
  <c r="N33" i="29"/>
  <c r="M33" i="29"/>
  <c r="L33" i="29"/>
  <c r="K33" i="29"/>
  <c r="J33" i="29"/>
  <c r="O32" i="29"/>
  <c r="N32" i="29"/>
  <c r="M32" i="29"/>
  <c r="L32" i="29"/>
  <c r="K32" i="29"/>
  <c r="J32" i="29"/>
  <c r="I28" i="29"/>
  <c r="O27" i="29"/>
  <c r="N27" i="29"/>
  <c r="M27" i="29"/>
  <c r="L27" i="29"/>
  <c r="K27" i="29"/>
  <c r="I26" i="29"/>
  <c r="I34" i="29" s="1"/>
  <c r="I25" i="29"/>
  <c r="I33" i="29" s="1"/>
  <c r="I24" i="29"/>
  <c r="O23" i="29"/>
  <c r="N23" i="29"/>
  <c r="M23" i="29"/>
  <c r="L23" i="29"/>
  <c r="K23" i="29"/>
  <c r="J23" i="29"/>
  <c r="J31" i="29" s="1"/>
  <c r="I20" i="29"/>
  <c r="O19" i="29"/>
  <c r="N19" i="29"/>
  <c r="M19" i="29"/>
  <c r="M31" i="29" s="1"/>
  <c r="L19" i="29"/>
  <c r="K19" i="29"/>
  <c r="O17" i="29"/>
  <c r="N17" i="29"/>
  <c r="M17" i="29"/>
  <c r="L17" i="29"/>
  <c r="L51" i="29" s="1"/>
  <c r="K17" i="29"/>
  <c r="K51" i="29" s="1"/>
  <c r="J17" i="29"/>
  <c r="I17" i="29"/>
  <c r="O16" i="29"/>
  <c r="N16" i="29"/>
  <c r="M16" i="29"/>
  <c r="L16" i="29"/>
  <c r="K16" i="29"/>
  <c r="K50" i="29" s="1"/>
  <c r="J16" i="29"/>
  <c r="J50" i="29" s="1"/>
  <c r="O15" i="29"/>
  <c r="N15" i="29"/>
  <c r="M15" i="29"/>
  <c r="L15" i="29"/>
  <c r="K15" i="29"/>
  <c r="J15" i="29"/>
  <c r="I12" i="29"/>
  <c r="I11" i="29"/>
  <c r="O10" i="29"/>
  <c r="N10" i="29"/>
  <c r="M10" i="29"/>
  <c r="L10" i="29"/>
  <c r="K10" i="29"/>
  <c r="J10" i="29"/>
  <c r="I8" i="29"/>
  <c r="I16" i="29" s="1"/>
  <c r="I50" i="29" s="1"/>
  <c r="I7" i="29"/>
  <c r="I15" i="29" s="1"/>
  <c r="O6" i="29"/>
  <c r="O14" i="29" s="1"/>
  <c r="N6" i="29"/>
  <c r="N14" i="29" s="1"/>
  <c r="M6" i="29"/>
  <c r="M14" i="29" s="1"/>
  <c r="L6" i="29"/>
  <c r="L14" i="29" s="1"/>
  <c r="K6" i="29"/>
  <c r="K14" i="29" s="1"/>
  <c r="J6" i="29"/>
  <c r="J44" i="29" l="1"/>
  <c r="K44" i="29"/>
  <c r="L44" i="29"/>
  <c r="I19" i="29"/>
  <c r="M44" i="29"/>
  <c r="M48" i="29" s="1"/>
  <c r="I6" i="29"/>
  <c r="I10" i="29"/>
  <c r="N44" i="29"/>
  <c r="O44" i="29"/>
  <c r="O49" i="29"/>
  <c r="I51" i="29"/>
  <c r="L50" i="29"/>
  <c r="M50" i="29"/>
  <c r="L49" i="29"/>
  <c r="M49" i="29"/>
  <c r="K31" i="29"/>
  <c r="K48" i="29" s="1"/>
  <c r="O31" i="29"/>
  <c r="O48" i="29" s="1"/>
  <c r="J49" i="29"/>
  <c r="K49" i="29"/>
  <c r="N51" i="29"/>
  <c r="O51" i="29"/>
  <c r="L31" i="29"/>
  <c r="L48" i="29" s="1"/>
  <c r="I27" i="29"/>
  <c r="O50" i="29"/>
  <c r="I36" i="29"/>
  <c r="I44" i="29" s="1"/>
  <c r="M51" i="29"/>
  <c r="I32" i="29"/>
  <c r="I49" i="29" s="1"/>
  <c r="N50" i="29"/>
  <c r="J51" i="29"/>
  <c r="N49" i="29"/>
  <c r="I23" i="23"/>
  <c r="N31" i="29"/>
  <c r="I23" i="29"/>
  <c r="I31" i="29" s="1"/>
  <c r="J14" i="29"/>
  <c r="J48" i="29" s="1"/>
  <c r="I14" i="29" l="1"/>
  <c r="I48" i="29" s="1"/>
  <c r="N48" i="29"/>
  <c r="O167" i="28"/>
  <c r="N167" i="28"/>
  <c r="M167" i="28"/>
  <c r="L167" i="28"/>
  <c r="K167" i="28"/>
  <c r="J167" i="28"/>
  <c r="I167" i="28"/>
  <c r="O166" i="28"/>
  <c r="N166" i="28"/>
  <c r="M166" i="28"/>
  <c r="L166" i="28"/>
  <c r="K166" i="28"/>
  <c r="J166" i="28"/>
  <c r="O165" i="28"/>
  <c r="N165" i="28"/>
  <c r="M165" i="28"/>
  <c r="L165" i="28"/>
  <c r="K165" i="28"/>
  <c r="J165" i="28"/>
  <c r="I165" i="28"/>
  <c r="I162" i="28"/>
  <c r="O160" i="28"/>
  <c r="N160" i="28"/>
  <c r="M160" i="28"/>
  <c r="L160" i="28"/>
  <c r="K160" i="28"/>
  <c r="J160" i="28"/>
  <c r="I158" i="28"/>
  <c r="O156" i="28"/>
  <c r="N156" i="28"/>
  <c r="M156" i="28"/>
  <c r="I156" i="28" s="1"/>
  <c r="L156" i="28"/>
  <c r="K156" i="28"/>
  <c r="I154" i="28"/>
  <c r="O152" i="28"/>
  <c r="N152" i="28"/>
  <c r="M152" i="28"/>
  <c r="L152" i="28"/>
  <c r="K152" i="28"/>
  <c r="I152" i="28" s="1"/>
  <c r="I150" i="28"/>
  <c r="O148" i="28"/>
  <c r="N148" i="28"/>
  <c r="M148" i="28"/>
  <c r="L148" i="28"/>
  <c r="K148" i="28"/>
  <c r="J148" i="28"/>
  <c r="I148" i="28" s="1"/>
  <c r="O146" i="28"/>
  <c r="N146" i="28"/>
  <c r="M146" i="28"/>
  <c r="L146" i="28"/>
  <c r="K146" i="28"/>
  <c r="J146" i="28"/>
  <c r="I146" i="28"/>
  <c r="O145" i="28"/>
  <c r="N145" i="28"/>
  <c r="M145" i="28"/>
  <c r="L145" i="28"/>
  <c r="K145" i="28"/>
  <c r="J145" i="28"/>
  <c r="O144" i="28"/>
  <c r="N144" i="28"/>
  <c r="M144" i="28"/>
  <c r="L144" i="28"/>
  <c r="K144" i="28"/>
  <c r="J144" i="28"/>
  <c r="I144" i="28"/>
  <c r="I141" i="28"/>
  <c r="O139" i="28"/>
  <c r="N139" i="28"/>
  <c r="M139" i="28"/>
  <c r="L139" i="28"/>
  <c r="K139" i="28"/>
  <c r="J139" i="28"/>
  <c r="I137" i="28"/>
  <c r="O135" i="28"/>
  <c r="N135" i="28"/>
  <c r="M135" i="28"/>
  <c r="L135" i="28"/>
  <c r="K135" i="28"/>
  <c r="J135" i="28"/>
  <c r="I133" i="28"/>
  <c r="O131" i="28"/>
  <c r="N131" i="28"/>
  <c r="M131" i="28"/>
  <c r="L131" i="28"/>
  <c r="K131" i="28"/>
  <c r="J131" i="28"/>
  <c r="I129" i="28"/>
  <c r="O127" i="28"/>
  <c r="N127" i="28"/>
  <c r="L127" i="28"/>
  <c r="K127" i="28"/>
  <c r="J127" i="28"/>
  <c r="I125" i="28"/>
  <c r="O123" i="28"/>
  <c r="N123" i="28"/>
  <c r="L123" i="28"/>
  <c r="K123" i="28"/>
  <c r="J123" i="28"/>
  <c r="O121" i="28"/>
  <c r="N121" i="28"/>
  <c r="M121" i="28"/>
  <c r="L121" i="28"/>
  <c r="K121" i="28"/>
  <c r="J121" i="28"/>
  <c r="I121" i="28"/>
  <c r="O120" i="28"/>
  <c r="N120" i="28"/>
  <c r="M120" i="28"/>
  <c r="L120" i="28"/>
  <c r="K120" i="28"/>
  <c r="J120" i="28"/>
  <c r="O119" i="28"/>
  <c r="N119" i="28"/>
  <c r="M119" i="28"/>
  <c r="L119" i="28"/>
  <c r="K119" i="28"/>
  <c r="J119" i="28"/>
  <c r="I119" i="28"/>
  <c r="I116" i="28"/>
  <c r="I120" i="28" s="1"/>
  <c r="O114" i="28"/>
  <c r="O118" i="28" s="1"/>
  <c r="N114" i="28"/>
  <c r="N118" i="28" s="1"/>
  <c r="M114" i="28"/>
  <c r="M118" i="28" s="1"/>
  <c r="L114" i="28"/>
  <c r="L118" i="28" s="1"/>
  <c r="K114" i="28"/>
  <c r="K118" i="28" s="1"/>
  <c r="J114" i="28"/>
  <c r="J118" i="28" s="1"/>
  <c r="O112" i="28"/>
  <c r="N112" i="28"/>
  <c r="M112" i="28"/>
  <c r="L112" i="28"/>
  <c r="K112" i="28"/>
  <c r="J112" i="28"/>
  <c r="I112" i="28"/>
  <c r="O111" i="28"/>
  <c r="N111" i="28"/>
  <c r="M111" i="28"/>
  <c r="L111" i="28"/>
  <c r="K111" i="28"/>
  <c r="J111" i="28"/>
  <c r="O110" i="28"/>
  <c r="N110" i="28"/>
  <c r="M110" i="28"/>
  <c r="L110" i="28"/>
  <c r="K110" i="28"/>
  <c r="J110" i="28"/>
  <c r="I107" i="28"/>
  <c r="I106" i="28"/>
  <c r="O105" i="28"/>
  <c r="N105" i="28"/>
  <c r="M105" i="28"/>
  <c r="L105" i="28"/>
  <c r="K105" i="28"/>
  <c r="J105" i="28"/>
  <c r="I103" i="28"/>
  <c r="I102" i="28"/>
  <c r="O101" i="28"/>
  <c r="N101" i="28"/>
  <c r="M101" i="28"/>
  <c r="L101" i="28"/>
  <c r="K101" i="28"/>
  <c r="J101" i="28"/>
  <c r="I99" i="28"/>
  <c r="I111" i="28" s="1"/>
  <c r="I98" i="28"/>
  <c r="O97" i="28"/>
  <c r="O109" i="28" s="1"/>
  <c r="N97" i="28"/>
  <c r="N109" i="28" s="1"/>
  <c r="M97" i="28"/>
  <c r="M109" i="28" s="1"/>
  <c r="L97" i="28"/>
  <c r="L109" i="28" s="1"/>
  <c r="K97" i="28"/>
  <c r="J97" i="28"/>
  <c r="J109" i="28" s="1"/>
  <c r="O95" i="28"/>
  <c r="N95" i="28"/>
  <c r="M95" i="28"/>
  <c r="L95" i="28"/>
  <c r="K95" i="28"/>
  <c r="J95" i="28"/>
  <c r="O94" i="28"/>
  <c r="N94" i="28"/>
  <c r="M94" i="28"/>
  <c r="L94" i="28"/>
  <c r="K94" i="28"/>
  <c r="J94" i="28"/>
  <c r="O93" i="28"/>
  <c r="N93" i="28"/>
  <c r="M93" i="28"/>
  <c r="L93" i="28"/>
  <c r="K93" i="28"/>
  <c r="J93" i="28"/>
  <c r="I91" i="28"/>
  <c r="I95" i="28" s="1"/>
  <c r="I90" i="28"/>
  <c r="I94" i="28" s="1"/>
  <c r="I89" i="28"/>
  <c r="I93" i="28" s="1"/>
  <c r="O88" i="28"/>
  <c r="O92" i="28" s="1"/>
  <c r="N88" i="28"/>
  <c r="N92" i="28" s="1"/>
  <c r="M88" i="28"/>
  <c r="M92" i="28" s="1"/>
  <c r="L88" i="28"/>
  <c r="L92" i="28" s="1"/>
  <c r="K88" i="28"/>
  <c r="K92" i="28" s="1"/>
  <c r="J88" i="28"/>
  <c r="I88" i="28" s="1"/>
  <c r="I92" i="28" s="1"/>
  <c r="O86" i="28"/>
  <c r="N86" i="28"/>
  <c r="M86" i="28"/>
  <c r="L86" i="28"/>
  <c r="K86" i="28"/>
  <c r="J86" i="28"/>
  <c r="I86" i="28"/>
  <c r="O85" i="28"/>
  <c r="N85" i="28"/>
  <c r="M85" i="28"/>
  <c r="L85" i="28"/>
  <c r="K85" i="28"/>
  <c r="J85" i="28"/>
  <c r="O84" i="28"/>
  <c r="N84" i="28"/>
  <c r="M84" i="28"/>
  <c r="L84" i="28"/>
  <c r="K84" i="28"/>
  <c r="J84" i="28"/>
  <c r="I84" i="28"/>
  <c r="J83" i="28"/>
  <c r="I81" i="28"/>
  <c r="O79" i="28"/>
  <c r="N79" i="28"/>
  <c r="M79" i="28"/>
  <c r="L79" i="28"/>
  <c r="K79" i="28"/>
  <c r="I77" i="28"/>
  <c r="I85" i="28" s="1"/>
  <c r="O75" i="28"/>
  <c r="O83" i="28" s="1"/>
  <c r="N75" i="28"/>
  <c r="M75" i="28"/>
  <c r="L75" i="28"/>
  <c r="K75" i="28"/>
  <c r="O73" i="28"/>
  <c r="N73" i="28"/>
  <c r="M73" i="28"/>
  <c r="L73" i="28"/>
  <c r="K73" i="28"/>
  <c r="J73" i="28"/>
  <c r="I73" i="28"/>
  <c r="O72" i="28"/>
  <c r="N72" i="28"/>
  <c r="M72" i="28"/>
  <c r="L72" i="28"/>
  <c r="K72" i="28"/>
  <c r="J72" i="28"/>
  <c r="O71" i="28"/>
  <c r="N71" i="28"/>
  <c r="M71" i="28"/>
  <c r="L71" i="28"/>
  <c r="K71" i="28"/>
  <c r="J71" i="28"/>
  <c r="I71" i="28"/>
  <c r="I68" i="28"/>
  <c r="I72" i="28" s="1"/>
  <c r="O66" i="28"/>
  <c r="O70" i="28" s="1"/>
  <c r="N66" i="28"/>
  <c r="N70" i="28" s="1"/>
  <c r="M66" i="28"/>
  <c r="M70" i="28" s="1"/>
  <c r="L66" i="28"/>
  <c r="L70" i="28" s="1"/>
  <c r="K66" i="28"/>
  <c r="K70" i="28" s="1"/>
  <c r="J66" i="28"/>
  <c r="J70" i="28" s="1"/>
  <c r="O64" i="28"/>
  <c r="N64" i="28"/>
  <c r="M64" i="28"/>
  <c r="L64" i="28"/>
  <c r="K64" i="28"/>
  <c r="J64" i="28"/>
  <c r="I64" i="28"/>
  <c r="O63" i="28"/>
  <c r="N63" i="28"/>
  <c r="M63" i="28"/>
  <c r="L63" i="28"/>
  <c r="K63" i="28"/>
  <c r="J63" i="28"/>
  <c r="O62" i="28"/>
  <c r="N62" i="28"/>
  <c r="M62" i="28"/>
  <c r="L62" i="28"/>
  <c r="K62" i="28"/>
  <c r="J62" i="28"/>
  <c r="I62" i="28"/>
  <c r="M61" i="28"/>
  <c r="I59" i="28"/>
  <c r="I63" i="28" s="1"/>
  <c r="O57" i="28"/>
  <c r="O61" i="28" s="1"/>
  <c r="N57" i="28"/>
  <c r="N61" i="28" s="1"/>
  <c r="L57" i="28"/>
  <c r="L61" i="28" s="1"/>
  <c r="K57" i="28"/>
  <c r="K61" i="28" s="1"/>
  <c r="J57" i="28"/>
  <c r="J61" i="28" s="1"/>
  <c r="O55" i="28"/>
  <c r="N55" i="28"/>
  <c r="M55" i="28"/>
  <c r="L55" i="28"/>
  <c r="K55" i="28"/>
  <c r="J55" i="28"/>
  <c r="O54" i="28"/>
  <c r="N54" i="28"/>
  <c r="M54" i="28"/>
  <c r="L54" i="28"/>
  <c r="K54" i="28"/>
  <c r="J54" i="28"/>
  <c r="O53" i="28"/>
  <c r="N53" i="28"/>
  <c r="M53" i="28"/>
  <c r="L53" i="28"/>
  <c r="K53" i="28"/>
  <c r="J53" i="28"/>
  <c r="I51" i="28"/>
  <c r="I50" i="28"/>
  <c r="I49" i="28"/>
  <c r="O48" i="28"/>
  <c r="N48" i="28"/>
  <c r="M48" i="28"/>
  <c r="L48" i="28"/>
  <c r="K48" i="28"/>
  <c r="J48" i="28"/>
  <c r="I47" i="28"/>
  <c r="I55" i="28" s="1"/>
  <c r="I46" i="28"/>
  <c r="I45" i="28"/>
  <c r="I53" i="28" s="1"/>
  <c r="O44" i="28"/>
  <c r="O52" i="28" s="1"/>
  <c r="N44" i="28"/>
  <c r="N52" i="28" s="1"/>
  <c r="M44" i="28"/>
  <c r="L44" i="28"/>
  <c r="L52" i="28" s="1"/>
  <c r="K44" i="28"/>
  <c r="J44" i="28"/>
  <c r="O42" i="28"/>
  <c r="N42" i="28"/>
  <c r="M42" i="28"/>
  <c r="L42" i="28"/>
  <c r="K42" i="28"/>
  <c r="J42" i="28"/>
  <c r="O41" i="28"/>
  <c r="N41" i="28"/>
  <c r="M41" i="28"/>
  <c r="L41" i="28"/>
  <c r="K41" i="28"/>
  <c r="J41" i="28"/>
  <c r="O40" i="28"/>
  <c r="N40" i="28"/>
  <c r="M40" i="28"/>
  <c r="L40" i="28"/>
  <c r="K40" i="28"/>
  <c r="J40" i="28"/>
  <c r="I38" i="28"/>
  <c r="I37" i="28"/>
  <c r="I36" i="28"/>
  <c r="O35" i="28"/>
  <c r="N35" i="28"/>
  <c r="K35" i="28"/>
  <c r="J35" i="28"/>
  <c r="I35" i="28" s="1"/>
  <c r="I34" i="28"/>
  <c r="I33" i="28"/>
  <c r="I32" i="28"/>
  <c r="O31" i="28"/>
  <c r="N31" i="28"/>
  <c r="L31" i="28"/>
  <c r="J31" i="28"/>
  <c r="I31" i="28" s="1"/>
  <c r="I30" i="28"/>
  <c r="I29" i="28"/>
  <c r="I28" i="28"/>
  <c r="O27" i="28"/>
  <c r="N27" i="28"/>
  <c r="L27" i="28"/>
  <c r="K27" i="28"/>
  <c r="J27" i="28"/>
  <c r="I27" i="28" s="1"/>
  <c r="I26" i="28"/>
  <c r="I25" i="28"/>
  <c r="I24" i="28"/>
  <c r="O23" i="28"/>
  <c r="L23" i="28"/>
  <c r="K23" i="28"/>
  <c r="J23" i="28"/>
  <c r="I23" i="28" s="1"/>
  <c r="I22" i="28"/>
  <c r="I21" i="28"/>
  <c r="I20" i="28"/>
  <c r="O19" i="28"/>
  <c r="N19" i="28"/>
  <c r="M19" i="28"/>
  <c r="M39" i="28" s="1"/>
  <c r="L19" i="28"/>
  <c r="J19" i="28"/>
  <c r="I18" i="28"/>
  <c r="I42" i="28" s="1"/>
  <c r="I17" i="28"/>
  <c r="I16" i="28"/>
  <c r="O15" i="28"/>
  <c r="O39" i="28" s="1"/>
  <c r="N15" i="28"/>
  <c r="N39" i="28" s="1"/>
  <c r="L15" i="28"/>
  <c r="K15" i="28"/>
  <c r="J15" i="28"/>
  <c r="O13" i="28"/>
  <c r="N13" i="28"/>
  <c r="M13" i="28"/>
  <c r="L13" i="28"/>
  <c r="K13" i="28"/>
  <c r="J13" i="28"/>
  <c r="I13" i="28"/>
  <c r="O12" i="28"/>
  <c r="N12" i="28"/>
  <c r="M12" i="28"/>
  <c r="L12" i="28"/>
  <c r="K12" i="28"/>
  <c r="J12" i="28"/>
  <c r="O11" i="28"/>
  <c r="N11" i="28"/>
  <c r="M11" i="28"/>
  <c r="L11" i="28"/>
  <c r="K11" i="28"/>
  <c r="J11" i="28"/>
  <c r="I11" i="28"/>
  <c r="K10" i="28"/>
  <c r="I8" i="28"/>
  <c r="I12" i="28" s="1"/>
  <c r="O6" i="28"/>
  <c r="N6" i="28"/>
  <c r="N10" i="28" s="1"/>
  <c r="M6" i="28"/>
  <c r="M10" i="28" s="1"/>
  <c r="L6" i="28"/>
  <c r="L10" i="28" s="1"/>
  <c r="K6" i="28"/>
  <c r="J6" i="28"/>
  <c r="J10" i="28" s="1"/>
  <c r="L83" i="28" l="1"/>
  <c r="I66" i="28"/>
  <c r="I70" i="28" s="1"/>
  <c r="M83" i="28"/>
  <c r="J164" i="28"/>
  <c r="M170" i="28"/>
  <c r="N171" i="28"/>
  <c r="I41" i="28"/>
  <c r="I170" i="28" s="1"/>
  <c r="I40" i="28"/>
  <c r="M52" i="28"/>
  <c r="J143" i="28"/>
  <c r="L143" i="28"/>
  <c r="K143" i="28"/>
  <c r="L169" i="28"/>
  <c r="I15" i="28"/>
  <c r="J39" i="28"/>
  <c r="J168" i="28" s="1"/>
  <c r="I101" i="28"/>
  <c r="I139" i="28"/>
  <c r="K39" i="28"/>
  <c r="K83" i="28"/>
  <c r="I171" i="28"/>
  <c r="I97" i="28"/>
  <c r="I105" i="28"/>
  <c r="I135" i="28"/>
  <c r="N164" i="28"/>
  <c r="J171" i="28"/>
  <c r="L39" i="28"/>
  <c r="L168" i="28" s="1"/>
  <c r="O143" i="28"/>
  <c r="I131" i="28"/>
  <c r="O164" i="28"/>
  <c r="I160" i="28"/>
  <c r="I164" i="28" s="1"/>
  <c r="I6" i="28"/>
  <c r="I10" i="28" s="1"/>
  <c r="N143" i="28"/>
  <c r="O169" i="28"/>
  <c r="M164" i="28"/>
  <c r="O10" i="28"/>
  <c r="I145" i="28"/>
  <c r="I166" i="28"/>
  <c r="M169" i="28"/>
  <c r="I75" i="28"/>
  <c r="J170" i="28"/>
  <c r="K170" i="28"/>
  <c r="L171" i="28"/>
  <c r="I44" i="28"/>
  <c r="I54" i="28"/>
  <c r="I127" i="28"/>
  <c r="N170" i="28"/>
  <c r="O171" i="28"/>
  <c r="N169" i="28"/>
  <c r="O170" i="28"/>
  <c r="J92" i="28"/>
  <c r="K171" i="28"/>
  <c r="J169" i="28"/>
  <c r="K169" i="28"/>
  <c r="L170" i="28"/>
  <c r="M171" i="28"/>
  <c r="K52" i="28"/>
  <c r="J52" i="28"/>
  <c r="I110" i="28"/>
  <c r="M143" i="28"/>
  <c r="K164" i="28"/>
  <c r="L164" i="28"/>
  <c r="I109" i="28"/>
  <c r="I19" i="28"/>
  <c r="I39" i="28" s="1"/>
  <c r="I48" i="28"/>
  <c r="I52" i="28" s="1"/>
  <c r="N83" i="28"/>
  <c r="I123" i="28"/>
  <c r="K109" i="28"/>
  <c r="K168" i="28" s="1"/>
  <c r="I79" i="28"/>
  <c r="I114" i="28"/>
  <c r="I118" i="28" s="1"/>
  <c r="I57" i="28"/>
  <c r="I61" i="28" s="1"/>
  <c r="I143" i="28" l="1"/>
  <c r="M168" i="28"/>
  <c r="I169" i="28"/>
  <c r="O168" i="28"/>
  <c r="N168" i="28"/>
  <c r="I83" i="28"/>
  <c r="I168" i="28" s="1"/>
  <c r="O281" i="27" l="1"/>
  <c r="N281" i="27"/>
  <c r="M281" i="27"/>
  <c r="L281" i="27"/>
  <c r="K281" i="27"/>
  <c r="J281" i="27"/>
  <c r="O280" i="27"/>
  <c r="N280" i="27"/>
  <c r="M280" i="27"/>
  <c r="L280" i="27"/>
  <c r="K280" i="27"/>
  <c r="J280" i="27"/>
  <c r="O279" i="27"/>
  <c r="N279" i="27"/>
  <c r="M279" i="27"/>
  <c r="L279" i="27"/>
  <c r="K279" i="27"/>
  <c r="J279" i="27"/>
  <c r="I277" i="27"/>
  <c r="I276" i="27"/>
  <c r="I275" i="27"/>
  <c r="O274" i="27"/>
  <c r="N274" i="27"/>
  <c r="M274" i="27"/>
  <c r="L274" i="27"/>
  <c r="K274" i="27"/>
  <c r="J274" i="27"/>
  <c r="I273" i="27"/>
  <c r="I272" i="27"/>
  <c r="I271" i="27"/>
  <c r="O270" i="27"/>
  <c r="N270" i="27"/>
  <c r="M270" i="27"/>
  <c r="L270" i="27"/>
  <c r="K270" i="27"/>
  <c r="J270" i="27"/>
  <c r="I269" i="27"/>
  <c r="I268" i="27"/>
  <c r="I267" i="27"/>
  <c r="N266" i="27"/>
  <c r="M266" i="27"/>
  <c r="L266" i="27"/>
  <c r="K266" i="27"/>
  <c r="J266" i="27"/>
  <c r="I265" i="27"/>
  <c r="I264" i="27"/>
  <c r="I263" i="27"/>
  <c r="O262" i="27"/>
  <c r="I262" i="27" s="1"/>
  <c r="N262" i="27"/>
  <c r="M262" i="27"/>
  <c r="L262" i="27"/>
  <c r="K262" i="27"/>
  <c r="J262" i="27"/>
  <c r="I261" i="27"/>
  <c r="I260" i="27"/>
  <c r="I259" i="27"/>
  <c r="O258" i="27"/>
  <c r="N258" i="27"/>
  <c r="M258" i="27"/>
  <c r="L258" i="27"/>
  <c r="K258" i="27"/>
  <c r="J258" i="27"/>
  <c r="I258" i="27" s="1"/>
  <c r="I257" i="27"/>
  <c r="I256" i="27"/>
  <c r="I255" i="27"/>
  <c r="O254" i="27"/>
  <c r="N254" i="27"/>
  <c r="M254" i="27"/>
  <c r="L254" i="27"/>
  <c r="K254" i="27"/>
  <c r="J254" i="27"/>
  <c r="I253" i="27"/>
  <c r="I252" i="27"/>
  <c r="I251" i="27"/>
  <c r="O250" i="27"/>
  <c r="N250" i="27"/>
  <c r="M250" i="27"/>
  <c r="L250" i="27"/>
  <c r="K250" i="27"/>
  <c r="J250" i="27"/>
  <c r="I249" i="27"/>
  <c r="I248" i="27"/>
  <c r="I247" i="27"/>
  <c r="O246" i="27"/>
  <c r="N246" i="27"/>
  <c r="M246" i="27"/>
  <c r="L246" i="27"/>
  <c r="K246" i="27"/>
  <c r="J246" i="27"/>
  <c r="I245" i="27"/>
  <c r="I244" i="27"/>
  <c r="I243" i="27"/>
  <c r="O242" i="27"/>
  <c r="N242" i="27"/>
  <c r="M242" i="27"/>
  <c r="L242" i="27"/>
  <c r="K242" i="27"/>
  <c r="J242" i="27"/>
  <c r="O240" i="27"/>
  <c r="N240" i="27"/>
  <c r="M240" i="27"/>
  <c r="L240" i="27"/>
  <c r="K240" i="27"/>
  <c r="J240" i="27"/>
  <c r="O239" i="27"/>
  <c r="N239" i="27"/>
  <c r="M239" i="27"/>
  <c r="L239" i="27"/>
  <c r="K239" i="27"/>
  <c r="J239" i="27"/>
  <c r="O238" i="27"/>
  <c r="N238" i="27"/>
  <c r="M238" i="27"/>
  <c r="L238" i="27"/>
  <c r="K238" i="27"/>
  <c r="J238" i="27"/>
  <c r="N237" i="27"/>
  <c r="I235" i="27"/>
  <c r="I234" i="27"/>
  <c r="O233" i="27"/>
  <c r="N233" i="27"/>
  <c r="M233" i="27"/>
  <c r="L233" i="27"/>
  <c r="K233" i="27"/>
  <c r="J233" i="27"/>
  <c r="I231" i="27"/>
  <c r="I230" i="27"/>
  <c r="O229" i="27"/>
  <c r="N229" i="27"/>
  <c r="M229" i="27"/>
  <c r="L229" i="27"/>
  <c r="K229" i="27"/>
  <c r="J229" i="27"/>
  <c r="I227" i="27"/>
  <c r="I226" i="27"/>
  <c r="O225" i="27"/>
  <c r="N225" i="27"/>
  <c r="M225" i="27"/>
  <c r="L225" i="27"/>
  <c r="K225" i="27"/>
  <c r="J225" i="27"/>
  <c r="I223" i="27"/>
  <c r="I222" i="27"/>
  <c r="O221" i="27"/>
  <c r="N221" i="27"/>
  <c r="M221" i="27"/>
  <c r="L221" i="27"/>
  <c r="K221" i="27"/>
  <c r="J221" i="27"/>
  <c r="I219" i="27"/>
  <c r="I218" i="27"/>
  <c r="O217" i="27"/>
  <c r="N217" i="27"/>
  <c r="M217" i="27"/>
  <c r="L217" i="27"/>
  <c r="K217" i="27"/>
  <c r="J217" i="27"/>
  <c r="I215" i="27"/>
  <c r="I214" i="27"/>
  <c r="O213" i="27"/>
  <c r="N213" i="27"/>
  <c r="M213" i="27"/>
  <c r="L213" i="27"/>
  <c r="K213" i="27"/>
  <c r="J213" i="27"/>
  <c r="I211" i="27"/>
  <c r="I210" i="27"/>
  <c r="O209" i="27"/>
  <c r="N209" i="27"/>
  <c r="M209" i="27"/>
  <c r="L209" i="27"/>
  <c r="K209" i="27"/>
  <c r="J209" i="27"/>
  <c r="I208" i="27"/>
  <c r="I240" i="27" s="1"/>
  <c r="I207" i="27"/>
  <c r="I206" i="27"/>
  <c r="I238" i="27" s="1"/>
  <c r="O205" i="27"/>
  <c r="N205" i="27"/>
  <c r="M205" i="27"/>
  <c r="L205" i="27"/>
  <c r="K205" i="27"/>
  <c r="J205" i="27"/>
  <c r="O203" i="27"/>
  <c r="N203" i="27"/>
  <c r="M203" i="27"/>
  <c r="L203" i="27"/>
  <c r="K203" i="27"/>
  <c r="J203" i="27"/>
  <c r="I203" i="27"/>
  <c r="O202" i="27"/>
  <c r="N202" i="27"/>
  <c r="M202" i="27"/>
  <c r="L202" i="27"/>
  <c r="K202" i="27"/>
  <c r="J202" i="27"/>
  <c r="O201" i="27"/>
  <c r="N201" i="27"/>
  <c r="M201" i="27"/>
  <c r="L201" i="27"/>
  <c r="K201" i="27"/>
  <c r="J201" i="27"/>
  <c r="I198" i="27"/>
  <c r="I197" i="27"/>
  <c r="O196" i="27"/>
  <c r="N196" i="27"/>
  <c r="M196" i="27"/>
  <c r="L196" i="27"/>
  <c r="K196" i="27"/>
  <c r="J196" i="27"/>
  <c r="I194" i="27"/>
  <c r="I202" i="27" s="1"/>
  <c r="I193" i="27"/>
  <c r="I201" i="27" s="1"/>
  <c r="O192" i="27"/>
  <c r="O200" i="27" s="1"/>
  <c r="N192" i="27"/>
  <c r="N200" i="27" s="1"/>
  <c r="M192" i="27"/>
  <c r="M200" i="27" s="1"/>
  <c r="L192" i="27"/>
  <c r="K192" i="27"/>
  <c r="K200" i="27" s="1"/>
  <c r="J192" i="27"/>
  <c r="J200" i="27" s="1"/>
  <c r="O190" i="27"/>
  <c r="N190" i="27"/>
  <c r="M190" i="27"/>
  <c r="L190" i="27"/>
  <c r="K190" i="27"/>
  <c r="J190" i="27"/>
  <c r="I190" i="27"/>
  <c r="O189" i="27"/>
  <c r="N189" i="27"/>
  <c r="M189" i="27"/>
  <c r="L189" i="27"/>
  <c r="K189" i="27"/>
  <c r="J189" i="27"/>
  <c r="O188" i="27"/>
  <c r="N188" i="27"/>
  <c r="M188" i="27"/>
  <c r="L188" i="27"/>
  <c r="K188" i="27"/>
  <c r="J188" i="27"/>
  <c r="I185" i="27"/>
  <c r="I189" i="27" s="1"/>
  <c r="I184" i="27"/>
  <c r="I188" i="27" s="1"/>
  <c r="O183" i="27"/>
  <c r="O187" i="27" s="1"/>
  <c r="N183" i="27"/>
  <c r="N187" i="27" s="1"/>
  <c r="M183" i="27"/>
  <c r="M187" i="27" s="1"/>
  <c r="L183" i="27"/>
  <c r="L187" i="27" s="1"/>
  <c r="K183" i="27"/>
  <c r="K187" i="27" s="1"/>
  <c r="J183" i="27"/>
  <c r="O181" i="27"/>
  <c r="N181" i="27"/>
  <c r="M181" i="27"/>
  <c r="L181" i="27"/>
  <c r="K181" i="27"/>
  <c r="J181" i="27"/>
  <c r="I181" i="27"/>
  <c r="O180" i="27"/>
  <c r="N180" i="27"/>
  <c r="M180" i="27"/>
  <c r="L180" i="27"/>
  <c r="K180" i="27"/>
  <c r="J180" i="27"/>
  <c r="O179" i="27"/>
  <c r="N179" i="27"/>
  <c r="M179" i="27"/>
  <c r="L179" i="27"/>
  <c r="K179" i="27"/>
  <c r="J179" i="27"/>
  <c r="I176" i="27"/>
  <c r="I175" i="27"/>
  <c r="O174" i="27"/>
  <c r="N174" i="27"/>
  <c r="M174" i="27"/>
  <c r="L174" i="27"/>
  <c r="K174" i="27"/>
  <c r="J174" i="27"/>
  <c r="I172" i="27"/>
  <c r="I171" i="27"/>
  <c r="O170" i="27"/>
  <c r="N170" i="27"/>
  <c r="M170" i="27"/>
  <c r="L170" i="27"/>
  <c r="K170" i="27"/>
  <c r="J170" i="27"/>
  <c r="I168" i="27"/>
  <c r="I180" i="27" s="1"/>
  <c r="I167" i="27"/>
  <c r="O166" i="27"/>
  <c r="N166" i="27"/>
  <c r="N178" i="27" s="1"/>
  <c r="M166" i="27"/>
  <c r="M178" i="27" s="1"/>
  <c r="L166" i="27"/>
  <c r="K166" i="27"/>
  <c r="K178" i="27" s="1"/>
  <c r="J166" i="27"/>
  <c r="O164" i="27"/>
  <c r="N164" i="27"/>
  <c r="M164" i="27"/>
  <c r="L164" i="27"/>
  <c r="K164" i="27"/>
  <c r="J164" i="27"/>
  <c r="O163" i="27"/>
  <c r="N163" i="27"/>
  <c r="M163" i="27"/>
  <c r="L163" i="27"/>
  <c r="K163" i="27"/>
  <c r="J163" i="27"/>
  <c r="O162" i="27"/>
  <c r="N162" i="27"/>
  <c r="M162" i="27"/>
  <c r="L162" i="27"/>
  <c r="K162" i="27"/>
  <c r="J162" i="27"/>
  <c r="I160" i="27"/>
  <c r="I164" i="27" s="1"/>
  <c r="I159" i="27"/>
  <c r="I163" i="27" s="1"/>
  <c r="I158" i="27"/>
  <c r="I162" i="27" s="1"/>
  <c r="O157" i="27"/>
  <c r="N157" i="27"/>
  <c r="N161" i="27" s="1"/>
  <c r="M157" i="27"/>
  <c r="M161" i="27" s="1"/>
  <c r="L157" i="27"/>
  <c r="L161" i="27" s="1"/>
  <c r="K157" i="27"/>
  <c r="K161" i="27" s="1"/>
  <c r="J157" i="27"/>
  <c r="J161" i="27" s="1"/>
  <c r="O155" i="27"/>
  <c r="N155" i="27"/>
  <c r="M155" i="27"/>
  <c r="L155" i="27"/>
  <c r="K155" i="27"/>
  <c r="J155" i="27"/>
  <c r="I155" i="27"/>
  <c r="O154" i="27"/>
  <c r="N154" i="27"/>
  <c r="M154" i="27"/>
  <c r="L154" i="27"/>
  <c r="K154" i="27"/>
  <c r="J154" i="27"/>
  <c r="O153" i="27"/>
  <c r="N153" i="27"/>
  <c r="M153" i="27"/>
  <c r="L153" i="27"/>
  <c r="K153" i="27"/>
  <c r="J153" i="27"/>
  <c r="O152" i="27"/>
  <c r="N152" i="27"/>
  <c r="M152" i="27"/>
  <c r="L152" i="27"/>
  <c r="K152" i="27"/>
  <c r="J152" i="27"/>
  <c r="I150" i="27"/>
  <c r="I148" i="27"/>
  <c r="I146" i="27"/>
  <c r="I144" i="27"/>
  <c r="I142" i="27"/>
  <c r="I140" i="27"/>
  <c r="I138" i="27"/>
  <c r="I137" i="27"/>
  <c r="I153" i="27" s="1"/>
  <c r="I136" i="27"/>
  <c r="O134" i="27"/>
  <c r="N134" i="27"/>
  <c r="M134" i="27"/>
  <c r="L134" i="27"/>
  <c r="K134" i="27"/>
  <c r="J134" i="27"/>
  <c r="O133" i="27"/>
  <c r="N133" i="27"/>
  <c r="M133" i="27"/>
  <c r="L133" i="27"/>
  <c r="K133" i="27"/>
  <c r="J133" i="27"/>
  <c r="O132" i="27"/>
  <c r="N132" i="27"/>
  <c r="M132" i="27"/>
  <c r="L132" i="27"/>
  <c r="K132" i="27"/>
  <c r="J132" i="27"/>
  <c r="I130" i="27"/>
  <c r="I134" i="27" s="1"/>
  <c r="I129" i="27"/>
  <c r="I133" i="27" s="1"/>
  <c r="I128" i="27"/>
  <c r="I132" i="27" s="1"/>
  <c r="O127" i="27"/>
  <c r="O131" i="27" s="1"/>
  <c r="N127" i="27"/>
  <c r="N131" i="27" s="1"/>
  <c r="M127" i="27"/>
  <c r="M131" i="27" s="1"/>
  <c r="L127" i="27"/>
  <c r="L131" i="27" s="1"/>
  <c r="K127" i="27"/>
  <c r="K131" i="27" s="1"/>
  <c r="J127" i="27"/>
  <c r="O125" i="27"/>
  <c r="N125" i="27"/>
  <c r="M125" i="27"/>
  <c r="L125" i="27"/>
  <c r="K125" i="27"/>
  <c r="J125" i="27"/>
  <c r="O124" i="27"/>
  <c r="N124" i="27"/>
  <c r="M124" i="27"/>
  <c r="L124" i="27"/>
  <c r="K124" i="27"/>
  <c r="J124" i="27"/>
  <c r="O123" i="27"/>
  <c r="N123" i="27"/>
  <c r="M123" i="27"/>
  <c r="L123" i="27"/>
  <c r="K123" i="27"/>
  <c r="J123" i="27"/>
  <c r="I121" i="27"/>
  <c r="I120" i="27"/>
  <c r="I119" i="27"/>
  <c r="O118" i="27"/>
  <c r="N118" i="27"/>
  <c r="M118" i="27"/>
  <c r="L118" i="27"/>
  <c r="K118" i="27"/>
  <c r="J118" i="27"/>
  <c r="I117" i="27"/>
  <c r="I116" i="27"/>
  <c r="I115" i="27"/>
  <c r="O114" i="27"/>
  <c r="N114" i="27"/>
  <c r="M114" i="27"/>
  <c r="L114" i="27"/>
  <c r="K114" i="27"/>
  <c r="J114" i="27"/>
  <c r="I113" i="27"/>
  <c r="I112" i="27"/>
  <c r="I111" i="27"/>
  <c r="O110" i="27"/>
  <c r="N110" i="27"/>
  <c r="M110" i="27"/>
  <c r="L110" i="27"/>
  <c r="K110" i="27"/>
  <c r="J110" i="27"/>
  <c r="I109" i="27"/>
  <c r="I108" i="27"/>
  <c r="I107" i="27"/>
  <c r="O106" i="27"/>
  <c r="N106" i="27"/>
  <c r="M106" i="27"/>
  <c r="L106" i="27"/>
  <c r="K106" i="27"/>
  <c r="J106" i="27"/>
  <c r="I105" i="27"/>
  <c r="I104" i="27"/>
  <c r="I103" i="27"/>
  <c r="O102" i="27"/>
  <c r="N102" i="27"/>
  <c r="M102" i="27"/>
  <c r="L102" i="27"/>
  <c r="K102" i="27"/>
  <c r="J102" i="27"/>
  <c r="I102" i="27" s="1"/>
  <c r="I101" i="27"/>
  <c r="I100" i="27"/>
  <c r="I99" i="27"/>
  <c r="O98" i="27"/>
  <c r="N98" i="27"/>
  <c r="M98" i="27"/>
  <c r="L98" i="27"/>
  <c r="K98" i="27"/>
  <c r="J98" i="27"/>
  <c r="O96" i="27"/>
  <c r="N96" i="27"/>
  <c r="M96" i="27"/>
  <c r="L96" i="27"/>
  <c r="K96" i="27"/>
  <c r="J96" i="27"/>
  <c r="O95" i="27"/>
  <c r="N95" i="27"/>
  <c r="M95" i="27"/>
  <c r="L95" i="27"/>
  <c r="K95" i="27"/>
  <c r="J95" i="27"/>
  <c r="O94" i="27"/>
  <c r="N94" i="27"/>
  <c r="M94" i="27"/>
  <c r="L94" i="27"/>
  <c r="K94" i="27"/>
  <c r="J94" i="27"/>
  <c r="O93" i="27"/>
  <c r="N93" i="27"/>
  <c r="M93" i="27"/>
  <c r="I92" i="27"/>
  <c r="I96" i="27" s="1"/>
  <c r="I91" i="27"/>
  <c r="I95" i="27" s="1"/>
  <c r="I90" i="27"/>
  <c r="I94" i="27" s="1"/>
  <c r="O89" i="27"/>
  <c r="N89" i="27"/>
  <c r="M89" i="27"/>
  <c r="L89" i="27"/>
  <c r="L93" i="27" s="1"/>
  <c r="K89" i="27"/>
  <c r="K93" i="27" s="1"/>
  <c r="J89" i="27"/>
  <c r="J93" i="27" s="1"/>
  <c r="O87" i="27"/>
  <c r="N87" i="27"/>
  <c r="M87" i="27"/>
  <c r="L87" i="27"/>
  <c r="K87" i="27"/>
  <c r="J87" i="27"/>
  <c r="O86" i="27"/>
  <c r="N86" i="27"/>
  <c r="M86" i="27"/>
  <c r="L86" i="27"/>
  <c r="K86" i="27"/>
  <c r="J86" i="27"/>
  <c r="O85" i="27"/>
  <c r="N85" i="27"/>
  <c r="M85" i="27"/>
  <c r="L85" i="27"/>
  <c r="K85" i="27"/>
  <c r="J85" i="27"/>
  <c r="I83" i="27"/>
  <c r="I82" i="27"/>
  <c r="I81" i="27"/>
  <c r="O80" i="27"/>
  <c r="N80" i="27"/>
  <c r="M80" i="27"/>
  <c r="L80" i="27"/>
  <c r="K80" i="27"/>
  <c r="J80" i="27"/>
  <c r="I79" i="27"/>
  <c r="I78" i="27"/>
  <c r="I77" i="27"/>
  <c r="O76" i="27"/>
  <c r="N76" i="27"/>
  <c r="M76" i="27"/>
  <c r="L76" i="27"/>
  <c r="K76" i="27"/>
  <c r="J76" i="27"/>
  <c r="I76" i="27"/>
  <c r="I75" i="27"/>
  <c r="I74" i="27"/>
  <c r="I73" i="27"/>
  <c r="O72" i="27"/>
  <c r="N72" i="27"/>
  <c r="M72" i="27"/>
  <c r="M84" i="27" s="1"/>
  <c r="L72" i="27"/>
  <c r="L84" i="27" s="1"/>
  <c r="K72" i="27"/>
  <c r="K84" i="27" s="1"/>
  <c r="J72" i="27"/>
  <c r="O70" i="27"/>
  <c r="N70" i="27"/>
  <c r="M70" i="27"/>
  <c r="L70" i="27"/>
  <c r="K70" i="27"/>
  <c r="J70" i="27"/>
  <c r="I70" i="27"/>
  <c r="O69" i="27"/>
  <c r="N69" i="27"/>
  <c r="M69" i="27"/>
  <c r="L69" i="27"/>
  <c r="K69" i="27"/>
  <c r="J69" i="27"/>
  <c r="O68" i="27"/>
  <c r="N68" i="27"/>
  <c r="M68" i="27"/>
  <c r="L68" i="27"/>
  <c r="K68" i="27"/>
  <c r="J68" i="27"/>
  <c r="N67" i="27"/>
  <c r="M67" i="27"/>
  <c r="L67" i="27"/>
  <c r="I65" i="27"/>
  <c r="I69" i="27" s="1"/>
  <c r="I64" i="27"/>
  <c r="I68" i="27" s="1"/>
  <c r="O63" i="27"/>
  <c r="O67" i="27" s="1"/>
  <c r="N63" i="27"/>
  <c r="M63" i="27"/>
  <c r="L63" i="27"/>
  <c r="K63" i="27"/>
  <c r="K67" i="27" s="1"/>
  <c r="J63" i="27"/>
  <c r="J67" i="27" s="1"/>
  <c r="O61" i="27"/>
  <c r="N61" i="27"/>
  <c r="M61" i="27"/>
  <c r="L61" i="27"/>
  <c r="K61" i="27"/>
  <c r="J61" i="27"/>
  <c r="I61" i="27"/>
  <c r="O60" i="27"/>
  <c r="N60" i="27"/>
  <c r="M60" i="27"/>
  <c r="L60" i="27"/>
  <c r="K60" i="27"/>
  <c r="J60" i="27"/>
  <c r="O59" i="27"/>
  <c r="N59" i="27"/>
  <c r="M59" i="27"/>
  <c r="L59" i="27"/>
  <c r="K59" i="27"/>
  <c r="J59" i="27"/>
  <c r="J58" i="27"/>
  <c r="I56" i="27"/>
  <c r="I60" i="27" s="1"/>
  <c r="I55" i="27"/>
  <c r="I59" i="27" s="1"/>
  <c r="O54" i="27"/>
  <c r="O58" i="27" s="1"/>
  <c r="N54" i="27"/>
  <c r="N58" i="27" s="1"/>
  <c r="M54" i="27"/>
  <c r="M58" i="27" s="1"/>
  <c r="L54" i="27"/>
  <c r="L58" i="27" s="1"/>
  <c r="K54" i="27"/>
  <c r="K58" i="27" s="1"/>
  <c r="O52" i="27"/>
  <c r="N52" i="27"/>
  <c r="M52" i="27"/>
  <c r="L52" i="27"/>
  <c r="K52" i="27"/>
  <c r="J52" i="27"/>
  <c r="O51" i="27"/>
  <c r="N51" i="27"/>
  <c r="M51" i="27"/>
  <c r="L51" i="27"/>
  <c r="K51" i="27"/>
  <c r="J51" i="27"/>
  <c r="O50" i="27"/>
  <c r="N50" i="27"/>
  <c r="M50" i="27"/>
  <c r="L50" i="27"/>
  <c r="K50" i="27"/>
  <c r="J50" i="27"/>
  <c r="I50" i="27"/>
  <c r="I48" i="27"/>
  <c r="I47" i="27"/>
  <c r="I46" i="27"/>
  <c r="O45" i="27"/>
  <c r="N45" i="27"/>
  <c r="N49" i="27" s="1"/>
  <c r="M45" i="27"/>
  <c r="L45" i="27"/>
  <c r="K45" i="27"/>
  <c r="J45" i="27"/>
  <c r="I44" i="27"/>
  <c r="I52" i="27" s="1"/>
  <c r="I43" i="27"/>
  <c r="I42" i="27"/>
  <c r="O41" i="27"/>
  <c r="O49" i="27" s="1"/>
  <c r="N41" i="27"/>
  <c r="M41" i="27"/>
  <c r="L41" i="27"/>
  <c r="L49" i="27" s="1"/>
  <c r="K41" i="27"/>
  <c r="K49" i="27" s="1"/>
  <c r="J41" i="27"/>
  <c r="O39" i="27"/>
  <c r="N39" i="27"/>
  <c r="M39" i="27"/>
  <c r="L39" i="27"/>
  <c r="K39" i="27"/>
  <c r="J39" i="27"/>
  <c r="O38" i="27"/>
  <c r="N38" i="27"/>
  <c r="M38" i="27"/>
  <c r="L38" i="27"/>
  <c r="K38" i="27"/>
  <c r="J38" i="27"/>
  <c r="O37" i="27"/>
  <c r="N37" i="27"/>
  <c r="M37" i="27"/>
  <c r="L37" i="27"/>
  <c r="K37" i="27"/>
  <c r="J37" i="27"/>
  <c r="I35" i="27"/>
  <c r="I34" i="27"/>
  <c r="I33" i="27"/>
  <c r="O32" i="27"/>
  <c r="N32" i="27"/>
  <c r="M32" i="27"/>
  <c r="L32" i="27"/>
  <c r="K32" i="27"/>
  <c r="J32" i="27"/>
  <c r="I31" i="27"/>
  <c r="I30" i="27"/>
  <c r="I38" i="27" s="1"/>
  <c r="I29" i="27"/>
  <c r="I37" i="27" s="1"/>
  <c r="O28" i="27"/>
  <c r="N28" i="27"/>
  <c r="N36" i="27" s="1"/>
  <c r="M28" i="27"/>
  <c r="L28" i="27"/>
  <c r="L36" i="27" s="1"/>
  <c r="K28" i="27"/>
  <c r="K36" i="27" s="1"/>
  <c r="J28" i="27"/>
  <c r="O26" i="27"/>
  <c r="N26" i="27"/>
  <c r="M26" i="27"/>
  <c r="L26" i="27"/>
  <c r="K26" i="27"/>
  <c r="J26" i="27"/>
  <c r="I26" i="27"/>
  <c r="O25" i="27"/>
  <c r="N25" i="27"/>
  <c r="M25" i="27"/>
  <c r="L25" i="27"/>
  <c r="K25" i="27"/>
  <c r="J25" i="27"/>
  <c r="O24" i="27"/>
  <c r="N24" i="27"/>
  <c r="M24" i="27"/>
  <c r="L24" i="27"/>
  <c r="K24" i="27"/>
  <c r="J24" i="27"/>
  <c r="I24" i="27"/>
  <c r="I21" i="27"/>
  <c r="I25" i="27" s="1"/>
  <c r="O19" i="27"/>
  <c r="O23" i="27" s="1"/>
  <c r="N19" i="27"/>
  <c r="N23" i="27" s="1"/>
  <c r="M19" i="27"/>
  <c r="M23" i="27" s="1"/>
  <c r="L19" i="27"/>
  <c r="L23" i="27" s="1"/>
  <c r="K19" i="27"/>
  <c r="K23" i="27" s="1"/>
  <c r="J19" i="27"/>
  <c r="J23" i="27" s="1"/>
  <c r="O17" i="27"/>
  <c r="N17" i="27"/>
  <c r="M17" i="27"/>
  <c r="L17" i="27"/>
  <c r="K17" i="27"/>
  <c r="J17" i="27"/>
  <c r="I17" i="27"/>
  <c r="O16" i="27"/>
  <c r="N16" i="27"/>
  <c r="M16" i="27"/>
  <c r="L16" i="27"/>
  <c r="K16" i="27"/>
  <c r="J16" i="27"/>
  <c r="O15" i="27"/>
  <c r="N15" i="27"/>
  <c r="M15" i="27"/>
  <c r="L15" i="27"/>
  <c r="K15" i="27"/>
  <c r="J15" i="27"/>
  <c r="I12" i="27"/>
  <c r="I11" i="27"/>
  <c r="O10" i="27"/>
  <c r="N10" i="27"/>
  <c r="M10" i="27"/>
  <c r="M14" i="27" s="1"/>
  <c r="L10" i="27"/>
  <c r="K10" i="27"/>
  <c r="J10" i="27"/>
  <c r="I8" i="27"/>
  <c r="I16" i="27" s="1"/>
  <c r="I7" i="27"/>
  <c r="I15" i="27" s="1"/>
  <c r="O6" i="27"/>
  <c r="O14" i="27" s="1"/>
  <c r="N6" i="27"/>
  <c r="N14" i="27" s="1"/>
  <c r="L6" i="27"/>
  <c r="K6" i="27"/>
  <c r="K14" i="27" s="1"/>
  <c r="J6" i="27"/>
  <c r="K284" i="27" l="1"/>
  <c r="L285" i="27"/>
  <c r="I28" i="27"/>
  <c r="I39" i="27"/>
  <c r="I45" i="27"/>
  <c r="I118" i="27"/>
  <c r="I225" i="27"/>
  <c r="N278" i="27"/>
  <c r="I98" i="27"/>
  <c r="I125" i="27"/>
  <c r="I123" i="27"/>
  <c r="O122" i="27"/>
  <c r="N122" i="27"/>
  <c r="N282" i="27" s="1"/>
  <c r="I196" i="27"/>
  <c r="I209" i="27"/>
  <c r="I32" i="27"/>
  <c r="I36" i="27" s="1"/>
  <c r="O36" i="27"/>
  <c r="I6" i="27"/>
  <c r="I124" i="27"/>
  <c r="I229" i="27"/>
  <c r="M36" i="27"/>
  <c r="I51" i="27"/>
  <c r="I170" i="27"/>
  <c r="L200" i="27"/>
  <c r="I246" i="27"/>
  <c r="J283" i="27"/>
  <c r="O278" i="27"/>
  <c r="I254" i="27"/>
  <c r="L14" i="27"/>
  <c r="M284" i="27"/>
  <c r="L283" i="27"/>
  <c r="I174" i="27"/>
  <c r="M283" i="27"/>
  <c r="I110" i="27"/>
  <c r="N283" i="27"/>
  <c r="I242" i="27"/>
  <c r="I85" i="27"/>
  <c r="I80" i="27"/>
  <c r="I114" i="27"/>
  <c r="I152" i="27"/>
  <c r="J178" i="27"/>
  <c r="J237" i="27"/>
  <c r="I233" i="27"/>
  <c r="K278" i="27"/>
  <c r="I274" i="27"/>
  <c r="L284" i="27"/>
  <c r="M237" i="27"/>
  <c r="K283" i="27"/>
  <c r="L122" i="27"/>
  <c r="O285" i="27"/>
  <c r="O283" i="27"/>
  <c r="I183" i="27"/>
  <c r="I187" i="27" s="1"/>
  <c r="I280" i="27"/>
  <c r="I54" i="27"/>
  <c r="I58" i="27" s="1"/>
  <c r="I127" i="27"/>
  <c r="I131" i="27" s="1"/>
  <c r="I154" i="27"/>
  <c r="O284" i="27"/>
  <c r="I166" i="27"/>
  <c r="I179" i="27"/>
  <c r="I281" i="27"/>
  <c r="I285" i="27" s="1"/>
  <c r="I279" i="27"/>
  <c r="I283" i="27" s="1"/>
  <c r="M49" i="27"/>
  <c r="I86" i="27"/>
  <c r="O84" i="27"/>
  <c r="N84" i="27"/>
  <c r="M122" i="27"/>
  <c r="K237" i="27"/>
  <c r="I213" i="27"/>
  <c r="I217" i="27"/>
  <c r="I221" i="27"/>
  <c r="I239" i="27"/>
  <c r="L278" i="27"/>
  <c r="I270" i="27"/>
  <c r="M285" i="27"/>
  <c r="K122" i="27"/>
  <c r="K282" i="27" s="1"/>
  <c r="I157" i="27"/>
  <c r="I161" i="27" s="1"/>
  <c r="N285" i="27"/>
  <c r="I192" i="27"/>
  <c r="I200" i="27" s="1"/>
  <c r="I205" i="27"/>
  <c r="I250" i="27"/>
  <c r="N284" i="27"/>
  <c r="I41" i="27"/>
  <c r="J285" i="27"/>
  <c r="I63" i="27"/>
  <c r="I67" i="27" s="1"/>
  <c r="I10" i="27"/>
  <c r="I14" i="27" s="1"/>
  <c r="J14" i="27"/>
  <c r="J284" i="27"/>
  <c r="K285" i="27"/>
  <c r="I72" i="27"/>
  <c r="I87" i="27"/>
  <c r="I89" i="27"/>
  <c r="I93" i="27" s="1"/>
  <c r="L178" i="27"/>
  <c r="L237" i="27"/>
  <c r="M278" i="27"/>
  <c r="M282" i="27" s="1"/>
  <c r="I266" i="27"/>
  <c r="I278" i="27" s="1"/>
  <c r="J278" i="27"/>
  <c r="J131" i="27"/>
  <c r="J36" i="27"/>
  <c r="J49" i="27"/>
  <c r="I106" i="27"/>
  <c r="I122" i="27" s="1"/>
  <c r="O178" i="27"/>
  <c r="J187" i="27"/>
  <c r="O237" i="27"/>
  <c r="O161" i="27"/>
  <c r="J122" i="27"/>
  <c r="I19" i="27"/>
  <c r="I23" i="27" s="1"/>
  <c r="J84" i="27"/>
  <c r="I237" i="27" l="1"/>
  <c r="I49" i="27"/>
  <c r="I284" i="27"/>
  <c r="I178" i="27"/>
  <c r="I84" i="27"/>
  <c r="I282" i="27" s="1"/>
  <c r="J282" i="27"/>
  <c r="L282" i="27"/>
  <c r="O282" i="27"/>
  <c r="O347" i="26" l="1"/>
  <c r="N347" i="26"/>
  <c r="M347" i="26"/>
  <c r="L347" i="26"/>
  <c r="K347" i="26"/>
  <c r="J347" i="26"/>
  <c r="I347" i="26"/>
  <c r="O346" i="26"/>
  <c r="N346" i="26"/>
  <c r="M346" i="26"/>
  <c r="L346" i="26"/>
  <c r="K346" i="26"/>
  <c r="J346" i="26"/>
  <c r="O345" i="26"/>
  <c r="N345" i="26"/>
  <c r="M345" i="26"/>
  <c r="L345" i="26"/>
  <c r="K345" i="26"/>
  <c r="J345" i="26"/>
  <c r="I342" i="26"/>
  <c r="I341" i="26"/>
  <c r="O340" i="26"/>
  <c r="N340" i="26"/>
  <c r="I340" i="26" s="1"/>
  <c r="M340" i="26"/>
  <c r="L340" i="26"/>
  <c r="K340" i="26"/>
  <c r="I338" i="26"/>
  <c r="I337" i="26"/>
  <c r="O336" i="26"/>
  <c r="N336" i="26"/>
  <c r="M336" i="26"/>
  <c r="L336" i="26"/>
  <c r="K336" i="26"/>
  <c r="I334" i="26"/>
  <c r="I333" i="26"/>
  <c r="O332" i="26"/>
  <c r="N332" i="26"/>
  <c r="M332" i="26"/>
  <c r="L332" i="26"/>
  <c r="K332" i="26"/>
  <c r="I330" i="26"/>
  <c r="I329" i="26"/>
  <c r="O328" i="26"/>
  <c r="N328" i="26"/>
  <c r="M328" i="26"/>
  <c r="L328" i="26"/>
  <c r="K328" i="26"/>
  <c r="I326" i="26"/>
  <c r="I325" i="26"/>
  <c r="O324" i="26"/>
  <c r="N324" i="26"/>
  <c r="M324" i="26"/>
  <c r="L324" i="26"/>
  <c r="K324" i="26"/>
  <c r="I322" i="26"/>
  <c r="I321" i="26"/>
  <c r="O320" i="26"/>
  <c r="N320" i="26"/>
  <c r="M320" i="26"/>
  <c r="L320" i="26"/>
  <c r="K320" i="26"/>
  <c r="J320" i="26"/>
  <c r="I318" i="26"/>
  <c r="I346" i="26" s="1"/>
  <c r="I317" i="26"/>
  <c r="O316" i="26"/>
  <c r="N316" i="26"/>
  <c r="M316" i="26"/>
  <c r="M344" i="26" s="1"/>
  <c r="L316" i="26"/>
  <c r="K316" i="26"/>
  <c r="J316" i="26"/>
  <c r="O314" i="26"/>
  <c r="N314" i="26"/>
  <c r="M314" i="26"/>
  <c r="L314" i="26"/>
  <c r="K314" i="26"/>
  <c r="J314" i="26"/>
  <c r="O313" i="26"/>
  <c r="N313" i="26"/>
  <c r="M313" i="26"/>
  <c r="L313" i="26"/>
  <c r="K313" i="26"/>
  <c r="J313" i="26"/>
  <c r="O312" i="26"/>
  <c r="N312" i="26"/>
  <c r="M312" i="26"/>
  <c r="L312" i="26"/>
  <c r="K312" i="26"/>
  <c r="J312" i="26"/>
  <c r="I310" i="26"/>
  <c r="I309" i="26"/>
  <c r="I308" i="26"/>
  <c r="O307" i="26"/>
  <c r="N307" i="26"/>
  <c r="M307" i="26"/>
  <c r="L307" i="26"/>
  <c r="K307" i="26"/>
  <c r="J307" i="26"/>
  <c r="I306" i="26"/>
  <c r="I305" i="26"/>
  <c r="I304" i="26"/>
  <c r="O303" i="26"/>
  <c r="N303" i="26"/>
  <c r="M303" i="26"/>
  <c r="L303" i="26"/>
  <c r="K303" i="26"/>
  <c r="J303" i="26"/>
  <c r="I302" i="26"/>
  <c r="I314" i="26" s="1"/>
  <c r="I301" i="26"/>
  <c r="I300" i="26"/>
  <c r="I312" i="26" s="1"/>
  <c r="O299" i="26"/>
  <c r="O311" i="26" s="1"/>
  <c r="N299" i="26"/>
  <c r="M299" i="26"/>
  <c r="L299" i="26"/>
  <c r="K299" i="26"/>
  <c r="J299" i="26"/>
  <c r="O297" i="26"/>
  <c r="N297" i="26"/>
  <c r="M297" i="26"/>
  <c r="L297" i="26"/>
  <c r="K297" i="26"/>
  <c r="J297" i="26"/>
  <c r="O296" i="26"/>
  <c r="N296" i="26"/>
  <c r="M296" i="26"/>
  <c r="L296" i="26"/>
  <c r="K296" i="26"/>
  <c r="J296" i="26"/>
  <c r="O295" i="26"/>
  <c r="N295" i="26"/>
  <c r="M295" i="26"/>
  <c r="L295" i="26"/>
  <c r="K295" i="26"/>
  <c r="J295" i="26"/>
  <c r="J294" i="26"/>
  <c r="I293" i="26"/>
  <c r="I292" i="26"/>
  <c r="I291" i="26"/>
  <c r="O290" i="26"/>
  <c r="N290" i="26"/>
  <c r="M290" i="26"/>
  <c r="L290" i="26"/>
  <c r="K290" i="26"/>
  <c r="I289" i="26"/>
  <c r="I288" i="26"/>
  <c r="I287" i="26"/>
  <c r="O286" i="26"/>
  <c r="N286" i="26"/>
  <c r="M286" i="26"/>
  <c r="L286" i="26"/>
  <c r="K286" i="26"/>
  <c r="I285" i="26"/>
  <c r="I284" i="26"/>
  <c r="I283" i="26"/>
  <c r="O282" i="26"/>
  <c r="N282" i="26"/>
  <c r="M282" i="26"/>
  <c r="L282" i="26"/>
  <c r="K282" i="26"/>
  <c r="I281" i="26"/>
  <c r="I297" i="26" s="1"/>
  <c r="I280" i="26"/>
  <c r="I296" i="26" s="1"/>
  <c r="I279" i="26"/>
  <c r="I295" i="26" s="1"/>
  <c r="O278" i="26"/>
  <c r="O294" i="26" s="1"/>
  <c r="N278" i="26"/>
  <c r="N294" i="26" s="1"/>
  <c r="M278" i="26"/>
  <c r="I278" i="26" s="1"/>
  <c r="O276" i="26"/>
  <c r="N276" i="26"/>
  <c r="M276" i="26"/>
  <c r="L276" i="26"/>
  <c r="K276" i="26"/>
  <c r="J276" i="26"/>
  <c r="O275" i="26"/>
  <c r="N275" i="26"/>
  <c r="M275" i="26"/>
  <c r="L275" i="26"/>
  <c r="K275" i="26"/>
  <c r="J275" i="26"/>
  <c r="O274" i="26"/>
  <c r="N274" i="26"/>
  <c r="M274" i="26"/>
  <c r="L274" i="26"/>
  <c r="K274" i="26"/>
  <c r="J274" i="26"/>
  <c r="I274" i="26"/>
  <c r="M273" i="26"/>
  <c r="K273" i="26"/>
  <c r="I272" i="26"/>
  <c r="I271" i="26"/>
  <c r="O269" i="26"/>
  <c r="N269" i="26"/>
  <c r="L269" i="26"/>
  <c r="K269" i="26"/>
  <c r="J269" i="26"/>
  <c r="I268" i="26"/>
  <c r="I267" i="26"/>
  <c r="O265" i="26"/>
  <c r="N265" i="26"/>
  <c r="L265" i="26"/>
  <c r="K265" i="26"/>
  <c r="J265" i="26"/>
  <c r="O263" i="26"/>
  <c r="N263" i="26"/>
  <c r="M263" i="26"/>
  <c r="L263" i="26"/>
  <c r="K263" i="26"/>
  <c r="J263" i="26"/>
  <c r="I263" i="26"/>
  <c r="O262" i="26"/>
  <c r="N262" i="26"/>
  <c r="M262" i="26"/>
  <c r="L262" i="26"/>
  <c r="K262" i="26"/>
  <c r="J262" i="26"/>
  <c r="O261" i="26"/>
  <c r="N261" i="26"/>
  <c r="M261" i="26"/>
  <c r="L261" i="26"/>
  <c r="K261" i="26"/>
  <c r="J261" i="26"/>
  <c r="I261" i="26"/>
  <c r="I258" i="26"/>
  <c r="O256" i="26"/>
  <c r="N256" i="26"/>
  <c r="M256" i="26"/>
  <c r="L256" i="26"/>
  <c r="K256" i="26"/>
  <c r="I254" i="26"/>
  <c r="O252" i="26"/>
  <c r="N252" i="26"/>
  <c r="M252" i="26"/>
  <c r="L252" i="26"/>
  <c r="K252" i="26"/>
  <c r="I252" i="26" s="1"/>
  <c r="I250" i="26"/>
  <c r="O248" i="26"/>
  <c r="N248" i="26"/>
  <c r="M248" i="26"/>
  <c r="L248" i="26"/>
  <c r="L260" i="26" s="1"/>
  <c r="K248" i="26"/>
  <c r="J248" i="26"/>
  <c r="J260" i="26" s="1"/>
  <c r="O246" i="26"/>
  <c r="N246" i="26"/>
  <c r="M246" i="26"/>
  <c r="L246" i="26"/>
  <c r="K246" i="26"/>
  <c r="J246" i="26"/>
  <c r="I246" i="26"/>
  <c r="O245" i="26"/>
  <c r="N245" i="26"/>
  <c r="M245" i="26"/>
  <c r="L245" i="26"/>
  <c r="K245" i="26"/>
  <c r="J245" i="26"/>
  <c r="O244" i="26"/>
  <c r="N244" i="26"/>
  <c r="M244" i="26"/>
  <c r="L244" i="26"/>
  <c r="K244" i="26"/>
  <c r="J244" i="26"/>
  <c r="I244" i="26"/>
  <c r="J243" i="26"/>
  <c r="I241" i="26"/>
  <c r="O239" i="26"/>
  <c r="N239" i="26"/>
  <c r="M239" i="26"/>
  <c r="L239" i="26"/>
  <c r="K239" i="26"/>
  <c r="I237" i="26"/>
  <c r="O235" i="26"/>
  <c r="N235" i="26"/>
  <c r="N243" i="26" s="1"/>
  <c r="M235" i="26"/>
  <c r="L235" i="26"/>
  <c r="K235" i="26"/>
  <c r="J235" i="26"/>
  <c r="O233" i="26"/>
  <c r="N233" i="26"/>
  <c r="M233" i="26"/>
  <c r="L233" i="26"/>
  <c r="K233" i="26"/>
  <c r="J233" i="26"/>
  <c r="O232" i="26"/>
  <c r="N232" i="26"/>
  <c r="M232" i="26"/>
  <c r="L232" i="26"/>
  <c r="K232" i="26"/>
  <c r="J232" i="26"/>
  <c r="O231" i="26"/>
  <c r="N231" i="26"/>
  <c r="M231" i="26"/>
  <c r="L231" i="26"/>
  <c r="K231" i="26"/>
  <c r="J231" i="26"/>
  <c r="I231" i="26"/>
  <c r="I229" i="26"/>
  <c r="I228" i="26"/>
  <c r="I227" i="26"/>
  <c r="O226" i="26"/>
  <c r="N226" i="26"/>
  <c r="M226" i="26"/>
  <c r="L226" i="26"/>
  <c r="K226" i="26"/>
  <c r="J226" i="26"/>
  <c r="I225" i="26"/>
  <c r="I233" i="26" s="1"/>
  <c r="I224" i="26"/>
  <c r="I223" i="26"/>
  <c r="O222" i="26"/>
  <c r="N222" i="26"/>
  <c r="N230" i="26" s="1"/>
  <c r="M222" i="26"/>
  <c r="M230" i="26" s="1"/>
  <c r="L222" i="26"/>
  <c r="L230" i="26" s="1"/>
  <c r="K222" i="26"/>
  <c r="J222" i="26"/>
  <c r="O220" i="26"/>
  <c r="N220" i="26"/>
  <c r="M220" i="26"/>
  <c r="L220" i="26"/>
  <c r="K220" i="26"/>
  <c r="J220" i="26"/>
  <c r="I220" i="26"/>
  <c r="O219" i="26"/>
  <c r="N219" i="26"/>
  <c r="M219" i="26"/>
  <c r="L219" i="26"/>
  <c r="K219" i="26"/>
  <c r="J219" i="26"/>
  <c r="O218" i="26"/>
  <c r="N218" i="26"/>
  <c r="M218" i="26"/>
  <c r="L218" i="26"/>
  <c r="K218" i="26"/>
  <c r="J218" i="26"/>
  <c r="I218" i="26"/>
  <c r="L217" i="26"/>
  <c r="I215" i="26"/>
  <c r="I219" i="26" s="1"/>
  <c r="O213" i="26"/>
  <c r="O217" i="26" s="1"/>
  <c r="N213" i="26"/>
  <c r="N217" i="26" s="1"/>
  <c r="M213" i="26"/>
  <c r="M217" i="26" s="1"/>
  <c r="L213" i="26"/>
  <c r="K213" i="26"/>
  <c r="K217" i="26" s="1"/>
  <c r="J213" i="26"/>
  <c r="J217" i="26" s="1"/>
  <c r="O211" i="26"/>
  <c r="N211" i="26"/>
  <c r="M211" i="26"/>
  <c r="L211" i="26"/>
  <c r="K211" i="26"/>
  <c r="J211" i="26"/>
  <c r="O210" i="26"/>
  <c r="N210" i="26"/>
  <c r="M210" i="26"/>
  <c r="L210" i="26"/>
  <c r="K210" i="26"/>
  <c r="J210" i="26"/>
  <c r="O209" i="26"/>
  <c r="N209" i="26"/>
  <c r="M209" i="26"/>
  <c r="L209" i="26"/>
  <c r="K209" i="26"/>
  <c r="J209" i="26"/>
  <c r="I207" i="26"/>
  <c r="I211" i="26" s="1"/>
  <c r="I206" i="26"/>
  <c r="I210" i="26" s="1"/>
  <c r="I205" i="26"/>
  <c r="I209" i="26" s="1"/>
  <c r="O204" i="26"/>
  <c r="O208" i="26" s="1"/>
  <c r="N204" i="26"/>
  <c r="N208" i="26" s="1"/>
  <c r="M204" i="26"/>
  <c r="M208" i="26" s="1"/>
  <c r="L204" i="26"/>
  <c r="L208" i="26" s="1"/>
  <c r="K204" i="26"/>
  <c r="K208" i="26" s="1"/>
  <c r="J204" i="26"/>
  <c r="J208" i="26" s="1"/>
  <c r="O202" i="26"/>
  <c r="N202" i="26"/>
  <c r="M202" i="26"/>
  <c r="L202" i="26"/>
  <c r="K202" i="26"/>
  <c r="J202" i="26"/>
  <c r="O201" i="26"/>
  <c r="N201" i="26"/>
  <c r="M201" i="26"/>
  <c r="L201" i="26"/>
  <c r="K201" i="26"/>
  <c r="J201" i="26"/>
  <c r="O200" i="26"/>
  <c r="N200" i="26"/>
  <c r="M200" i="26"/>
  <c r="L200" i="26"/>
  <c r="K200" i="26"/>
  <c r="J200" i="26"/>
  <c r="I198" i="26"/>
  <c r="I197" i="26"/>
  <c r="I196" i="26"/>
  <c r="O195" i="26"/>
  <c r="N195" i="26"/>
  <c r="M195" i="26"/>
  <c r="L195" i="26"/>
  <c r="K195" i="26"/>
  <c r="J195" i="26"/>
  <c r="I194" i="26"/>
  <c r="I193" i="26"/>
  <c r="I192" i="26"/>
  <c r="O191" i="26"/>
  <c r="N191" i="26"/>
  <c r="M191" i="26"/>
  <c r="L191" i="26"/>
  <c r="K191" i="26"/>
  <c r="J191" i="26"/>
  <c r="I190" i="26"/>
  <c r="I189" i="26"/>
  <c r="I188" i="26"/>
  <c r="O187" i="26"/>
  <c r="N187" i="26"/>
  <c r="M187" i="26"/>
  <c r="L187" i="26"/>
  <c r="K187" i="26"/>
  <c r="J187" i="26"/>
  <c r="I186" i="26"/>
  <c r="I185" i="26"/>
  <c r="I184" i="26"/>
  <c r="O183" i="26"/>
  <c r="N183" i="26"/>
  <c r="M183" i="26"/>
  <c r="L183" i="26"/>
  <c r="K183" i="26"/>
  <c r="J183" i="26"/>
  <c r="I182" i="26"/>
  <c r="I181" i="26"/>
  <c r="I180" i="26"/>
  <c r="O179" i="26"/>
  <c r="N179" i="26"/>
  <c r="M179" i="26"/>
  <c r="L179" i="26"/>
  <c r="K179" i="26"/>
  <c r="J179" i="26"/>
  <c r="I178" i="26"/>
  <c r="I177" i="26"/>
  <c r="I176" i="26"/>
  <c r="O175" i="26"/>
  <c r="N175" i="26"/>
  <c r="M175" i="26"/>
  <c r="L175" i="26"/>
  <c r="K175" i="26"/>
  <c r="J175" i="26"/>
  <c r="I174" i="26"/>
  <c r="I173" i="26"/>
  <c r="I172" i="26"/>
  <c r="O171" i="26"/>
  <c r="N171" i="26"/>
  <c r="M171" i="26"/>
  <c r="L171" i="26"/>
  <c r="I171" i="26" s="1"/>
  <c r="K171" i="26"/>
  <c r="J171" i="26"/>
  <c r="I170" i="26"/>
  <c r="I169" i="26"/>
  <c r="I168" i="26"/>
  <c r="O167" i="26"/>
  <c r="N167" i="26"/>
  <c r="M167" i="26"/>
  <c r="L167" i="26"/>
  <c r="K167" i="26"/>
  <c r="J167" i="26"/>
  <c r="I166" i="26"/>
  <c r="I165" i="26"/>
  <c r="I164" i="26"/>
  <c r="O163" i="26"/>
  <c r="N163" i="26"/>
  <c r="M163" i="26"/>
  <c r="L163" i="26"/>
  <c r="K163" i="26"/>
  <c r="J163" i="26"/>
  <c r="I162" i="26"/>
  <c r="I161" i="26"/>
  <c r="I160" i="26"/>
  <c r="O159" i="26"/>
  <c r="N159" i="26"/>
  <c r="M159" i="26"/>
  <c r="L159" i="26"/>
  <c r="K159" i="26"/>
  <c r="J159" i="26"/>
  <c r="I158" i="26"/>
  <c r="I157" i="26"/>
  <c r="I156" i="26"/>
  <c r="O155" i="26"/>
  <c r="N155" i="26"/>
  <c r="M155" i="26"/>
  <c r="L155" i="26"/>
  <c r="K155" i="26"/>
  <c r="J155" i="26"/>
  <c r="I154" i="26"/>
  <c r="I153" i="26"/>
  <c r="I152" i="26"/>
  <c r="O151" i="26"/>
  <c r="N151" i="26"/>
  <c r="M151" i="26"/>
  <c r="L151" i="26"/>
  <c r="K151" i="26"/>
  <c r="J151" i="26"/>
  <c r="O149" i="26"/>
  <c r="N149" i="26"/>
  <c r="M149" i="26"/>
  <c r="L149" i="26"/>
  <c r="K149" i="26"/>
  <c r="J149" i="26"/>
  <c r="I149" i="26"/>
  <c r="O148" i="26"/>
  <c r="N148" i="26"/>
  <c r="M148" i="26"/>
  <c r="L148" i="26"/>
  <c r="K148" i="26"/>
  <c r="J148" i="26"/>
  <c r="O147" i="26"/>
  <c r="N147" i="26"/>
  <c r="M147" i="26"/>
  <c r="L147" i="26"/>
  <c r="K147" i="26"/>
  <c r="J147" i="26"/>
  <c r="I145" i="26"/>
  <c r="I144" i="26"/>
  <c r="I148" i="26" s="1"/>
  <c r="I143" i="26"/>
  <c r="I147" i="26" s="1"/>
  <c r="O142" i="26"/>
  <c r="O146" i="26" s="1"/>
  <c r="N142" i="26"/>
  <c r="N146" i="26" s="1"/>
  <c r="M142" i="26"/>
  <c r="M146" i="26" s="1"/>
  <c r="L142" i="26"/>
  <c r="L146" i="26" s="1"/>
  <c r="K142" i="26"/>
  <c r="K146" i="26" s="1"/>
  <c r="J142" i="26"/>
  <c r="J146" i="26" s="1"/>
  <c r="O140" i="26"/>
  <c r="N140" i="26"/>
  <c r="M140" i="26"/>
  <c r="L140" i="26"/>
  <c r="K140" i="26"/>
  <c r="J140" i="26"/>
  <c r="O139" i="26"/>
  <c r="N139" i="26"/>
  <c r="M139" i="26"/>
  <c r="L139" i="26"/>
  <c r="K139" i="26"/>
  <c r="J139" i="26"/>
  <c r="O138" i="26"/>
  <c r="N138" i="26"/>
  <c r="M138" i="26"/>
  <c r="L138" i="26"/>
  <c r="K138" i="26"/>
  <c r="J138" i="26"/>
  <c r="I136" i="26"/>
  <c r="I140" i="26" s="1"/>
  <c r="I135" i="26"/>
  <c r="I139" i="26" s="1"/>
  <c r="I134" i="26"/>
  <c r="I138" i="26" s="1"/>
  <c r="O133" i="26"/>
  <c r="O137" i="26" s="1"/>
  <c r="N133" i="26"/>
  <c r="N137" i="26" s="1"/>
  <c r="M133" i="26"/>
  <c r="M137" i="26" s="1"/>
  <c r="L133" i="26"/>
  <c r="L137" i="26" s="1"/>
  <c r="K133" i="26"/>
  <c r="K137" i="26" s="1"/>
  <c r="J133" i="26"/>
  <c r="J137" i="26" s="1"/>
  <c r="O131" i="26"/>
  <c r="N131" i="26"/>
  <c r="M131" i="26"/>
  <c r="L131" i="26"/>
  <c r="K131" i="26"/>
  <c r="J131" i="26"/>
  <c r="O130" i="26"/>
  <c r="N130" i="26"/>
  <c r="M130" i="26"/>
  <c r="L130" i="26"/>
  <c r="K130" i="26"/>
  <c r="J130" i="26"/>
  <c r="O129" i="26"/>
  <c r="N129" i="26"/>
  <c r="M129" i="26"/>
  <c r="L129" i="26"/>
  <c r="K129" i="26"/>
  <c r="J129" i="26"/>
  <c r="K128" i="26"/>
  <c r="I127" i="26"/>
  <c r="I131" i="26" s="1"/>
  <c r="I126" i="26"/>
  <c r="I130" i="26" s="1"/>
  <c r="I125" i="26"/>
  <c r="I129" i="26" s="1"/>
  <c r="O124" i="26"/>
  <c r="O128" i="26" s="1"/>
  <c r="N124" i="26"/>
  <c r="N128" i="26" s="1"/>
  <c r="M124" i="26"/>
  <c r="M128" i="26" s="1"/>
  <c r="L124" i="26"/>
  <c r="L128" i="26" s="1"/>
  <c r="K124" i="26"/>
  <c r="J124" i="26"/>
  <c r="J128" i="26" s="1"/>
  <c r="O122" i="26"/>
  <c r="N122" i="26"/>
  <c r="M122" i="26"/>
  <c r="L122" i="26"/>
  <c r="K122" i="26"/>
  <c r="J122" i="26"/>
  <c r="O121" i="26"/>
  <c r="N121" i="26"/>
  <c r="M121" i="26"/>
  <c r="L121" i="26"/>
  <c r="K121" i="26"/>
  <c r="J121" i="26"/>
  <c r="O120" i="26"/>
  <c r="N120" i="26"/>
  <c r="M120" i="26"/>
  <c r="L120" i="26"/>
  <c r="K120" i="26"/>
  <c r="J120" i="26"/>
  <c r="I118" i="26"/>
  <c r="I117" i="26"/>
  <c r="I116" i="26"/>
  <c r="I120" i="26" s="1"/>
  <c r="O115" i="26"/>
  <c r="N115" i="26"/>
  <c r="M115" i="26"/>
  <c r="K115" i="26"/>
  <c r="J115" i="26"/>
  <c r="I115" i="26"/>
  <c r="I114" i="26"/>
  <c r="I122" i="26" s="1"/>
  <c r="I113" i="26"/>
  <c r="I112" i="26"/>
  <c r="O111" i="26"/>
  <c r="O119" i="26" s="1"/>
  <c r="N111" i="26"/>
  <c r="M111" i="26"/>
  <c r="M119" i="26" s="1"/>
  <c r="L111" i="26"/>
  <c r="L119" i="26" s="1"/>
  <c r="K111" i="26"/>
  <c r="K119" i="26" s="1"/>
  <c r="J111" i="26"/>
  <c r="I111" i="26" s="1"/>
  <c r="I119" i="26" s="1"/>
  <c r="O109" i="26"/>
  <c r="N109" i="26"/>
  <c r="M109" i="26"/>
  <c r="L109" i="26"/>
  <c r="K109" i="26"/>
  <c r="J109" i="26"/>
  <c r="O108" i="26"/>
  <c r="N108" i="26"/>
  <c r="M108" i="26"/>
  <c r="L108" i="26"/>
  <c r="K108" i="26"/>
  <c r="J108" i="26"/>
  <c r="O107" i="26"/>
  <c r="N107" i="26"/>
  <c r="M107" i="26"/>
  <c r="L107" i="26"/>
  <c r="K107" i="26"/>
  <c r="J107" i="26"/>
  <c r="I105" i="26"/>
  <c r="I109" i="26" s="1"/>
  <c r="I104" i="26"/>
  <c r="I108" i="26" s="1"/>
  <c r="I103" i="26"/>
  <c r="I107" i="26" s="1"/>
  <c r="O102" i="26"/>
  <c r="O106" i="26" s="1"/>
  <c r="N102" i="26"/>
  <c r="N106" i="26" s="1"/>
  <c r="M102" i="26"/>
  <c r="M106" i="26" s="1"/>
  <c r="L102" i="26"/>
  <c r="L106" i="26" s="1"/>
  <c r="K102" i="26"/>
  <c r="K106" i="26" s="1"/>
  <c r="J102" i="26"/>
  <c r="J106" i="26" s="1"/>
  <c r="O100" i="26"/>
  <c r="N100" i="26"/>
  <c r="M100" i="26"/>
  <c r="L100" i="26"/>
  <c r="K100" i="26"/>
  <c r="J100" i="26"/>
  <c r="I100" i="26"/>
  <c r="O99" i="26"/>
  <c r="N99" i="26"/>
  <c r="M99" i="26"/>
  <c r="L99" i="26"/>
  <c r="K99" i="26"/>
  <c r="J99" i="26"/>
  <c r="O98" i="26"/>
  <c r="N98" i="26"/>
  <c r="M98" i="26"/>
  <c r="L98" i="26"/>
  <c r="K98" i="26"/>
  <c r="J98" i="26"/>
  <c r="L97" i="26"/>
  <c r="I95" i="26"/>
  <c r="I94" i="26"/>
  <c r="I98" i="26" s="1"/>
  <c r="O93" i="26"/>
  <c r="N93" i="26"/>
  <c r="M93" i="26"/>
  <c r="L93" i="26"/>
  <c r="K93" i="26"/>
  <c r="J93" i="26"/>
  <c r="I91" i="26"/>
  <c r="I99" i="26" s="1"/>
  <c r="O89" i="26"/>
  <c r="N89" i="26"/>
  <c r="M89" i="26"/>
  <c r="L89" i="26"/>
  <c r="K89" i="26"/>
  <c r="J89" i="26"/>
  <c r="O87" i="26"/>
  <c r="N87" i="26"/>
  <c r="M87" i="26"/>
  <c r="L87" i="26"/>
  <c r="K87" i="26"/>
  <c r="J87" i="26"/>
  <c r="O86" i="26"/>
  <c r="N86" i="26"/>
  <c r="M86" i="26"/>
  <c r="L86" i="26"/>
  <c r="K86" i="26"/>
  <c r="J86" i="26"/>
  <c r="O85" i="26"/>
  <c r="N85" i="26"/>
  <c r="M85" i="26"/>
  <c r="L85" i="26"/>
  <c r="K85" i="26"/>
  <c r="J85" i="26"/>
  <c r="I83" i="26"/>
  <c r="I82" i="26"/>
  <c r="I81" i="26"/>
  <c r="O80" i="26"/>
  <c r="N80" i="26"/>
  <c r="M80" i="26"/>
  <c r="L80" i="26"/>
  <c r="K80" i="26"/>
  <c r="J80" i="26"/>
  <c r="I79" i="26"/>
  <c r="I78" i="26"/>
  <c r="I77" i="26"/>
  <c r="O76" i="26"/>
  <c r="N76" i="26"/>
  <c r="M76" i="26"/>
  <c r="L76" i="26"/>
  <c r="K76" i="26"/>
  <c r="J76" i="26"/>
  <c r="I75" i="26"/>
  <c r="I74" i="26"/>
  <c r="I73" i="26"/>
  <c r="O72" i="26"/>
  <c r="N72" i="26"/>
  <c r="M72" i="26"/>
  <c r="L72" i="26"/>
  <c r="K72" i="26"/>
  <c r="J72" i="26"/>
  <c r="I71" i="26"/>
  <c r="I70" i="26"/>
  <c r="I69" i="26"/>
  <c r="O68" i="26"/>
  <c r="O84" i="26" s="1"/>
  <c r="N68" i="26"/>
  <c r="M68" i="26"/>
  <c r="L68" i="26"/>
  <c r="K68" i="26"/>
  <c r="J68" i="26"/>
  <c r="O66" i="26"/>
  <c r="N66" i="26"/>
  <c r="M66" i="26"/>
  <c r="L66" i="26"/>
  <c r="K66" i="26"/>
  <c r="J66" i="26"/>
  <c r="O65" i="26"/>
  <c r="N65" i="26"/>
  <c r="M65" i="26"/>
  <c r="L65" i="26"/>
  <c r="K65" i="26"/>
  <c r="J65" i="26"/>
  <c r="O64" i="26"/>
  <c r="N64" i="26"/>
  <c r="M64" i="26"/>
  <c r="L64" i="26"/>
  <c r="K64" i="26"/>
  <c r="J64" i="26"/>
  <c r="I61" i="26"/>
  <c r="O59" i="26"/>
  <c r="N59" i="26"/>
  <c r="M59" i="26"/>
  <c r="L59" i="26"/>
  <c r="K59" i="26"/>
  <c r="J59" i="26"/>
  <c r="I57" i="26"/>
  <c r="I56" i="26"/>
  <c r="O55" i="26"/>
  <c r="N55" i="26"/>
  <c r="M55" i="26"/>
  <c r="L55" i="26"/>
  <c r="K55" i="26"/>
  <c r="J55" i="26"/>
  <c r="I53" i="26"/>
  <c r="O51" i="26"/>
  <c r="N51" i="26"/>
  <c r="M51" i="26"/>
  <c r="L51" i="26"/>
  <c r="K51" i="26"/>
  <c r="J51" i="26"/>
  <c r="I49" i="26"/>
  <c r="I48" i="26"/>
  <c r="O47" i="26"/>
  <c r="N47" i="26"/>
  <c r="M47" i="26"/>
  <c r="L47" i="26"/>
  <c r="K47" i="26"/>
  <c r="J47" i="26"/>
  <c r="I45" i="26"/>
  <c r="O43" i="26"/>
  <c r="N43" i="26"/>
  <c r="N63" i="26" s="1"/>
  <c r="M43" i="26"/>
  <c r="L43" i="26"/>
  <c r="K43" i="26"/>
  <c r="J43" i="26"/>
  <c r="I41" i="26"/>
  <c r="I40" i="26"/>
  <c r="O39" i="26"/>
  <c r="N39" i="26"/>
  <c r="M39" i="26"/>
  <c r="L39" i="26"/>
  <c r="K39" i="26"/>
  <c r="J39" i="26"/>
  <c r="I37" i="26"/>
  <c r="O35" i="26"/>
  <c r="N35" i="26"/>
  <c r="M35" i="26"/>
  <c r="L35" i="26"/>
  <c r="K35" i="26"/>
  <c r="J35" i="26"/>
  <c r="I33" i="26"/>
  <c r="I32" i="26"/>
  <c r="O31" i="26"/>
  <c r="N31" i="26"/>
  <c r="M31" i="26"/>
  <c r="L31" i="26"/>
  <c r="K31" i="26"/>
  <c r="J31" i="26"/>
  <c r="I29" i="26"/>
  <c r="O27" i="26"/>
  <c r="N27" i="26"/>
  <c r="M27" i="26"/>
  <c r="L27" i="26"/>
  <c r="K27" i="26"/>
  <c r="J27" i="26"/>
  <c r="I26" i="26"/>
  <c r="I66" i="26" s="1"/>
  <c r="I25" i="26"/>
  <c r="I24" i="26"/>
  <c r="O23" i="26"/>
  <c r="N23" i="26"/>
  <c r="M23" i="26"/>
  <c r="L23" i="26"/>
  <c r="K23" i="26"/>
  <c r="J23" i="26"/>
  <c r="O21" i="26"/>
  <c r="N21" i="26"/>
  <c r="M21" i="26"/>
  <c r="L21" i="26"/>
  <c r="K21" i="26"/>
  <c r="J21" i="26"/>
  <c r="O20" i="26"/>
  <c r="N20" i="26"/>
  <c r="M20" i="26"/>
  <c r="L20" i="26"/>
  <c r="K20" i="26"/>
  <c r="J20" i="26"/>
  <c r="O19" i="26"/>
  <c r="N19" i="26"/>
  <c r="M19" i="26"/>
  <c r="L19" i="26"/>
  <c r="K19" i="26"/>
  <c r="J19" i="26"/>
  <c r="I17" i="26"/>
  <c r="I16" i="26"/>
  <c r="I15" i="26"/>
  <c r="O14" i="26"/>
  <c r="N14" i="26"/>
  <c r="M14" i="26"/>
  <c r="L14" i="26"/>
  <c r="K14" i="26"/>
  <c r="J14" i="26"/>
  <c r="I13" i="26"/>
  <c r="I12" i="26"/>
  <c r="I11" i="26"/>
  <c r="O10" i="26"/>
  <c r="N10" i="26"/>
  <c r="M10" i="26"/>
  <c r="L10" i="26"/>
  <c r="K10" i="26"/>
  <c r="J10" i="26"/>
  <c r="I9" i="26"/>
  <c r="I21" i="26" s="1"/>
  <c r="I8" i="26"/>
  <c r="I7" i="26"/>
  <c r="O6" i="26"/>
  <c r="O18" i="26" s="1"/>
  <c r="N6" i="26"/>
  <c r="N18" i="26" s="1"/>
  <c r="M6" i="26"/>
  <c r="L6" i="26"/>
  <c r="K6" i="26"/>
  <c r="J6" i="26"/>
  <c r="I262" i="26" l="1"/>
  <c r="I324" i="26"/>
  <c r="I39" i="26"/>
  <c r="L294" i="26"/>
  <c r="K97" i="26"/>
  <c r="I336" i="26"/>
  <c r="N351" i="26"/>
  <c r="I187" i="26"/>
  <c r="O273" i="26"/>
  <c r="I332" i="26"/>
  <c r="M97" i="26"/>
  <c r="I167" i="26"/>
  <c r="O260" i="26"/>
  <c r="I275" i="26"/>
  <c r="L344" i="26"/>
  <c r="I328" i="26"/>
  <c r="L84" i="26"/>
  <c r="O199" i="26"/>
  <c r="I19" i="26"/>
  <c r="K63" i="26"/>
  <c r="O349" i="26"/>
  <c r="M84" i="26"/>
  <c r="L243" i="26"/>
  <c r="I248" i="26"/>
  <c r="I260" i="26" s="1"/>
  <c r="I307" i="26"/>
  <c r="N344" i="26"/>
  <c r="I35" i="26"/>
  <c r="N273" i="26"/>
  <c r="M294" i="26"/>
  <c r="J349" i="26"/>
  <c r="L350" i="26"/>
  <c r="I191" i="26"/>
  <c r="K344" i="26"/>
  <c r="I72" i="26"/>
  <c r="I155" i="26"/>
  <c r="I163" i="26"/>
  <c r="I31" i="26"/>
  <c r="I76" i="26"/>
  <c r="I20" i="26"/>
  <c r="L63" i="26"/>
  <c r="I47" i="26"/>
  <c r="I55" i="26"/>
  <c r="N84" i="26"/>
  <c r="O243" i="26"/>
  <c r="N311" i="26"/>
  <c r="O344" i="26"/>
  <c r="I226" i="26"/>
  <c r="K260" i="26"/>
  <c r="I286" i="26"/>
  <c r="I290" i="26"/>
  <c r="I345" i="26"/>
  <c r="O351" i="26"/>
  <c r="I51" i="26"/>
  <c r="N97" i="26"/>
  <c r="I121" i="26"/>
  <c r="L349" i="26"/>
  <c r="I64" i="26"/>
  <c r="O350" i="26"/>
  <c r="I102" i="26"/>
  <c r="I106" i="26" s="1"/>
  <c r="I213" i="26"/>
  <c r="I217" i="26" s="1"/>
  <c r="K230" i="26"/>
  <c r="I27" i="26"/>
  <c r="I202" i="26"/>
  <c r="I175" i="26"/>
  <c r="J351" i="26"/>
  <c r="I316" i="26"/>
  <c r="I320" i="26"/>
  <c r="K351" i="26"/>
  <c r="M63" i="26"/>
  <c r="I86" i="26"/>
  <c r="J97" i="26"/>
  <c r="N119" i="26"/>
  <c r="N348" i="26" s="1"/>
  <c r="L199" i="26"/>
  <c r="I179" i="26"/>
  <c r="I183" i="26"/>
  <c r="O230" i="26"/>
  <c r="I239" i="26"/>
  <c r="J273" i="26"/>
  <c r="I269" i="26"/>
  <c r="I303" i="26"/>
  <c r="M350" i="26"/>
  <c r="I222" i="26"/>
  <c r="I43" i="26"/>
  <c r="I142" i="26"/>
  <c r="I146" i="26" s="1"/>
  <c r="I245" i="26"/>
  <c r="I276" i="26"/>
  <c r="I93" i="26"/>
  <c r="K199" i="26"/>
  <c r="M260" i="26"/>
  <c r="I10" i="26"/>
  <c r="L351" i="26"/>
  <c r="I68" i="26"/>
  <c r="M199" i="26"/>
  <c r="I159" i="26"/>
  <c r="K243" i="26"/>
  <c r="M243" i="26"/>
  <c r="M348" i="26" s="1"/>
  <c r="I265" i="26"/>
  <c r="K311" i="26"/>
  <c r="I313" i="26"/>
  <c r="K349" i="26"/>
  <c r="I200" i="26"/>
  <c r="N350" i="26"/>
  <c r="I65" i="26"/>
  <c r="I350" i="26" s="1"/>
  <c r="O97" i="26"/>
  <c r="N349" i="26"/>
  <c r="I201" i="26"/>
  <c r="I195" i="26"/>
  <c r="I282" i="26"/>
  <c r="M349" i="26"/>
  <c r="I80" i="26"/>
  <c r="J119" i="26"/>
  <c r="I151" i="26"/>
  <c r="I85" i="26"/>
  <c r="N260" i="26"/>
  <c r="I14" i="26"/>
  <c r="J350" i="26"/>
  <c r="I87" i="26"/>
  <c r="M18" i="26"/>
  <c r="L18" i="26"/>
  <c r="K18" i="26"/>
  <c r="K350" i="26"/>
  <c r="M351" i="26"/>
  <c r="I59" i="26"/>
  <c r="K84" i="26"/>
  <c r="I124" i="26"/>
  <c r="I128" i="26" s="1"/>
  <c r="N199" i="26"/>
  <c r="I232" i="26"/>
  <c r="I256" i="26"/>
  <c r="L273" i="26"/>
  <c r="M311" i="26"/>
  <c r="L311" i="26"/>
  <c r="J311" i="26"/>
  <c r="I294" i="26"/>
  <c r="I351" i="26"/>
  <c r="I84" i="26"/>
  <c r="O63" i="26"/>
  <c r="J344" i="26"/>
  <c r="J230" i="26"/>
  <c r="K294" i="26"/>
  <c r="J199" i="26"/>
  <c r="I89" i="26"/>
  <c r="I133" i="26"/>
  <c r="I137" i="26" s="1"/>
  <c r="I204" i="26"/>
  <c r="I208" i="26" s="1"/>
  <c r="I299" i="26"/>
  <c r="I23" i="26"/>
  <c r="I235" i="26"/>
  <c r="J84" i="26"/>
  <c r="J18" i="26"/>
  <c r="I6" i="26"/>
  <c r="J63" i="26"/>
  <c r="L348" i="26" l="1"/>
  <c r="I243" i="26"/>
  <c r="I199" i="26"/>
  <c r="I230" i="26"/>
  <c r="K348" i="26"/>
  <c r="I273" i="26"/>
  <c r="I349" i="26"/>
  <c r="I63" i="26"/>
  <c r="I348" i="26" s="1"/>
  <c r="I311" i="26"/>
  <c r="O348" i="26"/>
  <c r="I344" i="26"/>
  <c r="I18" i="26"/>
  <c r="I97" i="26"/>
  <c r="J348" i="26"/>
  <c r="O214" i="25" l="1"/>
  <c r="N214" i="25"/>
  <c r="M214" i="25"/>
  <c r="L214" i="25"/>
  <c r="K214" i="25"/>
  <c r="J214" i="25"/>
  <c r="I214" i="25"/>
  <c r="O213" i="25"/>
  <c r="N213" i="25"/>
  <c r="M213" i="25"/>
  <c r="J213" i="25"/>
  <c r="O212" i="25"/>
  <c r="N212" i="25"/>
  <c r="M212" i="25"/>
  <c r="L212" i="25"/>
  <c r="K212" i="25"/>
  <c r="J212" i="25"/>
  <c r="I209" i="25"/>
  <c r="I208" i="25"/>
  <c r="I207" i="25"/>
  <c r="I205" i="25"/>
  <c r="I204" i="25"/>
  <c r="O203" i="25"/>
  <c r="N203" i="25"/>
  <c r="K203" i="25"/>
  <c r="J203" i="25"/>
  <c r="L200" i="25"/>
  <c r="I200" i="25"/>
  <c r="O199" i="25"/>
  <c r="N199" i="25"/>
  <c r="K199" i="25"/>
  <c r="J199" i="25"/>
  <c r="L196" i="25"/>
  <c r="L197" i="25" s="1"/>
  <c r="K196" i="25"/>
  <c r="I196" i="25" s="1"/>
  <c r="O195" i="25"/>
  <c r="N195" i="25"/>
  <c r="M195" i="25"/>
  <c r="J195" i="25"/>
  <c r="I193" i="25"/>
  <c r="I192" i="25"/>
  <c r="O191" i="25"/>
  <c r="N191" i="25"/>
  <c r="M191" i="25"/>
  <c r="L191" i="25"/>
  <c r="J191" i="25"/>
  <c r="I189" i="25"/>
  <c r="I188" i="25"/>
  <c r="O187" i="25"/>
  <c r="N187" i="25"/>
  <c r="M187" i="25"/>
  <c r="L187" i="25"/>
  <c r="K187" i="25"/>
  <c r="J187" i="25"/>
  <c r="I185" i="25"/>
  <c r="I184" i="25"/>
  <c r="I183" i="25"/>
  <c r="I181" i="25"/>
  <c r="I180" i="25"/>
  <c r="I179" i="25"/>
  <c r="I177" i="25"/>
  <c r="I176" i="25"/>
  <c r="I175" i="25"/>
  <c r="I173" i="25"/>
  <c r="I172" i="25"/>
  <c r="O171" i="25"/>
  <c r="N171" i="25"/>
  <c r="M171" i="25"/>
  <c r="L171" i="25"/>
  <c r="K171" i="25"/>
  <c r="J171" i="25"/>
  <c r="O169" i="25"/>
  <c r="N169" i="25"/>
  <c r="M169" i="25"/>
  <c r="L169" i="25"/>
  <c r="K169" i="25"/>
  <c r="J169" i="25"/>
  <c r="I169" i="25"/>
  <c r="O168" i="25"/>
  <c r="N168" i="25"/>
  <c r="M168" i="25"/>
  <c r="L168" i="25"/>
  <c r="K168" i="25"/>
  <c r="J168" i="25"/>
  <c r="O167" i="25"/>
  <c r="N167" i="25"/>
  <c r="M167" i="25"/>
  <c r="L167" i="25"/>
  <c r="K167" i="25"/>
  <c r="J167" i="25"/>
  <c r="I167" i="25"/>
  <c r="J166" i="25"/>
  <c r="I164" i="25"/>
  <c r="I168" i="25" s="1"/>
  <c r="O162" i="25"/>
  <c r="O166" i="25" s="1"/>
  <c r="N162" i="25"/>
  <c r="N166" i="25" s="1"/>
  <c r="M162" i="25"/>
  <c r="M166" i="25" s="1"/>
  <c r="L162" i="25"/>
  <c r="L166" i="25" s="1"/>
  <c r="K162" i="25"/>
  <c r="K166" i="25" s="1"/>
  <c r="J162" i="25"/>
  <c r="O160" i="25"/>
  <c r="N160" i="25"/>
  <c r="M160" i="25"/>
  <c r="L160" i="25"/>
  <c r="K160" i="25"/>
  <c r="J160" i="25"/>
  <c r="I160" i="25"/>
  <c r="O159" i="25"/>
  <c r="N159" i="25"/>
  <c r="M159" i="25"/>
  <c r="L159" i="25"/>
  <c r="K159" i="25"/>
  <c r="J159" i="25"/>
  <c r="O158" i="25"/>
  <c r="N158" i="25"/>
  <c r="M158" i="25"/>
  <c r="L158" i="25"/>
  <c r="K158" i="25"/>
  <c r="J158" i="25"/>
  <c r="I155" i="25"/>
  <c r="I154" i="25"/>
  <c r="O153" i="25"/>
  <c r="N153" i="25"/>
  <c r="M153" i="25"/>
  <c r="L153" i="25"/>
  <c r="K153" i="25"/>
  <c r="J153" i="25"/>
  <c r="I151" i="25"/>
  <c r="I150" i="25"/>
  <c r="O149" i="25"/>
  <c r="N149" i="25"/>
  <c r="M149" i="25"/>
  <c r="I149" i="25" s="1"/>
  <c r="L149" i="25"/>
  <c r="K149" i="25"/>
  <c r="J149" i="25"/>
  <c r="I147" i="25"/>
  <c r="I146" i="25"/>
  <c r="O145" i="25"/>
  <c r="N145" i="25"/>
  <c r="I145" i="25" s="1"/>
  <c r="M145" i="25"/>
  <c r="L145" i="25"/>
  <c r="K145" i="25"/>
  <c r="J145" i="25"/>
  <c r="I143" i="25"/>
  <c r="I142" i="25"/>
  <c r="O141" i="25"/>
  <c r="N141" i="25"/>
  <c r="M141" i="25"/>
  <c r="L141" i="25"/>
  <c r="K141" i="25"/>
  <c r="J141" i="25"/>
  <c r="I139" i="25"/>
  <c r="I138" i="25"/>
  <c r="O137" i="25"/>
  <c r="N137" i="25"/>
  <c r="M137" i="25"/>
  <c r="L137" i="25"/>
  <c r="K137" i="25"/>
  <c r="J137" i="25"/>
  <c r="I135" i="25"/>
  <c r="I134" i="25"/>
  <c r="O133" i="25"/>
  <c r="N133" i="25"/>
  <c r="M133" i="25"/>
  <c r="L133" i="25"/>
  <c r="K133" i="25"/>
  <c r="J133" i="25"/>
  <c r="I131" i="25"/>
  <c r="I130" i="25"/>
  <c r="O129" i="25"/>
  <c r="N129" i="25"/>
  <c r="M129" i="25"/>
  <c r="L129" i="25"/>
  <c r="K129" i="25"/>
  <c r="J129" i="25"/>
  <c r="I127" i="25"/>
  <c r="I126" i="25"/>
  <c r="O125" i="25"/>
  <c r="N125" i="25"/>
  <c r="M125" i="25"/>
  <c r="L125" i="25"/>
  <c r="K125" i="25"/>
  <c r="J125" i="25"/>
  <c r="I123" i="25"/>
  <c r="I122" i="25"/>
  <c r="O121" i="25"/>
  <c r="N121" i="25"/>
  <c r="M121" i="25"/>
  <c r="L121" i="25"/>
  <c r="K121" i="25"/>
  <c r="J121" i="25"/>
  <c r="I119" i="25"/>
  <c r="I118" i="25"/>
  <c r="O117" i="25"/>
  <c r="N117" i="25"/>
  <c r="M117" i="25"/>
  <c r="L117" i="25"/>
  <c r="K117" i="25"/>
  <c r="J117" i="25"/>
  <c r="I115" i="25"/>
  <c r="I114" i="25"/>
  <c r="O113" i="25"/>
  <c r="N113" i="25"/>
  <c r="N157" i="25" s="1"/>
  <c r="M113" i="25"/>
  <c r="L113" i="25"/>
  <c r="K113" i="25"/>
  <c r="K157" i="25" s="1"/>
  <c r="J113" i="25"/>
  <c r="O111" i="25"/>
  <c r="N111" i="25"/>
  <c r="M111" i="25"/>
  <c r="L111" i="25"/>
  <c r="K111" i="25"/>
  <c r="J111" i="25"/>
  <c r="O110" i="25"/>
  <c r="N110" i="25"/>
  <c r="M110" i="25"/>
  <c r="L110" i="25"/>
  <c r="K110" i="25"/>
  <c r="J110" i="25"/>
  <c r="O109" i="25"/>
  <c r="N109" i="25"/>
  <c r="M109" i="25"/>
  <c r="L109" i="25"/>
  <c r="K109" i="25"/>
  <c r="J109" i="25"/>
  <c r="I106" i="25"/>
  <c r="I105" i="25"/>
  <c r="O104" i="25"/>
  <c r="N104" i="25"/>
  <c r="M104" i="25"/>
  <c r="L104" i="25"/>
  <c r="K104" i="25"/>
  <c r="J104" i="25"/>
  <c r="I103" i="25"/>
  <c r="I102" i="25"/>
  <c r="I101" i="25"/>
  <c r="O100" i="25"/>
  <c r="N100" i="25"/>
  <c r="M100" i="25"/>
  <c r="L100" i="25"/>
  <c r="K100" i="25"/>
  <c r="J100" i="25"/>
  <c r="I100" i="25" s="1"/>
  <c r="I98" i="25"/>
  <c r="I97" i="25"/>
  <c r="O96" i="25"/>
  <c r="N96" i="25"/>
  <c r="M96" i="25"/>
  <c r="L96" i="25"/>
  <c r="K96" i="25"/>
  <c r="J96" i="25"/>
  <c r="I96" i="25" s="1"/>
  <c r="I94" i="25"/>
  <c r="I93" i="25"/>
  <c r="O92" i="25"/>
  <c r="N92" i="25"/>
  <c r="M92" i="25"/>
  <c r="L92" i="25"/>
  <c r="K92" i="25"/>
  <c r="J92" i="25"/>
  <c r="I91" i="25"/>
  <c r="I90" i="25"/>
  <c r="I89" i="25"/>
  <c r="O88" i="25"/>
  <c r="N88" i="25"/>
  <c r="M88" i="25"/>
  <c r="L88" i="25"/>
  <c r="K88" i="25"/>
  <c r="J88" i="25"/>
  <c r="I86" i="25"/>
  <c r="I85" i="25"/>
  <c r="O84" i="25"/>
  <c r="N84" i="25"/>
  <c r="M84" i="25"/>
  <c r="L84" i="25"/>
  <c r="K84" i="25"/>
  <c r="J84" i="25"/>
  <c r="I83" i="25"/>
  <c r="I82" i="25"/>
  <c r="O80" i="25"/>
  <c r="N80" i="25"/>
  <c r="M80" i="25"/>
  <c r="L80" i="25"/>
  <c r="K80" i="25"/>
  <c r="J80" i="25"/>
  <c r="I79" i="25"/>
  <c r="I78" i="25"/>
  <c r="I77" i="25"/>
  <c r="O76" i="25"/>
  <c r="N76" i="25"/>
  <c r="M76" i="25"/>
  <c r="L76" i="25"/>
  <c r="K76" i="25"/>
  <c r="J76" i="25"/>
  <c r="I75" i="25"/>
  <c r="I74" i="25"/>
  <c r="O72" i="25"/>
  <c r="N72" i="25"/>
  <c r="M72" i="25"/>
  <c r="L72" i="25"/>
  <c r="K72" i="25"/>
  <c r="J72" i="25"/>
  <c r="I71" i="25"/>
  <c r="I70" i="25"/>
  <c r="O68" i="25"/>
  <c r="N68" i="25"/>
  <c r="M68" i="25"/>
  <c r="L68" i="25"/>
  <c r="K68" i="25"/>
  <c r="J68" i="25"/>
  <c r="I67" i="25"/>
  <c r="I66" i="25"/>
  <c r="O64" i="25"/>
  <c r="N64" i="25"/>
  <c r="M64" i="25"/>
  <c r="L64" i="25"/>
  <c r="K64" i="25"/>
  <c r="J64" i="25"/>
  <c r="I63" i="25"/>
  <c r="I62" i="25"/>
  <c r="I61" i="25"/>
  <c r="O60" i="25"/>
  <c r="N60" i="25"/>
  <c r="M60" i="25"/>
  <c r="L60" i="25"/>
  <c r="K60" i="25"/>
  <c r="J60" i="25"/>
  <c r="I59" i="25"/>
  <c r="I58" i="25"/>
  <c r="O56" i="25"/>
  <c r="N56" i="25"/>
  <c r="M56" i="25"/>
  <c r="L56" i="25"/>
  <c r="K56" i="25"/>
  <c r="J56" i="25"/>
  <c r="I55" i="25"/>
  <c r="I54" i="25"/>
  <c r="I53" i="25"/>
  <c r="O52" i="25"/>
  <c r="N52" i="25"/>
  <c r="M52" i="25"/>
  <c r="L52" i="25"/>
  <c r="K52" i="25"/>
  <c r="J52" i="25"/>
  <c r="I52" i="25"/>
  <c r="I50" i="25"/>
  <c r="I110" i="25" s="1"/>
  <c r="I49" i="25"/>
  <c r="O48" i="25"/>
  <c r="N48" i="25"/>
  <c r="M48" i="25"/>
  <c r="L48" i="25"/>
  <c r="K48" i="25"/>
  <c r="J48" i="25"/>
  <c r="I48" i="25"/>
  <c r="I46" i="25"/>
  <c r="I45" i="25"/>
  <c r="O44" i="25"/>
  <c r="N44" i="25"/>
  <c r="M44" i="25"/>
  <c r="L44" i="25"/>
  <c r="K44" i="25"/>
  <c r="J44" i="25"/>
  <c r="I44" i="25" s="1"/>
  <c r="I42" i="25"/>
  <c r="I41" i="25"/>
  <c r="O40" i="25"/>
  <c r="N40" i="25"/>
  <c r="M40" i="25"/>
  <c r="L40" i="25"/>
  <c r="K40" i="25"/>
  <c r="J40" i="25"/>
  <c r="I40" i="25" s="1"/>
  <c r="I38" i="25"/>
  <c r="I37" i="25"/>
  <c r="O36" i="25"/>
  <c r="N36" i="25"/>
  <c r="M36" i="25"/>
  <c r="L36" i="25"/>
  <c r="K36" i="25"/>
  <c r="J36" i="25"/>
  <c r="I34" i="25"/>
  <c r="O32" i="25"/>
  <c r="N32" i="25"/>
  <c r="M32" i="25"/>
  <c r="L32" i="25"/>
  <c r="K32" i="25"/>
  <c r="J32" i="25"/>
  <c r="I31" i="25"/>
  <c r="I30" i="25"/>
  <c r="I29" i="25"/>
  <c r="O28" i="25"/>
  <c r="N28" i="25"/>
  <c r="M28" i="25"/>
  <c r="L28" i="25"/>
  <c r="K28" i="25"/>
  <c r="J28" i="25"/>
  <c r="J108" i="25" s="1"/>
  <c r="O26" i="25"/>
  <c r="N26" i="25"/>
  <c r="M26" i="25"/>
  <c r="L26" i="25"/>
  <c r="K26" i="25"/>
  <c r="J26" i="25"/>
  <c r="O25" i="25"/>
  <c r="N25" i="25"/>
  <c r="M25" i="25"/>
  <c r="L25" i="25"/>
  <c r="K25" i="25"/>
  <c r="J25" i="25"/>
  <c r="I25" i="25"/>
  <c r="O24" i="25"/>
  <c r="N24" i="25"/>
  <c r="M24" i="25"/>
  <c r="L24" i="25"/>
  <c r="K24" i="25"/>
  <c r="J24" i="25"/>
  <c r="I24" i="25"/>
  <c r="K23" i="25"/>
  <c r="I22" i="25"/>
  <c r="I26" i="25" s="1"/>
  <c r="O19" i="25"/>
  <c r="O23" i="25" s="1"/>
  <c r="N19" i="25"/>
  <c r="N23" i="25" s="1"/>
  <c r="M19" i="25"/>
  <c r="M23" i="25" s="1"/>
  <c r="L19" i="25"/>
  <c r="L23" i="25" s="1"/>
  <c r="K19" i="25"/>
  <c r="J19" i="25"/>
  <c r="J23" i="25" s="1"/>
  <c r="O17" i="25"/>
  <c r="N17" i="25"/>
  <c r="M17" i="25"/>
  <c r="L17" i="25"/>
  <c r="L218" i="25" s="1"/>
  <c r="K17" i="25"/>
  <c r="J17" i="25"/>
  <c r="O16" i="25"/>
  <c r="N16" i="25"/>
  <c r="M16" i="25"/>
  <c r="L16" i="25"/>
  <c r="K16" i="25"/>
  <c r="J16" i="25"/>
  <c r="O15" i="25"/>
  <c r="N15" i="25"/>
  <c r="M15" i="25"/>
  <c r="L15" i="25"/>
  <c r="K15" i="25"/>
  <c r="J15" i="25"/>
  <c r="O14" i="25"/>
  <c r="K14" i="25"/>
  <c r="J14" i="25"/>
  <c r="I13" i="25"/>
  <c r="I12" i="25"/>
  <c r="I11" i="25"/>
  <c r="O10" i="25"/>
  <c r="N10" i="25"/>
  <c r="N14" i="25" s="1"/>
  <c r="M10" i="25"/>
  <c r="M14" i="25" s="1"/>
  <c r="L10" i="25"/>
  <c r="L14" i="25" s="1"/>
  <c r="I9" i="25"/>
  <c r="I17" i="25" s="1"/>
  <c r="I8" i="25"/>
  <c r="I7" i="25"/>
  <c r="I6" i="25"/>
  <c r="N211" i="25" l="1"/>
  <c r="N218" i="25"/>
  <c r="O218" i="25"/>
  <c r="I117" i="25"/>
  <c r="I133" i="25"/>
  <c r="I141" i="25"/>
  <c r="L157" i="25"/>
  <c r="J211" i="25"/>
  <c r="J216" i="25"/>
  <c r="M217" i="25"/>
  <c r="M108" i="25"/>
  <c r="I76" i="25"/>
  <c r="I92" i="25"/>
  <c r="M157" i="25"/>
  <c r="K195" i="25"/>
  <c r="I195" i="25" s="1"/>
  <c r="K197" i="25"/>
  <c r="M218" i="25"/>
  <c r="I72" i="25"/>
  <c r="L195" i="25"/>
  <c r="I129" i="25"/>
  <c r="I137" i="25"/>
  <c r="O211" i="25"/>
  <c r="L108" i="25"/>
  <c r="O217" i="25"/>
  <c r="I125" i="25"/>
  <c r="O108" i="25"/>
  <c r="O157" i="25"/>
  <c r="I187" i="25"/>
  <c r="I191" i="25"/>
  <c r="I203" i="25"/>
  <c r="K108" i="25"/>
  <c r="I88" i="25"/>
  <c r="K216" i="25"/>
  <c r="I36" i="25"/>
  <c r="I212" i="25"/>
  <c r="I15" i="25"/>
  <c r="I216" i="25" s="1"/>
  <c r="N217" i="25"/>
  <c r="I32" i="25"/>
  <c r="I56" i="25"/>
  <c r="I60" i="25"/>
  <c r="I104" i="25"/>
  <c r="M216" i="25"/>
  <c r="N108" i="25"/>
  <c r="N215" i="25" s="1"/>
  <c r="I64" i="25"/>
  <c r="I68" i="25"/>
  <c r="I111" i="25"/>
  <c r="I218" i="25" s="1"/>
  <c r="N216" i="25"/>
  <c r="O216" i="25"/>
  <c r="J218" i="25"/>
  <c r="I109" i="25"/>
  <c r="I113" i="25"/>
  <c r="I159" i="25"/>
  <c r="I158" i="25"/>
  <c r="I162" i="25"/>
  <c r="I166" i="25" s="1"/>
  <c r="L216" i="25"/>
  <c r="I16" i="25"/>
  <c r="J217" i="25"/>
  <c r="K218" i="25"/>
  <c r="I80" i="25"/>
  <c r="I84" i="25"/>
  <c r="J157" i="25"/>
  <c r="J215" i="25" s="1"/>
  <c r="I153" i="25"/>
  <c r="M211" i="25"/>
  <c r="I121" i="25"/>
  <c r="I19" i="25"/>
  <c r="I23" i="25" s="1"/>
  <c r="I10" i="25"/>
  <c r="I14" i="25" s="1"/>
  <c r="I28" i="25"/>
  <c r="I171" i="25"/>
  <c r="L201" i="25"/>
  <c r="L199" i="25" s="1"/>
  <c r="O215" i="25" l="1"/>
  <c r="M215" i="25"/>
  <c r="K211" i="25"/>
  <c r="K215" i="25"/>
  <c r="K213" i="25"/>
  <c r="K217" i="25" s="1"/>
  <c r="I197" i="25"/>
  <c r="I199" i="25"/>
  <c r="I211" i="25" s="1"/>
  <c r="L211" i="25"/>
  <c r="L215" i="25" s="1"/>
  <c r="I108" i="25"/>
  <c r="I157" i="25"/>
  <c r="L213" i="25"/>
  <c r="L217" i="25" s="1"/>
  <c r="I201" i="25"/>
  <c r="I213" i="25" s="1"/>
  <c r="I217" i="25" s="1"/>
  <c r="I215" i="25" l="1"/>
  <c r="O212" i="24"/>
  <c r="N212" i="24"/>
  <c r="M212" i="24"/>
  <c r="L212" i="24"/>
  <c r="K212" i="24"/>
  <c r="J212" i="24"/>
  <c r="I212" i="24"/>
  <c r="O211" i="24"/>
  <c r="N211" i="24"/>
  <c r="M211" i="24"/>
  <c r="L211" i="24"/>
  <c r="K211" i="24"/>
  <c r="J211" i="24"/>
  <c r="O210" i="24"/>
  <c r="N210" i="24"/>
  <c r="M210" i="24"/>
  <c r="L210" i="24"/>
  <c r="K210" i="24"/>
  <c r="J210" i="24"/>
  <c r="I210" i="24"/>
  <c r="J209" i="24"/>
  <c r="I207" i="24"/>
  <c r="O205" i="24"/>
  <c r="I205" i="24" s="1"/>
  <c r="N205" i="24"/>
  <c r="M205" i="24"/>
  <c r="L205" i="24"/>
  <c r="K205" i="24"/>
  <c r="J205" i="24"/>
  <c r="I203" i="24"/>
  <c r="I211" i="24" s="1"/>
  <c r="O201" i="24"/>
  <c r="O209" i="24" s="1"/>
  <c r="N201" i="24"/>
  <c r="N209" i="24" s="1"/>
  <c r="M201" i="24"/>
  <c r="M209" i="24" s="1"/>
  <c r="L201" i="24"/>
  <c r="L209" i="24" s="1"/>
  <c r="K201" i="24"/>
  <c r="K209" i="24" s="1"/>
  <c r="J201" i="24"/>
  <c r="O199" i="24"/>
  <c r="N199" i="24"/>
  <c r="M199" i="24"/>
  <c r="L199" i="24"/>
  <c r="K199" i="24"/>
  <c r="J199" i="24"/>
  <c r="I199" i="24"/>
  <c r="O198" i="24"/>
  <c r="N198" i="24"/>
  <c r="M198" i="24"/>
  <c r="L198" i="24"/>
  <c r="K198" i="24"/>
  <c r="J198" i="24"/>
  <c r="O197" i="24"/>
  <c r="N197" i="24"/>
  <c r="M197" i="24"/>
  <c r="L197" i="24"/>
  <c r="K197" i="24"/>
  <c r="J197" i="24"/>
  <c r="I197" i="24"/>
  <c r="I194" i="24"/>
  <c r="I198" i="24" s="1"/>
  <c r="O192" i="24"/>
  <c r="O196" i="24" s="1"/>
  <c r="N192" i="24"/>
  <c r="N196" i="24" s="1"/>
  <c r="M192" i="24"/>
  <c r="M196" i="24" s="1"/>
  <c r="L192" i="24"/>
  <c r="L196" i="24" s="1"/>
  <c r="K192" i="24"/>
  <c r="K196" i="24" s="1"/>
  <c r="J192" i="24"/>
  <c r="J196" i="24" s="1"/>
  <c r="O190" i="24"/>
  <c r="N190" i="24"/>
  <c r="M190" i="24"/>
  <c r="L190" i="24"/>
  <c r="K190" i="24"/>
  <c r="J190" i="24"/>
  <c r="I190" i="24"/>
  <c r="O189" i="24"/>
  <c r="N189" i="24"/>
  <c r="M189" i="24"/>
  <c r="L189" i="24"/>
  <c r="K189" i="24"/>
  <c r="J189" i="24"/>
  <c r="O188" i="24"/>
  <c r="N188" i="24"/>
  <c r="M188" i="24"/>
  <c r="L188" i="24"/>
  <c r="K188" i="24"/>
  <c r="J188" i="24"/>
  <c r="I188" i="24"/>
  <c r="I185" i="24"/>
  <c r="O183" i="24"/>
  <c r="N183" i="24"/>
  <c r="M183" i="24"/>
  <c r="L183" i="24"/>
  <c r="K183" i="24"/>
  <c r="J183" i="24"/>
  <c r="I181" i="24"/>
  <c r="O179" i="24"/>
  <c r="N179" i="24"/>
  <c r="M179" i="24"/>
  <c r="L179" i="24"/>
  <c r="K179" i="24"/>
  <c r="J179" i="24"/>
  <c r="I177" i="24"/>
  <c r="O175" i="24"/>
  <c r="N175" i="24"/>
  <c r="M175" i="24"/>
  <c r="L175" i="24"/>
  <c r="K175" i="24"/>
  <c r="J175" i="24"/>
  <c r="I173" i="24"/>
  <c r="O171" i="24"/>
  <c r="N171" i="24"/>
  <c r="M171" i="24"/>
  <c r="L171" i="24"/>
  <c r="K171" i="24"/>
  <c r="K187" i="24" s="1"/>
  <c r="J171" i="24"/>
  <c r="J187" i="24" s="1"/>
  <c r="O169" i="24"/>
  <c r="N169" i="24"/>
  <c r="M169" i="24"/>
  <c r="L169" i="24"/>
  <c r="K169" i="24"/>
  <c r="J169" i="24"/>
  <c r="I169" i="24"/>
  <c r="O168" i="24"/>
  <c r="N168" i="24"/>
  <c r="M168" i="24"/>
  <c r="L168" i="24"/>
  <c r="K168" i="24"/>
  <c r="J168" i="24"/>
  <c r="I168" i="24"/>
  <c r="O167" i="24"/>
  <c r="N167" i="24"/>
  <c r="M167" i="24"/>
  <c r="L167" i="24"/>
  <c r="K167" i="24"/>
  <c r="J167" i="24"/>
  <c r="I167" i="24"/>
  <c r="O166" i="24"/>
  <c r="N166" i="24"/>
  <c r="I164" i="24"/>
  <c r="O162" i="24"/>
  <c r="N162" i="24"/>
  <c r="M162" i="24"/>
  <c r="L162" i="24"/>
  <c r="L166" i="24" s="1"/>
  <c r="K162" i="24"/>
  <c r="K166" i="24" s="1"/>
  <c r="J162" i="24"/>
  <c r="J166" i="24" s="1"/>
  <c r="O160" i="24"/>
  <c r="N160" i="24"/>
  <c r="M160" i="24"/>
  <c r="L160" i="24"/>
  <c r="K160" i="24"/>
  <c r="J160" i="24"/>
  <c r="I160" i="24"/>
  <c r="O159" i="24"/>
  <c r="N159" i="24"/>
  <c r="M159" i="24"/>
  <c r="L159" i="24"/>
  <c r="K159" i="24"/>
  <c r="J159" i="24"/>
  <c r="O158" i="24"/>
  <c r="N158" i="24"/>
  <c r="M158" i="24"/>
  <c r="L158" i="24"/>
  <c r="K158" i="24"/>
  <c r="J158" i="24"/>
  <c r="I158" i="24"/>
  <c r="K157" i="24"/>
  <c r="I155" i="24"/>
  <c r="I159" i="24" s="1"/>
  <c r="O153" i="24"/>
  <c r="O157" i="24" s="1"/>
  <c r="N153" i="24"/>
  <c r="N157" i="24" s="1"/>
  <c r="M153" i="24"/>
  <c r="M157" i="24" s="1"/>
  <c r="L153" i="24"/>
  <c r="L157" i="24" s="1"/>
  <c r="K153" i="24"/>
  <c r="J153" i="24"/>
  <c r="J157" i="24" s="1"/>
  <c r="O151" i="24"/>
  <c r="N151" i="24"/>
  <c r="M151" i="24"/>
  <c r="L151" i="24"/>
  <c r="K151" i="24"/>
  <c r="J151" i="24"/>
  <c r="I151" i="24"/>
  <c r="O150" i="24"/>
  <c r="N150" i="24"/>
  <c r="M150" i="24"/>
  <c r="L150" i="24"/>
  <c r="K150" i="24"/>
  <c r="J150" i="24"/>
  <c r="O149" i="24"/>
  <c r="N149" i="24"/>
  <c r="M149" i="24"/>
  <c r="L149" i="24"/>
  <c r="K149" i="24"/>
  <c r="J149" i="24"/>
  <c r="I149" i="24"/>
  <c r="I146" i="24"/>
  <c r="O144" i="24"/>
  <c r="N144" i="24"/>
  <c r="M144" i="24"/>
  <c r="L144" i="24"/>
  <c r="K144" i="24"/>
  <c r="J144" i="24"/>
  <c r="I142" i="24"/>
  <c r="O140" i="24"/>
  <c r="N140" i="24"/>
  <c r="M140" i="24"/>
  <c r="L140" i="24"/>
  <c r="K140" i="24"/>
  <c r="J140" i="24"/>
  <c r="I138" i="24"/>
  <c r="O136" i="24"/>
  <c r="N136" i="24"/>
  <c r="N148" i="24" s="1"/>
  <c r="M136" i="24"/>
  <c r="L136" i="24"/>
  <c r="K136" i="24"/>
  <c r="J136" i="24"/>
  <c r="O134" i="24"/>
  <c r="N134" i="24"/>
  <c r="M134" i="24"/>
  <c r="L134" i="24"/>
  <c r="K134" i="24"/>
  <c r="J134" i="24"/>
  <c r="I134" i="24"/>
  <c r="O133" i="24"/>
  <c r="N133" i="24"/>
  <c r="M133" i="24"/>
  <c r="L133" i="24"/>
  <c r="K133" i="24"/>
  <c r="J133" i="24"/>
  <c r="O132" i="24"/>
  <c r="N132" i="24"/>
  <c r="M132" i="24"/>
  <c r="L132" i="24"/>
  <c r="K132" i="24"/>
  <c r="J132" i="24"/>
  <c r="I132" i="24"/>
  <c r="I129" i="24"/>
  <c r="O127" i="24"/>
  <c r="N127" i="24"/>
  <c r="M127" i="24"/>
  <c r="L127" i="24"/>
  <c r="K127" i="24"/>
  <c r="J127" i="24"/>
  <c r="I127" i="24" s="1"/>
  <c r="I125" i="24"/>
  <c r="O123" i="24"/>
  <c r="N123" i="24"/>
  <c r="M123" i="24"/>
  <c r="L123" i="24"/>
  <c r="K123" i="24"/>
  <c r="J123" i="24"/>
  <c r="I123" i="24" s="1"/>
  <c r="I121" i="24"/>
  <c r="I133" i="24" s="1"/>
  <c r="O119" i="24"/>
  <c r="O131" i="24" s="1"/>
  <c r="N119" i="24"/>
  <c r="N131" i="24" s="1"/>
  <c r="M119" i="24"/>
  <c r="M131" i="24" s="1"/>
  <c r="L119" i="24"/>
  <c r="L131" i="24" s="1"/>
  <c r="K119" i="24"/>
  <c r="K131" i="24" s="1"/>
  <c r="J119" i="24"/>
  <c r="J131" i="24" s="1"/>
  <c r="O117" i="24"/>
  <c r="N117" i="24"/>
  <c r="M117" i="24"/>
  <c r="L117" i="24"/>
  <c r="K117" i="24"/>
  <c r="J117" i="24"/>
  <c r="I117" i="24"/>
  <c r="O116" i="24"/>
  <c r="N116" i="24"/>
  <c r="M116" i="24"/>
  <c r="L116" i="24"/>
  <c r="K116" i="24"/>
  <c r="J116" i="24"/>
  <c r="O115" i="24"/>
  <c r="N115" i="24"/>
  <c r="M115" i="24"/>
  <c r="L115" i="24"/>
  <c r="K115" i="24"/>
  <c r="J115" i="24"/>
  <c r="I115" i="24"/>
  <c r="I112" i="24"/>
  <c r="O110" i="24"/>
  <c r="N110" i="24"/>
  <c r="M110" i="24"/>
  <c r="L110" i="24"/>
  <c r="K110" i="24"/>
  <c r="J110" i="24"/>
  <c r="I108" i="24"/>
  <c r="O106" i="24"/>
  <c r="N106" i="24"/>
  <c r="M106" i="24"/>
  <c r="L106" i="24"/>
  <c r="K106" i="24"/>
  <c r="J106" i="24"/>
  <c r="O104" i="24"/>
  <c r="N104" i="24"/>
  <c r="M104" i="24"/>
  <c r="L104" i="24"/>
  <c r="K104" i="24"/>
  <c r="J104" i="24"/>
  <c r="I104" i="24"/>
  <c r="O103" i="24"/>
  <c r="N103" i="24"/>
  <c r="M103" i="24"/>
  <c r="L103" i="24"/>
  <c r="K103" i="24"/>
  <c r="J103" i="24"/>
  <c r="O102" i="24"/>
  <c r="N102" i="24"/>
  <c r="M102" i="24"/>
  <c r="L102" i="24"/>
  <c r="K102" i="24"/>
  <c r="J102" i="24"/>
  <c r="I102" i="24"/>
  <c r="I99" i="24"/>
  <c r="O97" i="24"/>
  <c r="N97" i="24"/>
  <c r="M97" i="24"/>
  <c r="L97" i="24"/>
  <c r="K97" i="24"/>
  <c r="J97" i="24"/>
  <c r="I97" i="24" s="1"/>
  <c r="I95" i="24"/>
  <c r="O93" i="24"/>
  <c r="O101" i="24" s="1"/>
  <c r="N93" i="24"/>
  <c r="M93" i="24"/>
  <c r="L93" i="24"/>
  <c r="K93" i="24"/>
  <c r="J93" i="24"/>
  <c r="O91" i="24"/>
  <c r="N91" i="24"/>
  <c r="M91" i="24"/>
  <c r="L91" i="24"/>
  <c r="K91" i="24"/>
  <c r="J91" i="24"/>
  <c r="I91" i="24"/>
  <c r="O90" i="24"/>
  <c r="N90" i="24"/>
  <c r="M90" i="24"/>
  <c r="L90" i="24"/>
  <c r="K90" i="24"/>
  <c r="J90" i="24"/>
  <c r="O89" i="24"/>
  <c r="N89" i="24"/>
  <c r="M89" i="24"/>
  <c r="L89" i="24"/>
  <c r="K89" i="24"/>
  <c r="J89" i="24"/>
  <c r="I89" i="24"/>
  <c r="I86" i="24"/>
  <c r="O84" i="24"/>
  <c r="N84" i="24"/>
  <c r="M84" i="24"/>
  <c r="L84" i="24"/>
  <c r="K84" i="24"/>
  <c r="J84" i="24"/>
  <c r="I82" i="24"/>
  <c r="O80" i="24"/>
  <c r="N80" i="24"/>
  <c r="M80" i="24"/>
  <c r="L80" i="24"/>
  <c r="K80" i="24"/>
  <c r="J80" i="24"/>
  <c r="I78" i="24"/>
  <c r="O76" i="24"/>
  <c r="N76" i="24"/>
  <c r="M76" i="24"/>
  <c r="L76" i="24"/>
  <c r="K76" i="24"/>
  <c r="J76" i="24"/>
  <c r="I74" i="24"/>
  <c r="O72" i="24"/>
  <c r="N72" i="24"/>
  <c r="M72" i="24"/>
  <c r="L72" i="24"/>
  <c r="K72" i="24"/>
  <c r="J72" i="24"/>
  <c r="I70" i="24"/>
  <c r="O68" i="24"/>
  <c r="N68" i="24"/>
  <c r="M68" i="24"/>
  <c r="L68" i="24"/>
  <c r="K68" i="24"/>
  <c r="J68" i="24"/>
  <c r="I66" i="24"/>
  <c r="O64" i="24"/>
  <c r="N64" i="24"/>
  <c r="M64" i="24"/>
  <c r="L64" i="24"/>
  <c r="K64" i="24"/>
  <c r="J64" i="24"/>
  <c r="I62" i="24"/>
  <c r="O60" i="24"/>
  <c r="N60" i="24"/>
  <c r="M60" i="24"/>
  <c r="L60" i="24"/>
  <c r="K60" i="24"/>
  <c r="J60" i="24"/>
  <c r="I58" i="24"/>
  <c r="O56" i="24"/>
  <c r="N56" i="24"/>
  <c r="M56" i="24"/>
  <c r="L56" i="24"/>
  <c r="K56" i="24"/>
  <c r="J56" i="24"/>
  <c r="O54" i="24"/>
  <c r="N54" i="24"/>
  <c r="M54" i="24"/>
  <c r="L54" i="24"/>
  <c r="K54" i="24"/>
  <c r="J54" i="24"/>
  <c r="I54" i="24"/>
  <c r="O53" i="24"/>
  <c r="N53" i="24"/>
  <c r="M53" i="24"/>
  <c r="L53" i="24"/>
  <c r="K53" i="24"/>
  <c r="J53" i="24"/>
  <c r="O52" i="24"/>
  <c r="N52" i="24"/>
  <c r="M52" i="24"/>
  <c r="L52" i="24"/>
  <c r="K52" i="24"/>
  <c r="J52" i="24"/>
  <c r="I52" i="24"/>
  <c r="K51" i="24"/>
  <c r="J51" i="24"/>
  <c r="I51" i="24"/>
  <c r="I49" i="24"/>
  <c r="I47" i="24"/>
  <c r="I45" i="24"/>
  <c r="I43" i="24"/>
  <c r="I41" i="24"/>
  <c r="I39" i="24"/>
  <c r="I37" i="24"/>
  <c r="I35" i="24"/>
  <c r="I33" i="24"/>
  <c r="O31" i="24"/>
  <c r="O51" i="24" s="1"/>
  <c r="N31" i="24"/>
  <c r="N51" i="24" s="1"/>
  <c r="M31" i="24"/>
  <c r="M51" i="24" s="1"/>
  <c r="L31" i="24"/>
  <c r="L51" i="24" s="1"/>
  <c r="K31" i="24"/>
  <c r="I31" i="24"/>
  <c r="O29" i="24"/>
  <c r="N29" i="24"/>
  <c r="M29" i="24"/>
  <c r="L29" i="24"/>
  <c r="K29" i="24"/>
  <c r="J29" i="24"/>
  <c r="I29" i="24"/>
  <c r="O28" i="24"/>
  <c r="N28" i="24"/>
  <c r="M28" i="24"/>
  <c r="L28" i="24"/>
  <c r="K28" i="24"/>
  <c r="J28" i="24"/>
  <c r="O27" i="24"/>
  <c r="N27" i="24"/>
  <c r="M27" i="24"/>
  <c r="L27" i="24"/>
  <c r="L214" i="24" s="1"/>
  <c r="K27" i="24"/>
  <c r="J27" i="24"/>
  <c r="I27" i="24"/>
  <c r="I24" i="24"/>
  <c r="O22" i="24"/>
  <c r="N22" i="24"/>
  <c r="M22" i="24"/>
  <c r="L22" i="24"/>
  <c r="K22" i="24"/>
  <c r="J22" i="24"/>
  <c r="I20" i="24"/>
  <c r="O18" i="24"/>
  <c r="N18" i="24"/>
  <c r="M18" i="24"/>
  <c r="L18" i="24"/>
  <c r="K18" i="24"/>
  <c r="J18" i="24"/>
  <c r="I16" i="24"/>
  <c r="O14" i="24"/>
  <c r="N14" i="24"/>
  <c r="M14" i="24"/>
  <c r="L14" i="24"/>
  <c r="K14" i="24"/>
  <c r="J14" i="24"/>
  <c r="I14" i="24" s="1"/>
  <c r="I12" i="24"/>
  <c r="O10" i="24"/>
  <c r="N10" i="24"/>
  <c r="M10" i="24"/>
  <c r="L10" i="24"/>
  <c r="K10" i="24"/>
  <c r="J10" i="24"/>
  <c r="I10" i="24" s="1"/>
  <c r="I8" i="24"/>
  <c r="O6" i="24"/>
  <c r="N6" i="24"/>
  <c r="M6" i="24"/>
  <c r="L6" i="24"/>
  <c r="K6" i="24"/>
  <c r="J6" i="24"/>
  <c r="I116" i="24" l="1"/>
  <c r="K101" i="24"/>
  <c r="J148" i="24"/>
  <c r="O187" i="24"/>
  <c r="I183" i="24"/>
  <c r="I103" i="24"/>
  <c r="N114" i="24"/>
  <c r="O148" i="24"/>
  <c r="M187" i="24"/>
  <c r="I90" i="24"/>
  <c r="L101" i="24"/>
  <c r="K148" i="24"/>
  <c r="I189" i="24"/>
  <c r="I179" i="24"/>
  <c r="I201" i="24"/>
  <c r="I209" i="24" s="1"/>
  <c r="M101" i="24"/>
  <c r="K114" i="24"/>
  <c r="L148" i="24"/>
  <c r="I140" i="24"/>
  <c r="I175" i="24"/>
  <c r="L187" i="24"/>
  <c r="O114" i="24"/>
  <c r="I150" i="24"/>
  <c r="J101" i="24"/>
  <c r="N187" i="24"/>
  <c r="O26" i="24"/>
  <c r="O213" i="24" s="1"/>
  <c r="I18" i="24"/>
  <c r="K214" i="24"/>
  <c r="M215" i="24"/>
  <c r="N216" i="24"/>
  <c r="J88" i="24"/>
  <c r="I60" i="24"/>
  <c r="N101" i="24"/>
  <c r="L114" i="24"/>
  <c r="I119" i="24"/>
  <c r="I131" i="24" s="1"/>
  <c r="N215" i="24"/>
  <c r="I216" i="24"/>
  <c r="I162" i="24"/>
  <c r="I166" i="24" s="1"/>
  <c r="O214" i="24"/>
  <c r="N88" i="24"/>
  <c r="I76" i="24"/>
  <c r="J114" i="24"/>
  <c r="M214" i="24"/>
  <c r="L88" i="24"/>
  <c r="I84" i="24"/>
  <c r="N214" i="24"/>
  <c r="K26" i="24"/>
  <c r="L26" i="24"/>
  <c r="J215" i="24"/>
  <c r="K216" i="24"/>
  <c r="O88" i="24"/>
  <c r="I72" i="24"/>
  <c r="I93" i="24"/>
  <c r="I101" i="24" s="1"/>
  <c r="I28" i="24"/>
  <c r="I215" i="24" s="1"/>
  <c r="O216" i="24"/>
  <c r="J26" i="24"/>
  <c r="M88" i="24"/>
  <c r="I80" i="24"/>
  <c r="I153" i="24"/>
  <c r="I157" i="24" s="1"/>
  <c r="I214" i="24"/>
  <c r="K215" i="24"/>
  <c r="L216" i="24"/>
  <c r="I68" i="24"/>
  <c r="I110" i="24"/>
  <c r="K88" i="24"/>
  <c r="I136" i="24"/>
  <c r="O215" i="24"/>
  <c r="I53" i="24"/>
  <c r="M148" i="24"/>
  <c r="M26" i="24"/>
  <c r="N26" i="24"/>
  <c r="I22" i="24"/>
  <c r="J214" i="24"/>
  <c r="L215" i="24"/>
  <c r="M216" i="24"/>
  <c r="I64" i="24"/>
  <c r="J216" i="24"/>
  <c r="I106" i="24"/>
  <c r="I144" i="24"/>
  <c r="M166" i="24"/>
  <c r="I171" i="24"/>
  <c r="M114" i="24"/>
  <c r="I56" i="24"/>
  <c r="I192" i="24"/>
  <c r="I196" i="24" s="1"/>
  <c r="I6" i="24"/>
  <c r="I26" i="24" s="1"/>
  <c r="I148" i="24" l="1"/>
  <c r="N213" i="24"/>
  <c r="I187" i="24"/>
  <c r="J213" i="24"/>
  <c r="L213" i="24"/>
  <c r="M213" i="24"/>
  <c r="I114" i="24"/>
  <c r="I88" i="24"/>
  <c r="I213" i="24" s="1"/>
  <c r="K213" i="24"/>
  <c r="O34" i="23" l="1"/>
  <c r="N34" i="23"/>
  <c r="M34" i="23"/>
  <c r="L34" i="23"/>
  <c r="K34" i="23"/>
  <c r="J34" i="23"/>
  <c r="O33" i="23"/>
  <c r="N33" i="23"/>
  <c r="M33" i="23"/>
  <c r="L33" i="23"/>
  <c r="K33" i="23"/>
  <c r="J33" i="23"/>
  <c r="O32" i="23"/>
  <c r="N32" i="23"/>
  <c r="M32" i="23"/>
  <c r="L32" i="23"/>
  <c r="K32" i="23"/>
  <c r="J32" i="23"/>
  <c r="I30" i="23"/>
  <c r="I29" i="23"/>
  <c r="I28" i="23"/>
  <c r="O27" i="23"/>
  <c r="N27" i="23"/>
  <c r="M27" i="23"/>
  <c r="L27" i="23"/>
  <c r="K27" i="23"/>
  <c r="J27" i="23"/>
  <c r="I22" i="23"/>
  <c r="I21" i="23"/>
  <c r="I20" i="23"/>
  <c r="O19" i="23"/>
  <c r="N19" i="23"/>
  <c r="M19" i="23"/>
  <c r="L19" i="23"/>
  <c r="K19" i="23"/>
  <c r="J19" i="23"/>
  <c r="I18" i="23"/>
  <c r="I34" i="23" s="1"/>
  <c r="I17" i="23"/>
  <c r="I16" i="23"/>
  <c r="O15" i="23"/>
  <c r="N15" i="23"/>
  <c r="M15" i="23"/>
  <c r="L15" i="23"/>
  <c r="K15" i="23"/>
  <c r="K31" i="23" s="1"/>
  <c r="J15" i="23"/>
  <c r="J31" i="23" s="1"/>
  <c r="O13" i="23"/>
  <c r="O38" i="23" s="1"/>
  <c r="N13" i="23"/>
  <c r="N38" i="23" s="1"/>
  <c r="M13" i="23"/>
  <c r="L13" i="23"/>
  <c r="K13" i="23"/>
  <c r="J13" i="23"/>
  <c r="I13" i="23"/>
  <c r="O12" i="23"/>
  <c r="N12" i="23"/>
  <c r="M12" i="23"/>
  <c r="M37" i="23" s="1"/>
  <c r="L12" i="23"/>
  <c r="K12" i="23"/>
  <c r="J12" i="23"/>
  <c r="O11" i="23"/>
  <c r="N11" i="23"/>
  <c r="M11" i="23"/>
  <c r="L11" i="23"/>
  <c r="K11" i="23"/>
  <c r="K36" i="23" s="1"/>
  <c r="J11" i="23"/>
  <c r="I11" i="23"/>
  <c r="I8" i="23"/>
  <c r="I12" i="23" s="1"/>
  <c r="O6" i="23"/>
  <c r="O10" i="23" s="1"/>
  <c r="N6" i="23"/>
  <c r="N10" i="23" s="1"/>
  <c r="M6" i="23"/>
  <c r="L6" i="23"/>
  <c r="L10" i="23" s="1"/>
  <c r="K6" i="23"/>
  <c r="K10" i="23" s="1"/>
  <c r="J6" i="23"/>
  <c r="J10" i="23" s="1"/>
  <c r="I33" i="23" l="1"/>
  <c r="I37" i="23" s="1"/>
  <c r="I19" i="23"/>
  <c r="K37" i="23"/>
  <c r="J36" i="23"/>
  <c r="L37" i="23"/>
  <c r="M38" i="23"/>
  <c r="O36" i="23"/>
  <c r="J37" i="23"/>
  <c r="N36" i="23"/>
  <c r="N37" i="23"/>
  <c r="L31" i="23"/>
  <c r="L35" i="23" s="1"/>
  <c r="O37" i="23"/>
  <c r="M36" i="23"/>
  <c r="M31" i="23"/>
  <c r="L38" i="23"/>
  <c r="N31" i="23"/>
  <c r="N35" i="23" s="1"/>
  <c r="I27" i="23"/>
  <c r="J38" i="23"/>
  <c r="O31" i="23"/>
  <c r="O35" i="23" s="1"/>
  <c r="K38" i="23"/>
  <c r="I6" i="23"/>
  <c r="I10" i="23" s="1"/>
  <c r="L36" i="23"/>
  <c r="I32" i="23"/>
  <c r="I36" i="23" s="1"/>
  <c r="K35" i="23"/>
  <c r="J35" i="23"/>
  <c r="I38" i="23"/>
  <c r="M10" i="23"/>
  <c r="I15" i="23"/>
  <c r="I31" i="23" s="1"/>
  <c r="I35" i="23" s="1"/>
  <c r="M35" i="23" l="1"/>
  <c r="O295" i="20" l="1"/>
  <c r="N295" i="20"/>
  <c r="M295" i="20"/>
  <c r="L295" i="20"/>
  <c r="K295" i="20"/>
  <c r="J295" i="20"/>
  <c r="I295" i="20"/>
  <c r="O294" i="20"/>
  <c r="N294" i="20"/>
  <c r="M294" i="20"/>
  <c r="L294" i="20"/>
  <c r="K294" i="20"/>
  <c r="J294" i="20"/>
  <c r="O293" i="20"/>
  <c r="N293" i="20"/>
  <c r="M293" i="20"/>
  <c r="L293" i="20"/>
  <c r="K293" i="20"/>
  <c r="J293" i="20"/>
  <c r="I290" i="20"/>
  <c r="I289" i="20"/>
  <c r="O288" i="20"/>
  <c r="N288" i="20"/>
  <c r="M288" i="20"/>
  <c r="L288" i="20"/>
  <c r="K288" i="20"/>
  <c r="J288" i="20"/>
  <c r="I286" i="20"/>
  <c r="I294" i="20" s="1"/>
  <c r="I285" i="20"/>
  <c r="I293" i="20" s="1"/>
  <c r="O284" i="20"/>
  <c r="O292" i="20" s="1"/>
  <c r="N284" i="20"/>
  <c r="N292" i="20" s="1"/>
  <c r="M284" i="20"/>
  <c r="M292" i="20" s="1"/>
  <c r="L284" i="20"/>
  <c r="L292" i="20" s="1"/>
  <c r="K284" i="20"/>
  <c r="K292" i="20" s="1"/>
  <c r="J284" i="20"/>
  <c r="O282" i="20"/>
  <c r="N282" i="20"/>
  <c r="M282" i="20"/>
  <c r="L282" i="20"/>
  <c r="K282" i="20"/>
  <c r="J282" i="20"/>
  <c r="I282" i="20"/>
  <c r="O281" i="20"/>
  <c r="N281" i="20"/>
  <c r="M281" i="20"/>
  <c r="L281" i="20"/>
  <c r="K281" i="20"/>
  <c r="J281" i="20"/>
  <c r="O280" i="20"/>
  <c r="N280" i="20"/>
  <c r="M280" i="20"/>
  <c r="L280" i="20"/>
  <c r="K280" i="20"/>
  <c r="J280" i="20"/>
  <c r="O279" i="20"/>
  <c r="I277" i="20"/>
  <c r="I281" i="20" s="1"/>
  <c r="I276" i="20"/>
  <c r="I280" i="20" s="1"/>
  <c r="O275" i="20"/>
  <c r="N275" i="20"/>
  <c r="N279" i="20" s="1"/>
  <c r="M275" i="20"/>
  <c r="M279" i="20" s="1"/>
  <c r="L275" i="20"/>
  <c r="L279" i="20" s="1"/>
  <c r="K275" i="20"/>
  <c r="K279" i="20" s="1"/>
  <c r="J275" i="20"/>
  <c r="J279" i="20" s="1"/>
  <c r="O273" i="20"/>
  <c r="N273" i="20"/>
  <c r="M273" i="20"/>
  <c r="L273" i="20"/>
  <c r="K273" i="20"/>
  <c r="J273" i="20"/>
  <c r="I273" i="20"/>
  <c r="O272" i="20"/>
  <c r="N272" i="20"/>
  <c r="M272" i="20"/>
  <c r="L272" i="20"/>
  <c r="K272" i="20"/>
  <c r="J272" i="20"/>
  <c r="O271" i="20"/>
  <c r="N271" i="20"/>
  <c r="M271" i="20"/>
  <c r="L271" i="20"/>
  <c r="K271" i="20"/>
  <c r="J271" i="20"/>
  <c r="K270" i="20"/>
  <c r="I268" i="20"/>
  <c r="I272" i="20" s="1"/>
  <c r="I267" i="20"/>
  <c r="I271" i="20" s="1"/>
  <c r="O266" i="20"/>
  <c r="O270" i="20" s="1"/>
  <c r="N266" i="20"/>
  <c r="N270" i="20" s="1"/>
  <c r="M266" i="20"/>
  <c r="M270" i="20" s="1"/>
  <c r="L266" i="20"/>
  <c r="L270" i="20" s="1"/>
  <c r="K266" i="20"/>
  <c r="J266" i="20"/>
  <c r="J270" i="20" s="1"/>
  <c r="O264" i="20"/>
  <c r="N264" i="20"/>
  <c r="M264" i="20"/>
  <c r="L264" i="20"/>
  <c r="K264" i="20"/>
  <c r="J264" i="20"/>
  <c r="I264" i="20"/>
  <c r="O263" i="20"/>
  <c r="N263" i="20"/>
  <c r="M263" i="20"/>
  <c r="L263" i="20"/>
  <c r="K263" i="20"/>
  <c r="J263" i="20"/>
  <c r="O262" i="20"/>
  <c r="N262" i="20"/>
  <c r="M262" i="20"/>
  <c r="L262" i="20"/>
  <c r="K262" i="20"/>
  <c r="J262" i="20"/>
  <c r="I259" i="20"/>
  <c r="I258" i="20"/>
  <c r="O257" i="20"/>
  <c r="N257" i="20"/>
  <c r="M257" i="20"/>
  <c r="L257" i="20"/>
  <c r="K257" i="20"/>
  <c r="J257" i="20"/>
  <c r="I255" i="20"/>
  <c r="I263" i="20" s="1"/>
  <c r="I254" i="20"/>
  <c r="I262" i="20" s="1"/>
  <c r="O253" i="20"/>
  <c r="O261" i="20" s="1"/>
  <c r="N253" i="20"/>
  <c r="N261" i="20" s="1"/>
  <c r="M253" i="20"/>
  <c r="M261" i="20" s="1"/>
  <c r="L253" i="20"/>
  <c r="L261" i="20" s="1"/>
  <c r="K253" i="20"/>
  <c r="K261" i="20" s="1"/>
  <c r="J253" i="20"/>
  <c r="O251" i="20"/>
  <c r="N251" i="20"/>
  <c r="M251" i="20"/>
  <c r="L251" i="20"/>
  <c r="K251" i="20"/>
  <c r="J251" i="20"/>
  <c r="I251" i="20"/>
  <c r="O250" i="20"/>
  <c r="N250" i="20"/>
  <c r="M250" i="20"/>
  <c r="L250" i="20"/>
  <c r="K250" i="20"/>
  <c r="J250" i="20"/>
  <c r="O249" i="20"/>
  <c r="N249" i="20"/>
  <c r="M249" i="20"/>
  <c r="L249" i="20"/>
  <c r="K249" i="20"/>
  <c r="J249" i="20"/>
  <c r="I246" i="20"/>
  <c r="I245" i="20"/>
  <c r="O244" i="20"/>
  <c r="N244" i="20"/>
  <c r="M244" i="20"/>
  <c r="L244" i="20"/>
  <c r="K244" i="20"/>
  <c r="J244" i="20"/>
  <c r="I242" i="20"/>
  <c r="I250" i="20" s="1"/>
  <c r="I241" i="20"/>
  <c r="O240" i="20"/>
  <c r="O248" i="20" s="1"/>
  <c r="N240" i="20"/>
  <c r="N248" i="20" s="1"/>
  <c r="M240" i="20"/>
  <c r="M248" i="20" s="1"/>
  <c r="L240" i="20"/>
  <c r="L248" i="20" s="1"/>
  <c r="K240" i="20"/>
  <c r="J240" i="20"/>
  <c r="J248" i="20" s="1"/>
  <c r="O238" i="20"/>
  <c r="N238" i="20"/>
  <c r="M238" i="20"/>
  <c r="L238" i="20"/>
  <c r="K238" i="20"/>
  <c r="J238" i="20"/>
  <c r="I238" i="20"/>
  <c r="O237" i="20"/>
  <c r="N237" i="20"/>
  <c r="M237" i="20"/>
  <c r="L237" i="20"/>
  <c r="K237" i="20"/>
  <c r="J237" i="20"/>
  <c r="O236" i="20"/>
  <c r="N236" i="20"/>
  <c r="M236" i="20"/>
  <c r="L236" i="20"/>
  <c r="K236" i="20"/>
  <c r="J236" i="20"/>
  <c r="M235" i="20"/>
  <c r="I233" i="20"/>
  <c r="I232" i="20"/>
  <c r="O231" i="20"/>
  <c r="N231" i="20"/>
  <c r="M231" i="20"/>
  <c r="L231" i="20"/>
  <c r="K231" i="20"/>
  <c r="J231" i="20"/>
  <c r="I229" i="20"/>
  <c r="I237" i="20" s="1"/>
  <c r="I228" i="20"/>
  <c r="I236" i="20" s="1"/>
  <c r="O227" i="20"/>
  <c r="O235" i="20" s="1"/>
  <c r="N227" i="20"/>
  <c r="M227" i="20"/>
  <c r="L227" i="20"/>
  <c r="L235" i="20" s="1"/>
  <c r="K227" i="20"/>
  <c r="K235" i="20" s="1"/>
  <c r="J227" i="20"/>
  <c r="J235" i="20" s="1"/>
  <c r="O225" i="20"/>
  <c r="N225" i="20"/>
  <c r="M225" i="20"/>
  <c r="L225" i="20"/>
  <c r="K225" i="20"/>
  <c r="J225" i="20"/>
  <c r="I225" i="20"/>
  <c r="O224" i="20"/>
  <c r="N224" i="20"/>
  <c r="M224" i="20"/>
  <c r="L224" i="20"/>
  <c r="K224" i="20"/>
  <c r="J224" i="20"/>
  <c r="O223" i="20"/>
  <c r="N223" i="20"/>
  <c r="M223" i="20"/>
  <c r="L223" i="20"/>
  <c r="K223" i="20"/>
  <c r="J223" i="20"/>
  <c r="K222" i="20"/>
  <c r="I220" i="20"/>
  <c r="I219" i="20"/>
  <c r="O218" i="20"/>
  <c r="N218" i="20"/>
  <c r="M218" i="20"/>
  <c r="L218" i="20"/>
  <c r="K218" i="20"/>
  <c r="J218" i="20"/>
  <c r="I216" i="20"/>
  <c r="I224" i="20" s="1"/>
  <c r="I215" i="20"/>
  <c r="I223" i="20" s="1"/>
  <c r="O214" i="20"/>
  <c r="O222" i="20" s="1"/>
  <c r="N214" i="20"/>
  <c r="N222" i="20" s="1"/>
  <c r="M214" i="20"/>
  <c r="M222" i="20" s="1"/>
  <c r="L214" i="20"/>
  <c r="K214" i="20"/>
  <c r="J214" i="20"/>
  <c r="J222" i="20" s="1"/>
  <c r="O212" i="20"/>
  <c r="N212" i="20"/>
  <c r="M212" i="20"/>
  <c r="L212" i="20"/>
  <c r="K212" i="20"/>
  <c r="J212" i="20"/>
  <c r="I212" i="20"/>
  <c r="O211" i="20"/>
  <c r="N211" i="20"/>
  <c r="M211" i="20"/>
  <c r="L211" i="20"/>
  <c r="K211" i="20"/>
  <c r="J211" i="20"/>
  <c r="O210" i="20"/>
  <c r="N210" i="20"/>
  <c r="M210" i="20"/>
  <c r="L210" i="20"/>
  <c r="K210" i="20"/>
  <c r="J210" i="20"/>
  <c r="I207" i="20"/>
  <c r="I206" i="20"/>
  <c r="O205" i="20"/>
  <c r="N205" i="20"/>
  <c r="M205" i="20"/>
  <c r="L205" i="20"/>
  <c r="K205" i="20"/>
  <c r="J205" i="20"/>
  <c r="I203" i="20"/>
  <c r="I211" i="20" s="1"/>
  <c r="I202" i="20"/>
  <c r="I210" i="20" s="1"/>
  <c r="O201" i="20"/>
  <c r="O209" i="20" s="1"/>
  <c r="N201" i="20"/>
  <c r="N209" i="20" s="1"/>
  <c r="M201" i="20"/>
  <c r="M209" i="20" s="1"/>
  <c r="L201" i="20"/>
  <c r="L209" i="20" s="1"/>
  <c r="K201" i="20"/>
  <c r="K209" i="20" s="1"/>
  <c r="J201" i="20"/>
  <c r="O199" i="20"/>
  <c r="N199" i="20"/>
  <c r="M199" i="20"/>
  <c r="L199" i="20"/>
  <c r="K199" i="20"/>
  <c r="J199" i="20"/>
  <c r="I199" i="20"/>
  <c r="O198" i="20"/>
  <c r="N198" i="20"/>
  <c r="M198" i="20"/>
  <c r="L198" i="20"/>
  <c r="K198" i="20"/>
  <c r="J198" i="20"/>
  <c r="O197" i="20"/>
  <c r="N197" i="20"/>
  <c r="M197" i="20"/>
  <c r="L197" i="20"/>
  <c r="K197" i="20"/>
  <c r="J197" i="20"/>
  <c r="I194" i="20"/>
  <c r="I193" i="20"/>
  <c r="O192" i="20"/>
  <c r="N192" i="20"/>
  <c r="M192" i="20"/>
  <c r="L192" i="20"/>
  <c r="I192" i="20" s="1"/>
  <c r="K192" i="20"/>
  <c r="J192" i="20"/>
  <c r="I190" i="20"/>
  <c r="I189" i="20"/>
  <c r="O188" i="20"/>
  <c r="N188" i="20"/>
  <c r="M188" i="20"/>
  <c r="I188" i="20" s="1"/>
  <c r="L188" i="20"/>
  <c r="K188" i="20"/>
  <c r="J188" i="20"/>
  <c r="I186" i="20"/>
  <c r="I185" i="20"/>
  <c r="O184" i="20"/>
  <c r="O196" i="20" s="1"/>
  <c r="N184" i="20"/>
  <c r="N196" i="20" s="1"/>
  <c r="M184" i="20"/>
  <c r="L184" i="20"/>
  <c r="K184" i="20"/>
  <c r="K196" i="20" s="1"/>
  <c r="J184" i="20"/>
  <c r="O182" i="20"/>
  <c r="N182" i="20"/>
  <c r="M182" i="20"/>
  <c r="L182" i="20"/>
  <c r="K182" i="20"/>
  <c r="J182" i="20"/>
  <c r="I182" i="20"/>
  <c r="O181" i="20"/>
  <c r="N181" i="20"/>
  <c r="M181" i="20"/>
  <c r="L181" i="20"/>
  <c r="K181" i="20"/>
  <c r="J181" i="20"/>
  <c r="O180" i="20"/>
  <c r="N180" i="20"/>
  <c r="M180" i="20"/>
  <c r="L180" i="20"/>
  <c r="K180" i="20"/>
  <c r="J180" i="20"/>
  <c r="I177" i="20"/>
  <c r="I176" i="20"/>
  <c r="O175" i="20"/>
  <c r="N175" i="20"/>
  <c r="M175" i="20"/>
  <c r="L175" i="20"/>
  <c r="K175" i="20"/>
  <c r="J175" i="20"/>
  <c r="I173" i="20"/>
  <c r="I181" i="20" s="1"/>
  <c r="I172" i="20"/>
  <c r="I180" i="20" s="1"/>
  <c r="O171" i="20"/>
  <c r="N171" i="20"/>
  <c r="N179" i="20" s="1"/>
  <c r="M171" i="20"/>
  <c r="M179" i="20" s="1"/>
  <c r="L171" i="20"/>
  <c r="L179" i="20" s="1"/>
  <c r="K171" i="20"/>
  <c r="K179" i="20" s="1"/>
  <c r="J171" i="20"/>
  <c r="J179" i="20" s="1"/>
  <c r="O169" i="20"/>
  <c r="N169" i="20"/>
  <c r="M169" i="20"/>
  <c r="L169" i="20"/>
  <c r="K169" i="20"/>
  <c r="J169" i="20"/>
  <c r="I169" i="20"/>
  <c r="O168" i="20"/>
  <c r="N168" i="20"/>
  <c r="M168" i="20"/>
  <c r="L168" i="20"/>
  <c r="K168" i="20"/>
  <c r="J168" i="20"/>
  <c r="O167" i="20"/>
  <c r="N167" i="20"/>
  <c r="M167" i="20"/>
  <c r="L167" i="20"/>
  <c r="K167" i="20"/>
  <c r="J167" i="20"/>
  <c r="I164" i="20"/>
  <c r="I163" i="20"/>
  <c r="O162" i="20"/>
  <c r="N162" i="20"/>
  <c r="M162" i="20"/>
  <c r="L162" i="20"/>
  <c r="K162" i="20"/>
  <c r="J162" i="20"/>
  <c r="I160" i="20"/>
  <c r="I168" i="20" s="1"/>
  <c r="I159" i="20"/>
  <c r="I167" i="20" s="1"/>
  <c r="O158" i="20"/>
  <c r="O166" i="20" s="1"/>
  <c r="N158" i="20"/>
  <c r="N166" i="20" s="1"/>
  <c r="M158" i="20"/>
  <c r="L158" i="20"/>
  <c r="L166" i="20" s="1"/>
  <c r="K158" i="20"/>
  <c r="K166" i="20" s="1"/>
  <c r="J158" i="20"/>
  <c r="J166" i="20" s="1"/>
  <c r="O156" i="20"/>
  <c r="N156" i="20"/>
  <c r="M156" i="20"/>
  <c r="L156" i="20"/>
  <c r="K156" i="20"/>
  <c r="J156" i="20"/>
  <c r="I156" i="20"/>
  <c r="O155" i="20"/>
  <c r="N155" i="20"/>
  <c r="M155" i="20"/>
  <c r="L155" i="20"/>
  <c r="K155" i="20"/>
  <c r="J155" i="20"/>
  <c r="O154" i="20"/>
  <c r="N154" i="20"/>
  <c r="M154" i="20"/>
  <c r="L154" i="20"/>
  <c r="K154" i="20"/>
  <c r="J154" i="20"/>
  <c r="J153" i="20"/>
  <c r="I151" i="20"/>
  <c r="I150" i="20"/>
  <c r="O149" i="20"/>
  <c r="N149" i="20"/>
  <c r="M149" i="20"/>
  <c r="L149" i="20"/>
  <c r="K149" i="20"/>
  <c r="J149" i="20"/>
  <c r="I149" i="20" s="1"/>
  <c r="I147" i="20"/>
  <c r="I155" i="20" s="1"/>
  <c r="I146" i="20"/>
  <c r="I154" i="20" s="1"/>
  <c r="O145" i="20"/>
  <c r="O153" i="20" s="1"/>
  <c r="N145" i="20"/>
  <c r="N153" i="20" s="1"/>
  <c r="M145" i="20"/>
  <c r="M153" i="20" s="1"/>
  <c r="L145" i="20"/>
  <c r="K145" i="20"/>
  <c r="J145" i="20"/>
  <c r="O143" i="20"/>
  <c r="N143" i="20"/>
  <c r="M143" i="20"/>
  <c r="L143" i="20"/>
  <c r="K143" i="20"/>
  <c r="J143" i="20"/>
  <c r="I143" i="20"/>
  <c r="O142" i="20"/>
  <c r="N142" i="20"/>
  <c r="M142" i="20"/>
  <c r="L142" i="20"/>
  <c r="K142" i="20"/>
  <c r="J142" i="20"/>
  <c r="O141" i="20"/>
  <c r="N141" i="20"/>
  <c r="M141" i="20"/>
  <c r="L141" i="20"/>
  <c r="K141" i="20"/>
  <c r="J141" i="20"/>
  <c r="M140" i="20"/>
  <c r="I138" i="20"/>
  <c r="I142" i="20" s="1"/>
  <c r="I137" i="20"/>
  <c r="I141" i="20" s="1"/>
  <c r="O136" i="20"/>
  <c r="O140" i="20" s="1"/>
  <c r="N136" i="20"/>
  <c r="N140" i="20" s="1"/>
  <c r="M136" i="20"/>
  <c r="L136" i="20"/>
  <c r="L140" i="20" s="1"/>
  <c r="K136" i="20"/>
  <c r="K140" i="20" s="1"/>
  <c r="J136" i="20"/>
  <c r="J140" i="20" s="1"/>
  <c r="O134" i="20"/>
  <c r="N134" i="20"/>
  <c r="M134" i="20"/>
  <c r="L134" i="20"/>
  <c r="K134" i="20"/>
  <c r="J134" i="20"/>
  <c r="I134" i="20"/>
  <c r="O133" i="20"/>
  <c r="N133" i="20"/>
  <c r="M133" i="20"/>
  <c r="L133" i="20"/>
  <c r="K133" i="20"/>
  <c r="J133" i="20"/>
  <c r="O132" i="20"/>
  <c r="N132" i="20"/>
  <c r="M132" i="20"/>
  <c r="L132" i="20"/>
  <c r="K132" i="20"/>
  <c r="J132" i="20"/>
  <c r="I129" i="20"/>
  <c r="I128" i="20"/>
  <c r="O127" i="20"/>
  <c r="N127" i="20"/>
  <c r="M127" i="20"/>
  <c r="L127" i="20"/>
  <c r="K127" i="20"/>
  <c r="J127" i="20"/>
  <c r="I125" i="20"/>
  <c r="I133" i="20" s="1"/>
  <c r="I124" i="20"/>
  <c r="I132" i="20" s="1"/>
  <c r="O123" i="20"/>
  <c r="O131" i="20" s="1"/>
  <c r="N123" i="20"/>
  <c r="M123" i="20"/>
  <c r="M131" i="20" s="1"/>
  <c r="L123" i="20"/>
  <c r="L131" i="20" s="1"/>
  <c r="K123" i="20"/>
  <c r="K131" i="20" s="1"/>
  <c r="J123" i="20"/>
  <c r="J131" i="20" s="1"/>
  <c r="O121" i="20"/>
  <c r="N121" i="20"/>
  <c r="M121" i="20"/>
  <c r="L121" i="20"/>
  <c r="K121" i="20"/>
  <c r="J121" i="20"/>
  <c r="I121" i="20"/>
  <c r="O120" i="20"/>
  <c r="N120" i="20"/>
  <c r="M120" i="20"/>
  <c r="L120" i="20"/>
  <c r="K120" i="20"/>
  <c r="J120" i="20"/>
  <c r="O119" i="20"/>
  <c r="N119" i="20"/>
  <c r="M119" i="20"/>
  <c r="L119" i="20"/>
  <c r="K119" i="20"/>
  <c r="J119" i="20"/>
  <c r="J118" i="20"/>
  <c r="I116" i="20"/>
  <c r="I120" i="20" s="1"/>
  <c r="I115" i="20"/>
  <c r="I119" i="20" s="1"/>
  <c r="O114" i="20"/>
  <c r="O118" i="20" s="1"/>
  <c r="N114" i="20"/>
  <c r="N118" i="20" s="1"/>
  <c r="M114" i="20"/>
  <c r="M118" i="20" s="1"/>
  <c r="L114" i="20"/>
  <c r="L118" i="20" s="1"/>
  <c r="K114" i="20"/>
  <c r="K118" i="20" s="1"/>
  <c r="J114" i="20"/>
  <c r="O112" i="20"/>
  <c r="N112" i="20"/>
  <c r="M112" i="20"/>
  <c r="L112" i="20"/>
  <c r="K112" i="20"/>
  <c r="J112" i="20"/>
  <c r="I112" i="20"/>
  <c r="O111" i="20"/>
  <c r="N111" i="20"/>
  <c r="M111" i="20"/>
  <c r="L111" i="20"/>
  <c r="K111" i="20"/>
  <c r="J111" i="20"/>
  <c r="O110" i="20"/>
  <c r="N110" i="20"/>
  <c r="M110" i="20"/>
  <c r="L110" i="20"/>
  <c r="K110" i="20"/>
  <c r="J110" i="20"/>
  <c r="I107" i="20"/>
  <c r="I106" i="20"/>
  <c r="O105" i="20"/>
  <c r="N105" i="20"/>
  <c r="M105" i="20"/>
  <c r="L105" i="20"/>
  <c r="K105" i="20"/>
  <c r="J105" i="20"/>
  <c r="I103" i="20"/>
  <c r="I111" i="20" s="1"/>
  <c r="I102" i="20"/>
  <c r="I110" i="20" s="1"/>
  <c r="O101" i="20"/>
  <c r="O109" i="20" s="1"/>
  <c r="N101" i="20"/>
  <c r="M101" i="20"/>
  <c r="M109" i="20" s="1"/>
  <c r="L101" i="20"/>
  <c r="K101" i="20"/>
  <c r="K109" i="20" s="1"/>
  <c r="J101" i="20"/>
  <c r="O99" i="20"/>
  <c r="N99" i="20"/>
  <c r="M99" i="20"/>
  <c r="L99" i="20"/>
  <c r="K99" i="20"/>
  <c r="J99" i="20"/>
  <c r="I99" i="20"/>
  <c r="O98" i="20"/>
  <c r="N98" i="20"/>
  <c r="M98" i="20"/>
  <c r="L98" i="20"/>
  <c r="K98" i="20"/>
  <c r="J98" i="20"/>
  <c r="O97" i="20"/>
  <c r="N97" i="20"/>
  <c r="M97" i="20"/>
  <c r="L97" i="20"/>
  <c r="K97" i="20"/>
  <c r="J97" i="20"/>
  <c r="K96" i="20"/>
  <c r="I94" i="20"/>
  <c r="I98" i="20" s="1"/>
  <c r="I93" i="20"/>
  <c r="I97" i="20" s="1"/>
  <c r="O92" i="20"/>
  <c r="O96" i="20" s="1"/>
  <c r="N92" i="20"/>
  <c r="N96" i="20" s="1"/>
  <c r="M92" i="20"/>
  <c r="M96" i="20" s="1"/>
  <c r="L92" i="20"/>
  <c r="L96" i="20" s="1"/>
  <c r="K92" i="20"/>
  <c r="J92" i="20"/>
  <c r="J96" i="20" s="1"/>
  <c r="O90" i="20"/>
  <c r="N90" i="20"/>
  <c r="M90" i="20"/>
  <c r="L90" i="20"/>
  <c r="K90" i="20"/>
  <c r="J90" i="20"/>
  <c r="I90" i="20"/>
  <c r="O89" i="20"/>
  <c r="N89" i="20"/>
  <c r="M89" i="20"/>
  <c r="L89" i="20"/>
  <c r="K89" i="20"/>
  <c r="J89" i="20"/>
  <c r="O88" i="20"/>
  <c r="N88" i="20"/>
  <c r="M88" i="20"/>
  <c r="L88" i="20"/>
  <c r="K88" i="20"/>
  <c r="J88" i="20"/>
  <c r="I85" i="20"/>
  <c r="I84" i="20"/>
  <c r="I83" i="20"/>
  <c r="I81" i="20"/>
  <c r="I80" i="20"/>
  <c r="I79" i="20"/>
  <c r="I77" i="20"/>
  <c r="I76" i="20"/>
  <c r="I75" i="20"/>
  <c r="I73" i="20"/>
  <c r="I72" i="20"/>
  <c r="O71" i="20"/>
  <c r="N71" i="20"/>
  <c r="M71" i="20"/>
  <c r="L71" i="20"/>
  <c r="K71" i="20"/>
  <c r="J71" i="20"/>
  <c r="I69" i="20"/>
  <c r="I68" i="20"/>
  <c r="O67" i="20"/>
  <c r="O87" i="20" s="1"/>
  <c r="N67" i="20"/>
  <c r="N87" i="20" s="1"/>
  <c r="M67" i="20"/>
  <c r="L67" i="20"/>
  <c r="L87" i="20" s="1"/>
  <c r="K67" i="20"/>
  <c r="K87" i="20" s="1"/>
  <c r="J67" i="20"/>
  <c r="O65" i="20"/>
  <c r="N65" i="20"/>
  <c r="M65" i="20"/>
  <c r="L65" i="20"/>
  <c r="K65" i="20"/>
  <c r="J65" i="20"/>
  <c r="I65" i="20"/>
  <c r="O64" i="20"/>
  <c r="N64" i="20"/>
  <c r="M64" i="20"/>
  <c r="L64" i="20"/>
  <c r="K64" i="20"/>
  <c r="J64" i="20"/>
  <c r="O63" i="20"/>
  <c r="N63" i="20"/>
  <c r="M63" i="20"/>
  <c r="L63" i="20"/>
  <c r="K63" i="20"/>
  <c r="J63" i="20"/>
  <c r="I60" i="20"/>
  <c r="I59" i="20"/>
  <c r="I63" i="20" s="1"/>
  <c r="O58" i="20"/>
  <c r="N58" i="20"/>
  <c r="M58" i="20"/>
  <c r="L58" i="20"/>
  <c r="K58" i="20"/>
  <c r="J58" i="20"/>
  <c r="I56" i="20"/>
  <c r="I64" i="20" s="1"/>
  <c r="I55" i="20"/>
  <c r="O54" i="20"/>
  <c r="O62" i="20" s="1"/>
  <c r="N54" i="20"/>
  <c r="N62" i="20" s="1"/>
  <c r="M54" i="20"/>
  <c r="M62" i="20" s="1"/>
  <c r="L54" i="20"/>
  <c r="K54" i="20"/>
  <c r="J54" i="20"/>
  <c r="J62" i="20" s="1"/>
  <c r="O52" i="20"/>
  <c r="N52" i="20"/>
  <c r="M52" i="20"/>
  <c r="L52" i="20"/>
  <c r="K52" i="20"/>
  <c r="J52" i="20"/>
  <c r="I52" i="20"/>
  <c r="O51" i="20"/>
  <c r="N51" i="20"/>
  <c r="M51" i="20"/>
  <c r="L51" i="20"/>
  <c r="K51" i="20"/>
  <c r="J51" i="20"/>
  <c r="O50" i="20"/>
  <c r="N50" i="20"/>
  <c r="M50" i="20"/>
  <c r="L50" i="20"/>
  <c r="K50" i="20"/>
  <c r="J50" i="20"/>
  <c r="I47" i="20"/>
  <c r="I46" i="20"/>
  <c r="O45" i="20"/>
  <c r="N45" i="20"/>
  <c r="M45" i="20"/>
  <c r="L45" i="20"/>
  <c r="K45" i="20"/>
  <c r="J45" i="20"/>
  <c r="I45" i="20" s="1"/>
  <c r="I43" i="20"/>
  <c r="I51" i="20" s="1"/>
  <c r="I42" i="20"/>
  <c r="I50" i="20" s="1"/>
  <c r="O41" i="20"/>
  <c r="O49" i="20" s="1"/>
  <c r="N41" i="20"/>
  <c r="N49" i="20" s="1"/>
  <c r="M41" i="20"/>
  <c r="M49" i="20" s="1"/>
  <c r="L41" i="20"/>
  <c r="K41" i="20"/>
  <c r="K49" i="20" s="1"/>
  <c r="J41" i="20"/>
  <c r="O39" i="20"/>
  <c r="N39" i="20"/>
  <c r="M39" i="20"/>
  <c r="L39" i="20"/>
  <c r="K39" i="20"/>
  <c r="J39" i="20"/>
  <c r="I39" i="20"/>
  <c r="O38" i="20"/>
  <c r="N38" i="20"/>
  <c r="M38" i="20"/>
  <c r="L38" i="20"/>
  <c r="K38" i="20"/>
  <c r="J38" i="20"/>
  <c r="O37" i="20"/>
  <c r="N37" i="20"/>
  <c r="M37" i="20"/>
  <c r="L37" i="20"/>
  <c r="K37" i="20"/>
  <c r="J37" i="20"/>
  <c r="I34" i="20"/>
  <c r="I33" i="20"/>
  <c r="O32" i="20"/>
  <c r="N32" i="20"/>
  <c r="M32" i="20"/>
  <c r="L32" i="20"/>
  <c r="K32" i="20"/>
  <c r="J32" i="20"/>
  <c r="I30" i="20"/>
  <c r="I38" i="20" s="1"/>
  <c r="I29" i="20"/>
  <c r="I37" i="20" s="1"/>
  <c r="O28" i="20"/>
  <c r="N28" i="20"/>
  <c r="N36" i="20" s="1"/>
  <c r="M28" i="20"/>
  <c r="M36" i="20" s="1"/>
  <c r="L28" i="20"/>
  <c r="L36" i="20" s="1"/>
  <c r="K28" i="20"/>
  <c r="K36" i="20" s="1"/>
  <c r="J28" i="20"/>
  <c r="J36" i="20" s="1"/>
  <c r="O26" i="20"/>
  <c r="N26" i="20"/>
  <c r="M26" i="20"/>
  <c r="L26" i="20"/>
  <c r="K26" i="20"/>
  <c r="J26" i="20"/>
  <c r="I26" i="20"/>
  <c r="O25" i="20"/>
  <c r="N25" i="20"/>
  <c r="M25" i="20"/>
  <c r="L25" i="20"/>
  <c r="K25" i="20"/>
  <c r="J25" i="20"/>
  <c r="O24" i="20"/>
  <c r="N24" i="20"/>
  <c r="M24" i="20"/>
  <c r="L24" i="20"/>
  <c r="K24" i="20"/>
  <c r="J24" i="20"/>
  <c r="L23" i="20"/>
  <c r="I21" i="20"/>
  <c r="I20" i="20"/>
  <c r="O19" i="20"/>
  <c r="N19" i="20"/>
  <c r="M19" i="20"/>
  <c r="M23" i="20" s="1"/>
  <c r="L19" i="20"/>
  <c r="K19" i="20"/>
  <c r="J19" i="20"/>
  <c r="J23" i="20" s="1"/>
  <c r="I17" i="20"/>
  <c r="I25" i="20" s="1"/>
  <c r="I16" i="20"/>
  <c r="I24" i="20" s="1"/>
  <c r="O15" i="20"/>
  <c r="O23" i="20" s="1"/>
  <c r="N15" i="20"/>
  <c r="M15" i="20"/>
  <c r="L15" i="20"/>
  <c r="K15" i="20"/>
  <c r="K23" i="20" s="1"/>
  <c r="J15" i="20"/>
  <c r="O13" i="20"/>
  <c r="N13" i="20"/>
  <c r="M13" i="20"/>
  <c r="L13" i="20"/>
  <c r="K13" i="20"/>
  <c r="J13" i="20"/>
  <c r="I13" i="20"/>
  <c r="O12" i="20"/>
  <c r="N12" i="20"/>
  <c r="M12" i="20"/>
  <c r="L12" i="20"/>
  <c r="K12" i="20"/>
  <c r="J12" i="20"/>
  <c r="O11" i="20"/>
  <c r="N11" i="20"/>
  <c r="M11" i="20"/>
  <c r="L11" i="20"/>
  <c r="K11" i="20"/>
  <c r="K297" i="20" s="1"/>
  <c r="J11" i="20"/>
  <c r="M10" i="20"/>
  <c r="L10" i="20"/>
  <c r="K10" i="20"/>
  <c r="J10" i="20"/>
  <c r="I8" i="20"/>
  <c r="I12" i="20" s="1"/>
  <c r="I7" i="20"/>
  <c r="I11" i="20" s="1"/>
  <c r="O6" i="20"/>
  <c r="O10" i="20" s="1"/>
  <c r="N6" i="20"/>
  <c r="N10" i="20" s="1"/>
  <c r="L6" i="20"/>
  <c r="K6" i="20"/>
  <c r="J6" i="20"/>
  <c r="I6" i="20" s="1"/>
  <c r="I10" i="20" s="1"/>
  <c r="I58" i="20" l="1"/>
  <c r="I105" i="20"/>
  <c r="N131" i="20"/>
  <c r="N235" i="20"/>
  <c r="K153" i="20"/>
  <c r="I171" i="20"/>
  <c r="O179" i="20"/>
  <c r="I198" i="20"/>
  <c r="I298" i="20" s="1"/>
  <c r="I197" i="20"/>
  <c r="K62" i="20"/>
  <c r="L196" i="20"/>
  <c r="I244" i="20"/>
  <c r="M87" i="20"/>
  <c r="M296" i="20" s="1"/>
  <c r="I184" i="20"/>
  <c r="I196" i="20" s="1"/>
  <c r="L298" i="20"/>
  <c r="M299" i="20"/>
  <c r="M166" i="20"/>
  <c r="M196" i="20"/>
  <c r="L297" i="20"/>
  <c r="N299" i="20"/>
  <c r="I231" i="20"/>
  <c r="I101" i="20"/>
  <c r="I109" i="20" s="1"/>
  <c r="N297" i="20"/>
  <c r="I145" i="20"/>
  <c r="O36" i="20"/>
  <c r="I41" i="20"/>
  <c r="I49" i="20" s="1"/>
  <c r="I89" i="20"/>
  <c r="L109" i="20"/>
  <c r="L222" i="20"/>
  <c r="I240" i="20"/>
  <c r="I248" i="20" s="1"/>
  <c r="I249" i="20"/>
  <c r="I253" i="20"/>
  <c r="I257" i="20"/>
  <c r="I284" i="20"/>
  <c r="I288" i="20"/>
  <c r="M298" i="20"/>
  <c r="N298" i="20"/>
  <c r="O298" i="20"/>
  <c r="I136" i="20"/>
  <c r="I140" i="20" s="1"/>
  <c r="I88" i="20"/>
  <c r="I297" i="20" s="1"/>
  <c r="K299" i="20"/>
  <c r="O297" i="20"/>
  <c r="I299" i="20"/>
  <c r="J87" i="20"/>
  <c r="I162" i="20"/>
  <c r="I275" i="20"/>
  <c r="I279" i="20" s="1"/>
  <c r="M297" i="20"/>
  <c r="O299" i="20"/>
  <c r="I54" i="20"/>
  <c r="J298" i="20"/>
  <c r="J297" i="20"/>
  <c r="K298" i="20"/>
  <c r="L299" i="20"/>
  <c r="I15" i="20"/>
  <c r="I23" i="20" s="1"/>
  <c r="I28" i="20"/>
  <c r="J299" i="20"/>
  <c r="L49" i="20"/>
  <c r="N109" i="20"/>
  <c r="I201" i="20"/>
  <c r="I205" i="20"/>
  <c r="K248" i="20"/>
  <c r="K296" i="20"/>
  <c r="I62" i="20"/>
  <c r="I153" i="20"/>
  <c r="J261" i="20"/>
  <c r="N23" i="20"/>
  <c r="N296" i="20" s="1"/>
  <c r="L62" i="20"/>
  <c r="L153" i="20"/>
  <c r="I175" i="20"/>
  <c r="I179" i="20" s="1"/>
  <c r="I227" i="20"/>
  <c r="I67" i="20"/>
  <c r="I127" i="20"/>
  <c r="I158" i="20"/>
  <c r="J196" i="20"/>
  <c r="J49" i="20"/>
  <c r="J296" i="20" s="1"/>
  <c r="I92" i="20"/>
  <c r="I96" i="20" s="1"/>
  <c r="I123" i="20"/>
  <c r="I19" i="20"/>
  <c r="I71" i="20"/>
  <c r="I214" i="20"/>
  <c r="I266" i="20"/>
  <c r="I270" i="20" s="1"/>
  <c r="J292" i="20"/>
  <c r="I32" i="20"/>
  <c r="I114" i="20"/>
  <c r="I118" i="20" s="1"/>
  <c r="I218" i="20"/>
  <c r="J209" i="20"/>
  <c r="J109" i="20"/>
  <c r="I36" i="20" l="1"/>
  <c r="I166" i="20"/>
  <c r="I222" i="20"/>
  <c r="I209" i="20"/>
  <c r="I292" i="20"/>
  <c r="I235" i="20"/>
  <c r="L296" i="20"/>
  <c r="O296" i="20"/>
  <c r="I261" i="20"/>
  <c r="I87" i="20"/>
  <c r="I131" i="20"/>
  <c r="I296" i="20" l="1"/>
  <c r="O1211" i="18" l="1"/>
  <c r="N1211" i="18"/>
  <c r="M1211" i="18"/>
  <c r="L1211" i="18"/>
  <c r="K1211" i="18"/>
  <c r="J1211" i="18"/>
  <c r="O1210" i="18"/>
  <c r="N1210" i="18"/>
  <c r="M1210" i="18"/>
  <c r="L1210" i="18"/>
  <c r="K1210" i="18"/>
  <c r="J1210" i="18"/>
  <c r="O1209" i="18"/>
  <c r="N1209" i="18"/>
  <c r="M1209" i="18"/>
  <c r="L1209" i="18"/>
  <c r="K1209" i="18"/>
  <c r="J1209" i="18"/>
  <c r="I1207" i="18"/>
  <c r="I1206" i="18"/>
  <c r="I1205" i="18"/>
  <c r="O1204" i="18"/>
  <c r="N1204" i="18"/>
  <c r="M1204" i="18"/>
  <c r="L1204" i="18"/>
  <c r="K1204" i="18"/>
  <c r="J1204" i="18"/>
  <c r="I1203" i="18"/>
  <c r="I1202" i="18"/>
  <c r="I1201" i="18"/>
  <c r="O1200" i="18"/>
  <c r="N1200" i="18"/>
  <c r="M1200" i="18"/>
  <c r="L1200" i="18"/>
  <c r="K1200" i="18"/>
  <c r="J1200" i="18"/>
  <c r="I1199" i="18"/>
  <c r="I1198" i="18"/>
  <c r="I1197" i="18"/>
  <c r="O1196" i="18"/>
  <c r="N1196" i="18"/>
  <c r="M1196" i="18"/>
  <c r="L1196" i="18"/>
  <c r="K1196" i="18"/>
  <c r="J1196" i="18"/>
  <c r="I1195" i="18"/>
  <c r="I1194" i="18"/>
  <c r="I1193" i="18"/>
  <c r="O1192" i="18"/>
  <c r="N1192" i="18"/>
  <c r="M1192" i="18"/>
  <c r="L1192" i="18"/>
  <c r="K1192" i="18"/>
  <c r="J1192" i="18"/>
  <c r="I1192" i="18" s="1"/>
  <c r="I1191" i="18"/>
  <c r="I1190" i="18"/>
  <c r="I1189" i="18"/>
  <c r="O1188" i="18"/>
  <c r="N1188" i="18"/>
  <c r="M1188" i="18"/>
  <c r="L1188" i="18"/>
  <c r="K1188" i="18"/>
  <c r="J1188" i="18"/>
  <c r="I1187" i="18"/>
  <c r="I1186" i="18"/>
  <c r="I1185" i="18"/>
  <c r="O1184" i="18"/>
  <c r="N1184" i="18"/>
  <c r="M1184" i="18"/>
  <c r="L1184" i="18"/>
  <c r="K1184" i="18"/>
  <c r="J1184" i="18"/>
  <c r="I1183" i="18"/>
  <c r="I1182" i="18"/>
  <c r="I1181" i="18"/>
  <c r="O1180" i="18"/>
  <c r="N1180" i="18"/>
  <c r="M1180" i="18"/>
  <c r="L1180" i="18"/>
  <c r="K1180" i="18"/>
  <c r="J1180" i="18"/>
  <c r="O1178" i="18"/>
  <c r="N1178" i="18"/>
  <c r="M1178" i="18"/>
  <c r="L1178" i="18"/>
  <c r="K1178" i="18"/>
  <c r="J1178" i="18"/>
  <c r="I1178" i="18"/>
  <c r="O1177" i="18"/>
  <c r="N1177" i="18"/>
  <c r="M1177" i="18"/>
  <c r="L1177" i="18"/>
  <c r="K1177" i="18"/>
  <c r="J1177" i="18"/>
  <c r="O1176" i="18"/>
  <c r="N1176" i="18"/>
  <c r="M1176" i="18"/>
  <c r="L1176" i="18"/>
  <c r="K1176" i="18"/>
  <c r="J1176" i="18"/>
  <c r="I1176" i="18"/>
  <c r="I1173" i="18"/>
  <c r="O1171" i="18"/>
  <c r="N1171" i="18"/>
  <c r="M1171" i="18"/>
  <c r="L1171" i="18"/>
  <c r="K1171" i="18"/>
  <c r="J1171" i="18"/>
  <c r="I1169" i="18"/>
  <c r="O1167" i="18"/>
  <c r="N1167" i="18"/>
  <c r="M1167" i="18"/>
  <c r="L1167" i="18"/>
  <c r="K1167" i="18"/>
  <c r="J1167" i="18"/>
  <c r="I1165" i="18"/>
  <c r="O1163" i="18"/>
  <c r="N1163" i="18"/>
  <c r="M1163" i="18"/>
  <c r="L1163" i="18"/>
  <c r="K1163" i="18"/>
  <c r="J1163" i="18"/>
  <c r="I1161" i="18"/>
  <c r="O1159" i="18"/>
  <c r="N1159" i="18"/>
  <c r="M1159" i="18"/>
  <c r="L1159" i="18"/>
  <c r="K1159" i="18"/>
  <c r="J1159" i="18"/>
  <c r="I1157" i="18"/>
  <c r="O1155" i="18"/>
  <c r="N1155" i="18"/>
  <c r="M1155" i="18"/>
  <c r="L1155" i="18"/>
  <c r="K1155" i="18"/>
  <c r="J1155" i="18"/>
  <c r="O1153" i="18"/>
  <c r="N1153" i="18"/>
  <c r="M1153" i="18"/>
  <c r="L1153" i="18"/>
  <c r="K1153" i="18"/>
  <c r="J1153" i="18"/>
  <c r="O1152" i="18"/>
  <c r="N1152" i="18"/>
  <c r="M1152" i="18"/>
  <c r="L1152" i="18"/>
  <c r="K1152" i="18"/>
  <c r="J1152" i="18"/>
  <c r="O1151" i="18"/>
  <c r="N1151" i="18"/>
  <c r="M1151" i="18"/>
  <c r="L1151" i="18"/>
  <c r="K1151" i="18"/>
  <c r="J1151" i="18"/>
  <c r="I1148" i="18"/>
  <c r="O1146" i="18"/>
  <c r="N1146" i="18"/>
  <c r="M1146" i="18"/>
  <c r="L1146" i="18"/>
  <c r="K1146" i="18"/>
  <c r="I1146" i="18" s="1"/>
  <c r="J1146" i="18"/>
  <c r="I1144" i="18"/>
  <c r="O1142" i="18"/>
  <c r="N1142" i="18"/>
  <c r="M1142" i="18"/>
  <c r="L1142" i="18"/>
  <c r="K1142" i="18"/>
  <c r="I1142" i="18" s="1"/>
  <c r="J1142" i="18"/>
  <c r="I1140" i="18"/>
  <c r="I1139" i="18"/>
  <c r="M1138" i="18"/>
  <c r="L1138" i="18"/>
  <c r="K1138" i="18"/>
  <c r="I1138" i="18"/>
  <c r="I1136" i="18"/>
  <c r="I1135" i="18"/>
  <c r="O1134" i="18"/>
  <c r="N1134" i="18"/>
  <c r="L1134" i="18"/>
  <c r="K1134" i="18"/>
  <c r="J1134" i="18"/>
  <c r="I1132" i="18"/>
  <c r="I1131" i="18"/>
  <c r="O1130" i="18"/>
  <c r="N1130" i="18"/>
  <c r="L1130" i="18"/>
  <c r="K1130" i="18"/>
  <c r="J1130" i="18"/>
  <c r="I1128" i="18"/>
  <c r="I1127" i="18"/>
  <c r="O1126" i="18"/>
  <c r="N1126" i="18"/>
  <c r="M1126" i="18"/>
  <c r="L1126" i="18"/>
  <c r="I1124" i="18"/>
  <c r="I1123" i="18"/>
  <c r="O1122" i="18"/>
  <c r="N1122" i="18"/>
  <c r="L1122" i="18"/>
  <c r="K1122" i="18"/>
  <c r="J1122" i="18"/>
  <c r="I1120" i="18"/>
  <c r="K1118" i="18"/>
  <c r="I1118" i="18"/>
  <c r="I1116" i="18"/>
  <c r="I1115" i="18"/>
  <c r="O1114" i="18"/>
  <c r="N1114" i="18"/>
  <c r="L1114" i="18"/>
  <c r="K1114" i="18"/>
  <c r="J1114" i="18"/>
  <c r="I1112" i="18"/>
  <c r="I1111" i="18"/>
  <c r="O1110" i="18"/>
  <c r="N1110" i="18"/>
  <c r="L1110" i="18"/>
  <c r="K1110" i="18"/>
  <c r="J1110" i="18"/>
  <c r="I1108" i="18"/>
  <c r="I1107" i="18"/>
  <c r="O1106" i="18"/>
  <c r="N1106" i="18"/>
  <c r="M1106" i="18"/>
  <c r="L1106" i="18"/>
  <c r="I1104" i="18"/>
  <c r="I1103" i="18"/>
  <c r="O1102" i="18"/>
  <c r="N1102" i="18"/>
  <c r="M1102" i="18"/>
  <c r="L1102" i="18"/>
  <c r="K1102" i="18"/>
  <c r="J1102" i="18"/>
  <c r="I1100" i="18"/>
  <c r="I1099" i="18"/>
  <c r="O1098" i="18"/>
  <c r="N1098" i="18"/>
  <c r="L1098" i="18"/>
  <c r="K1098" i="18"/>
  <c r="J1098" i="18"/>
  <c r="I1096" i="18"/>
  <c r="I1095" i="18"/>
  <c r="O1094" i="18"/>
  <c r="N1094" i="18"/>
  <c r="M1094" i="18"/>
  <c r="L1094" i="18"/>
  <c r="I1094" i="18" s="1"/>
  <c r="I1092" i="18"/>
  <c r="I1091" i="18"/>
  <c r="O1090" i="18"/>
  <c r="N1090" i="18"/>
  <c r="L1090" i="18"/>
  <c r="K1090" i="18"/>
  <c r="J1090" i="18"/>
  <c r="I1088" i="18"/>
  <c r="I1087" i="18"/>
  <c r="O1086" i="18"/>
  <c r="N1086" i="18"/>
  <c r="M1086" i="18"/>
  <c r="L1086" i="18"/>
  <c r="K1086" i="18"/>
  <c r="J1086" i="18"/>
  <c r="I1084" i="18"/>
  <c r="I1083" i="18"/>
  <c r="O1082" i="18"/>
  <c r="N1082" i="18"/>
  <c r="M1082" i="18"/>
  <c r="L1082" i="18"/>
  <c r="K1082" i="18"/>
  <c r="J1082" i="18"/>
  <c r="I1082" i="18" s="1"/>
  <c r="I1080" i="18"/>
  <c r="I1079" i="18"/>
  <c r="O1078" i="18"/>
  <c r="N1078" i="18"/>
  <c r="M1078" i="18"/>
  <c r="L1078" i="18"/>
  <c r="K1078" i="18"/>
  <c r="I1077" i="18"/>
  <c r="I1153" i="18" s="1"/>
  <c r="I1076" i="18"/>
  <c r="I1075" i="18"/>
  <c r="O1074" i="18"/>
  <c r="N1074" i="18"/>
  <c r="J1074" i="18"/>
  <c r="I1074" i="18"/>
  <c r="I1072" i="18"/>
  <c r="N1070" i="18"/>
  <c r="M1070" i="18"/>
  <c r="L1070" i="18"/>
  <c r="K1070" i="18"/>
  <c r="J1070" i="18"/>
  <c r="I1068" i="18"/>
  <c r="I1067" i="18"/>
  <c r="O1066" i="18"/>
  <c r="N1066" i="18"/>
  <c r="M1066" i="18"/>
  <c r="L1066" i="18"/>
  <c r="I1064" i="18"/>
  <c r="I1063" i="18"/>
  <c r="O1062" i="18"/>
  <c r="N1062" i="18"/>
  <c r="M1062" i="18"/>
  <c r="L1062" i="18"/>
  <c r="K1062" i="18"/>
  <c r="I1060" i="18"/>
  <c r="I1059" i="18"/>
  <c r="O1058" i="18"/>
  <c r="N1058" i="18"/>
  <c r="K1058" i="18"/>
  <c r="J1058" i="18"/>
  <c r="O1056" i="18"/>
  <c r="N1056" i="18"/>
  <c r="M1056" i="18"/>
  <c r="L1056" i="18"/>
  <c r="K1056" i="18"/>
  <c r="J1056" i="18"/>
  <c r="I1056" i="18"/>
  <c r="O1055" i="18"/>
  <c r="N1055" i="18"/>
  <c r="M1055" i="18"/>
  <c r="L1055" i="18"/>
  <c r="K1055" i="18"/>
  <c r="J1055" i="18"/>
  <c r="O1054" i="18"/>
  <c r="N1054" i="18"/>
  <c r="M1054" i="18"/>
  <c r="L1054" i="18"/>
  <c r="K1054" i="18"/>
  <c r="J1054" i="18"/>
  <c r="I1052" i="18"/>
  <c r="I1051" i="18"/>
  <c r="I1055" i="18" s="1"/>
  <c r="I1050" i="18"/>
  <c r="I1054" i="18" s="1"/>
  <c r="O1049" i="18"/>
  <c r="O1053" i="18" s="1"/>
  <c r="N1049" i="18"/>
  <c r="N1053" i="18" s="1"/>
  <c r="M1049" i="18"/>
  <c r="M1053" i="18" s="1"/>
  <c r="L1049" i="18"/>
  <c r="L1053" i="18" s="1"/>
  <c r="K1049" i="18"/>
  <c r="K1053" i="18" s="1"/>
  <c r="J1049" i="18"/>
  <c r="O1047" i="18"/>
  <c r="N1047" i="18"/>
  <c r="M1047" i="18"/>
  <c r="L1047" i="18"/>
  <c r="K1047" i="18"/>
  <c r="J1047" i="18"/>
  <c r="O1046" i="18"/>
  <c r="N1046" i="18"/>
  <c r="M1046" i="18"/>
  <c r="L1046" i="18"/>
  <c r="K1046" i="18"/>
  <c r="J1046" i="18"/>
  <c r="O1045" i="18"/>
  <c r="N1045" i="18"/>
  <c r="M1045" i="18"/>
  <c r="L1045" i="18"/>
  <c r="K1045" i="18"/>
  <c r="J1045" i="18"/>
  <c r="I1043" i="18"/>
  <c r="I1042" i="18"/>
  <c r="I1041" i="18"/>
  <c r="O1040" i="18"/>
  <c r="N1040" i="18"/>
  <c r="M1040" i="18"/>
  <c r="L1040" i="18"/>
  <c r="K1040" i="18"/>
  <c r="J1040" i="18"/>
  <c r="I1039" i="18"/>
  <c r="I1038" i="18"/>
  <c r="I1037" i="18"/>
  <c r="O1036" i="18"/>
  <c r="N1036" i="18"/>
  <c r="M1036" i="18"/>
  <c r="L1036" i="18"/>
  <c r="K1036" i="18"/>
  <c r="I1035" i="18"/>
  <c r="I1034" i="18"/>
  <c r="I1033" i="18"/>
  <c r="O1032" i="18"/>
  <c r="N1032" i="18"/>
  <c r="M1032" i="18"/>
  <c r="L1032" i="18"/>
  <c r="K1032" i="18"/>
  <c r="I1031" i="18"/>
  <c r="I1030" i="18"/>
  <c r="I1029" i="18"/>
  <c r="O1028" i="18"/>
  <c r="N1028" i="18"/>
  <c r="M1028" i="18"/>
  <c r="L1028" i="18"/>
  <c r="K1028" i="18"/>
  <c r="J1028" i="18"/>
  <c r="I1027" i="18"/>
  <c r="I1026" i="18"/>
  <c r="I1025" i="18"/>
  <c r="I1045" i="18" s="1"/>
  <c r="O1024" i="18"/>
  <c r="N1024" i="18"/>
  <c r="M1024" i="18"/>
  <c r="L1024" i="18"/>
  <c r="K1024" i="18"/>
  <c r="I1022" i="18"/>
  <c r="O1020" i="18"/>
  <c r="N1020" i="18"/>
  <c r="M1020" i="18"/>
  <c r="L1020" i="18"/>
  <c r="K1020" i="18"/>
  <c r="J1020" i="18"/>
  <c r="I1018" i="18"/>
  <c r="O1016" i="18"/>
  <c r="N1016" i="18"/>
  <c r="M1016" i="18"/>
  <c r="L1016" i="18"/>
  <c r="K1016" i="18"/>
  <c r="J1016" i="18"/>
  <c r="I1014" i="18"/>
  <c r="O1012" i="18"/>
  <c r="N1012" i="18"/>
  <c r="M1012" i="18"/>
  <c r="L1012" i="18"/>
  <c r="K1012" i="18"/>
  <c r="J1012" i="18"/>
  <c r="I1010" i="18"/>
  <c r="O1008" i="18"/>
  <c r="N1008" i="18"/>
  <c r="M1008" i="18"/>
  <c r="L1008" i="18"/>
  <c r="K1008" i="18"/>
  <c r="J1008" i="18"/>
  <c r="O1006" i="18"/>
  <c r="N1006" i="18"/>
  <c r="M1006" i="18"/>
  <c r="L1006" i="18"/>
  <c r="K1006" i="18"/>
  <c r="J1006" i="18"/>
  <c r="O1005" i="18"/>
  <c r="N1005" i="18"/>
  <c r="M1005" i="18"/>
  <c r="L1005" i="18"/>
  <c r="K1005" i="18"/>
  <c r="J1005" i="18"/>
  <c r="O1004" i="18"/>
  <c r="N1004" i="18"/>
  <c r="M1004" i="18"/>
  <c r="L1004" i="18"/>
  <c r="K1004" i="18"/>
  <c r="J1004" i="18"/>
  <c r="L1003" i="18"/>
  <c r="I1002" i="18"/>
  <c r="I1001" i="18"/>
  <c r="I1000" i="18"/>
  <c r="O999" i="18"/>
  <c r="N999" i="18"/>
  <c r="M999" i="18"/>
  <c r="K999" i="18"/>
  <c r="I998" i="18"/>
  <c r="I997" i="18"/>
  <c r="I996" i="18"/>
  <c r="O995" i="18"/>
  <c r="N995" i="18"/>
  <c r="M995" i="18"/>
  <c r="L995" i="18"/>
  <c r="K995" i="18"/>
  <c r="J995" i="18"/>
  <c r="I994" i="18"/>
  <c r="I993" i="18"/>
  <c r="I992" i="18"/>
  <c r="O991" i="18"/>
  <c r="N991" i="18"/>
  <c r="M991" i="18"/>
  <c r="L991" i="18"/>
  <c r="K991" i="18"/>
  <c r="J991" i="18"/>
  <c r="I990" i="18"/>
  <c r="I989" i="18"/>
  <c r="I988" i="18"/>
  <c r="O987" i="18"/>
  <c r="N987" i="18"/>
  <c r="M987" i="18"/>
  <c r="K987" i="18"/>
  <c r="I986" i="18"/>
  <c r="I985" i="18"/>
  <c r="I984" i="18"/>
  <c r="O983" i="18"/>
  <c r="N983" i="18"/>
  <c r="M983" i="18"/>
  <c r="L983" i="18"/>
  <c r="K983" i="18"/>
  <c r="J983" i="18"/>
  <c r="J1003" i="18" s="1"/>
  <c r="O981" i="18"/>
  <c r="N981" i="18"/>
  <c r="M981" i="18"/>
  <c r="L981" i="18"/>
  <c r="K981" i="18"/>
  <c r="J981" i="18"/>
  <c r="O980" i="18"/>
  <c r="N980" i="18"/>
  <c r="M980" i="18"/>
  <c r="L980" i="18"/>
  <c r="K980" i="18"/>
  <c r="J980" i="18"/>
  <c r="O979" i="18"/>
  <c r="N979" i="18"/>
  <c r="M979" i="18"/>
  <c r="L979" i="18"/>
  <c r="K979" i="18"/>
  <c r="J979" i="18"/>
  <c r="K978" i="18"/>
  <c r="I977" i="18"/>
  <c r="I976" i="18"/>
  <c r="I975" i="18"/>
  <c r="N974" i="18"/>
  <c r="M974" i="18"/>
  <c r="K974" i="18"/>
  <c r="J974" i="18"/>
  <c r="I973" i="18"/>
  <c r="I972" i="18"/>
  <c r="I971" i="18"/>
  <c r="N970" i="18"/>
  <c r="M970" i="18"/>
  <c r="L970" i="18"/>
  <c r="K970" i="18"/>
  <c r="J970" i="18"/>
  <c r="I969" i="18"/>
  <c r="I968" i="18"/>
  <c r="I967" i="18"/>
  <c r="O966" i="18"/>
  <c r="M966" i="18"/>
  <c r="J966" i="18"/>
  <c r="I965" i="18"/>
  <c r="I964" i="18"/>
  <c r="I963" i="18"/>
  <c r="O962" i="18"/>
  <c r="N962" i="18"/>
  <c r="M962" i="18"/>
  <c r="K962" i="18"/>
  <c r="I961" i="18"/>
  <c r="I960" i="18"/>
  <c r="I959" i="18"/>
  <c r="O958" i="18"/>
  <c r="M958" i="18"/>
  <c r="L958" i="18"/>
  <c r="O956" i="18"/>
  <c r="N956" i="18"/>
  <c r="M956" i="18"/>
  <c r="L956" i="18"/>
  <c r="K956" i="18"/>
  <c r="J956" i="18"/>
  <c r="I956" i="18"/>
  <c r="O955" i="18"/>
  <c r="N955" i="18"/>
  <c r="M955" i="18"/>
  <c r="L955" i="18"/>
  <c r="K955" i="18"/>
  <c r="J955" i="18"/>
  <c r="O954" i="18"/>
  <c r="N954" i="18"/>
  <c r="M954" i="18"/>
  <c r="L954" i="18"/>
  <c r="K954" i="18"/>
  <c r="J954" i="18"/>
  <c r="I954" i="18"/>
  <c r="I951" i="18"/>
  <c r="N949" i="18"/>
  <c r="M949" i="18"/>
  <c r="L949" i="18"/>
  <c r="K949" i="18"/>
  <c r="J949" i="18"/>
  <c r="I947" i="18"/>
  <c r="N945" i="18"/>
  <c r="M945" i="18"/>
  <c r="L945" i="18"/>
  <c r="K945" i="18"/>
  <c r="J945" i="18"/>
  <c r="I943" i="18"/>
  <c r="O941" i="18"/>
  <c r="N941" i="18"/>
  <c r="M941" i="18"/>
  <c r="L941" i="18"/>
  <c r="K941" i="18"/>
  <c r="J941" i="18"/>
  <c r="I939" i="18"/>
  <c r="O937" i="18"/>
  <c r="N937" i="18"/>
  <c r="M937" i="18"/>
  <c r="L937" i="18"/>
  <c r="K937" i="18"/>
  <c r="J937" i="18"/>
  <c r="I935" i="18"/>
  <c r="O933" i="18"/>
  <c r="N933" i="18"/>
  <c r="M933" i="18"/>
  <c r="L933" i="18"/>
  <c r="K933" i="18"/>
  <c r="J933" i="18"/>
  <c r="J953" i="18" s="1"/>
  <c r="O931" i="18"/>
  <c r="N931" i="18"/>
  <c r="M931" i="18"/>
  <c r="L931" i="18"/>
  <c r="K931" i="18"/>
  <c r="J931" i="18"/>
  <c r="O930" i="18"/>
  <c r="N930" i="18"/>
  <c r="M930" i="18"/>
  <c r="L930" i="18"/>
  <c r="K930" i="18"/>
  <c r="J930" i="18"/>
  <c r="O929" i="18"/>
  <c r="N929" i="18"/>
  <c r="M929" i="18"/>
  <c r="L929" i="18"/>
  <c r="K929" i="18"/>
  <c r="J929" i="18"/>
  <c r="I927" i="18"/>
  <c r="I926" i="18"/>
  <c r="I925" i="18"/>
  <c r="O924" i="18"/>
  <c r="N924" i="18"/>
  <c r="M924" i="18"/>
  <c r="L924" i="18"/>
  <c r="K924" i="18"/>
  <c r="J924" i="18"/>
  <c r="I923" i="18"/>
  <c r="I922" i="18"/>
  <c r="I921" i="18"/>
  <c r="O920" i="18"/>
  <c r="N920" i="18"/>
  <c r="M920" i="18"/>
  <c r="L920" i="18"/>
  <c r="K920" i="18"/>
  <c r="J920" i="18"/>
  <c r="I919" i="18"/>
  <c r="I918" i="18"/>
  <c r="I917" i="18"/>
  <c r="O916" i="18"/>
  <c r="N916" i="18"/>
  <c r="M916" i="18"/>
  <c r="L916" i="18"/>
  <c r="K916" i="18"/>
  <c r="J916" i="18"/>
  <c r="I915" i="18"/>
  <c r="I914" i="18"/>
  <c r="I913" i="18"/>
  <c r="O912" i="18"/>
  <c r="N912" i="18"/>
  <c r="M912" i="18"/>
  <c r="L912" i="18"/>
  <c r="K912" i="18"/>
  <c r="J912" i="18"/>
  <c r="I912" i="18" s="1"/>
  <c r="I911" i="18"/>
  <c r="I910" i="18"/>
  <c r="I909" i="18"/>
  <c r="O908" i="18"/>
  <c r="N908" i="18"/>
  <c r="M908" i="18"/>
  <c r="L908" i="18"/>
  <c r="K908" i="18"/>
  <c r="J908" i="18"/>
  <c r="I907" i="18"/>
  <c r="I906" i="18"/>
  <c r="I905" i="18"/>
  <c r="O904" i="18"/>
  <c r="N904" i="18"/>
  <c r="M904" i="18"/>
  <c r="L904" i="18"/>
  <c r="K904" i="18"/>
  <c r="J904" i="18"/>
  <c r="I903" i="18"/>
  <c r="I902" i="18"/>
  <c r="I901" i="18"/>
  <c r="O900" i="18"/>
  <c r="N900" i="18"/>
  <c r="M900" i="18"/>
  <c r="L900" i="18"/>
  <c r="K900" i="18"/>
  <c r="J900" i="18"/>
  <c r="I899" i="18"/>
  <c r="I898" i="18"/>
  <c r="I897" i="18"/>
  <c r="M896" i="18"/>
  <c r="L896" i="18"/>
  <c r="I895" i="18"/>
  <c r="I894" i="18"/>
  <c r="I893" i="18"/>
  <c r="I892" i="18"/>
  <c r="I891" i="18"/>
  <c r="I890" i="18"/>
  <c r="I889" i="18"/>
  <c r="O888" i="18"/>
  <c r="N888" i="18"/>
  <c r="M888" i="18"/>
  <c r="L888" i="18"/>
  <c r="J888" i="18"/>
  <c r="I888" i="18" s="1"/>
  <c r="I887" i="18"/>
  <c r="I886" i="18"/>
  <c r="I885" i="18"/>
  <c r="M884" i="18"/>
  <c r="L884" i="18"/>
  <c r="I884" i="18" s="1"/>
  <c r="J884" i="18"/>
  <c r="I883" i="18"/>
  <c r="I882" i="18"/>
  <c r="I881" i="18"/>
  <c r="O880" i="18"/>
  <c r="M880" i="18"/>
  <c r="L880" i="18"/>
  <c r="I880" i="18" s="1"/>
  <c r="J880" i="18"/>
  <c r="O878" i="18"/>
  <c r="N878" i="18"/>
  <c r="M878" i="18"/>
  <c r="L878" i="18"/>
  <c r="K878" i="18"/>
  <c r="J878" i="18"/>
  <c r="I878" i="18"/>
  <c r="O877" i="18"/>
  <c r="N877" i="18"/>
  <c r="M877" i="18"/>
  <c r="L877" i="18"/>
  <c r="K877" i="18"/>
  <c r="J877" i="18"/>
  <c r="O876" i="18"/>
  <c r="N876" i="18"/>
  <c r="M876" i="18"/>
  <c r="L876" i="18"/>
  <c r="K876" i="18"/>
  <c r="J876" i="18"/>
  <c r="I876" i="18"/>
  <c r="I873" i="18"/>
  <c r="O871" i="18"/>
  <c r="N871" i="18"/>
  <c r="M871" i="18"/>
  <c r="L871" i="18"/>
  <c r="K871" i="18"/>
  <c r="J871" i="18"/>
  <c r="I869" i="18"/>
  <c r="O867" i="18"/>
  <c r="N867" i="18"/>
  <c r="M867" i="18"/>
  <c r="L867" i="18"/>
  <c r="K867" i="18"/>
  <c r="J867" i="18"/>
  <c r="I865" i="18"/>
  <c r="O863" i="18"/>
  <c r="N863" i="18"/>
  <c r="M863" i="18"/>
  <c r="L863" i="18"/>
  <c r="K863" i="18"/>
  <c r="J863" i="18"/>
  <c r="I861" i="18"/>
  <c r="O859" i="18"/>
  <c r="N859" i="18"/>
  <c r="M859" i="18"/>
  <c r="L859" i="18"/>
  <c r="K859" i="18"/>
  <c r="J859" i="18"/>
  <c r="I857" i="18"/>
  <c r="O855" i="18"/>
  <c r="N855" i="18"/>
  <c r="M855" i="18"/>
  <c r="L855" i="18"/>
  <c r="K855" i="18"/>
  <c r="J855" i="18"/>
  <c r="I853" i="18"/>
  <c r="O851" i="18"/>
  <c r="N851" i="18"/>
  <c r="M851" i="18"/>
  <c r="L851" i="18"/>
  <c r="K851" i="18"/>
  <c r="J851" i="18"/>
  <c r="I849" i="18"/>
  <c r="O847" i="18"/>
  <c r="N847" i="18"/>
  <c r="M847" i="18"/>
  <c r="L847" i="18"/>
  <c r="K847" i="18"/>
  <c r="J847" i="18"/>
  <c r="I845" i="18"/>
  <c r="O843" i="18"/>
  <c r="N843" i="18"/>
  <c r="M843" i="18"/>
  <c r="L843" i="18"/>
  <c r="K843" i="18"/>
  <c r="J843" i="18"/>
  <c r="I841" i="18"/>
  <c r="O839" i="18"/>
  <c r="N839" i="18"/>
  <c r="M839" i="18"/>
  <c r="L839" i="18"/>
  <c r="K839" i="18"/>
  <c r="J839" i="18"/>
  <c r="I837" i="18"/>
  <c r="O835" i="18"/>
  <c r="N835" i="18"/>
  <c r="M835" i="18"/>
  <c r="L835" i="18"/>
  <c r="K835" i="18"/>
  <c r="J835" i="18"/>
  <c r="I833" i="18"/>
  <c r="O831" i="18"/>
  <c r="N831" i="18"/>
  <c r="M831" i="18"/>
  <c r="L831" i="18"/>
  <c r="K831" i="18"/>
  <c r="J831" i="18"/>
  <c r="I829" i="18"/>
  <c r="O827" i="18"/>
  <c r="N827" i="18"/>
  <c r="M827" i="18"/>
  <c r="L827" i="18"/>
  <c r="K827" i="18"/>
  <c r="J827" i="18"/>
  <c r="I825" i="18"/>
  <c r="O823" i="18"/>
  <c r="N823" i="18"/>
  <c r="M823" i="18"/>
  <c r="L823" i="18"/>
  <c r="K823" i="18"/>
  <c r="J823" i="18"/>
  <c r="O821" i="18"/>
  <c r="N821" i="18"/>
  <c r="M821" i="18"/>
  <c r="L821" i="18"/>
  <c r="K821" i="18"/>
  <c r="J821" i="18"/>
  <c r="O820" i="18"/>
  <c r="N820" i="18"/>
  <c r="M820" i="18"/>
  <c r="L820" i="18"/>
  <c r="K820" i="18"/>
  <c r="J820" i="18"/>
  <c r="O819" i="18"/>
  <c r="N819" i="18"/>
  <c r="M819" i="18"/>
  <c r="L819" i="18"/>
  <c r="K819" i="18"/>
  <c r="J819" i="18"/>
  <c r="I817" i="18"/>
  <c r="I821" i="18" s="1"/>
  <c r="I816" i="18"/>
  <c r="I820" i="18" s="1"/>
  <c r="I815" i="18"/>
  <c r="I819" i="18" s="1"/>
  <c r="O814" i="18"/>
  <c r="O818" i="18" s="1"/>
  <c r="N814" i="18"/>
  <c r="N818" i="18" s="1"/>
  <c r="M814" i="18"/>
  <c r="M818" i="18" s="1"/>
  <c r="L814" i="18"/>
  <c r="L818" i="18" s="1"/>
  <c r="K814" i="18"/>
  <c r="K818" i="18" s="1"/>
  <c r="J814" i="18"/>
  <c r="O812" i="18"/>
  <c r="N812" i="18"/>
  <c r="M812" i="18"/>
  <c r="L812" i="18"/>
  <c r="K812" i="18"/>
  <c r="J812" i="18"/>
  <c r="O811" i="18"/>
  <c r="N811" i="18"/>
  <c r="M811" i="18"/>
  <c r="L811" i="18"/>
  <c r="K811" i="18"/>
  <c r="J811" i="18"/>
  <c r="O810" i="18"/>
  <c r="N810" i="18"/>
  <c r="M810" i="18"/>
  <c r="L810" i="18"/>
  <c r="K810" i="18"/>
  <c r="J810" i="18"/>
  <c r="I808" i="18"/>
  <c r="I807" i="18"/>
  <c r="I806" i="18"/>
  <c r="O805" i="18"/>
  <c r="N805" i="18"/>
  <c r="M805" i="18"/>
  <c r="L805" i="18"/>
  <c r="K805" i="18"/>
  <c r="J805" i="18"/>
  <c r="I804" i="18"/>
  <c r="I803" i="18"/>
  <c r="I802" i="18"/>
  <c r="O801" i="18"/>
  <c r="N801" i="18"/>
  <c r="M801" i="18"/>
  <c r="L801" i="18"/>
  <c r="K801" i="18"/>
  <c r="J801" i="18"/>
  <c r="I800" i="18"/>
  <c r="I799" i="18"/>
  <c r="I798" i="18"/>
  <c r="O797" i="18"/>
  <c r="N797" i="18"/>
  <c r="M797" i="18"/>
  <c r="L797" i="18"/>
  <c r="K797" i="18"/>
  <c r="J797" i="18"/>
  <c r="I796" i="18"/>
  <c r="I795" i="18"/>
  <c r="I794" i="18"/>
  <c r="O793" i="18"/>
  <c r="N793" i="18"/>
  <c r="M793" i="18"/>
  <c r="L793" i="18"/>
  <c r="K793" i="18"/>
  <c r="J793" i="18"/>
  <c r="I792" i="18"/>
  <c r="I791" i="18"/>
  <c r="I790" i="18"/>
  <c r="O789" i="18"/>
  <c r="N789" i="18"/>
  <c r="M789" i="18"/>
  <c r="L789" i="18"/>
  <c r="K789" i="18"/>
  <c r="J789" i="18"/>
  <c r="I788" i="18"/>
  <c r="I787" i="18"/>
  <c r="I786" i="18"/>
  <c r="O785" i="18"/>
  <c r="N785" i="18"/>
  <c r="M785" i="18"/>
  <c r="L785" i="18"/>
  <c r="K785" i="18"/>
  <c r="J785" i="18"/>
  <c r="I784" i="18"/>
  <c r="I783" i="18"/>
  <c r="I782" i="18"/>
  <c r="O781" i="18"/>
  <c r="N781" i="18"/>
  <c r="M781" i="18"/>
  <c r="L781" i="18"/>
  <c r="K781" i="18"/>
  <c r="J781" i="18"/>
  <c r="I780" i="18"/>
  <c r="I779" i="18"/>
  <c r="I778" i="18"/>
  <c r="O777" i="18"/>
  <c r="N777" i="18"/>
  <c r="M777" i="18"/>
  <c r="L777" i="18"/>
  <c r="K777" i="18"/>
  <c r="J777" i="18"/>
  <c r="I776" i="18"/>
  <c r="I775" i="18"/>
  <c r="I774" i="18"/>
  <c r="O773" i="18"/>
  <c r="N773" i="18"/>
  <c r="M773" i="18"/>
  <c r="L773" i="18"/>
  <c r="K773" i="18"/>
  <c r="J773" i="18"/>
  <c r="I773" i="18" s="1"/>
  <c r="O771" i="18"/>
  <c r="N771" i="18"/>
  <c r="M771" i="18"/>
  <c r="L771" i="18"/>
  <c r="K771" i="18"/>
  <c r="J771" i="18"/>
  <c r="O770" i="18"/>
  <c r="N770" i="18"/>
  <c r="M770" i="18"/>
  <c r="L770" i="18"/>
  <c r="K770" i="18"/>
  <c r="J770" i="18"/>
  <c r="O769" i="18"/>
  <c r="N769" i="18"/>
  <c r="M769" i="18"/>
  <c r="L769" i="18"/>
  <c r="K769" i="18"/>
  <c r="J769" i="18"/>
  <c r="I767" i="18"/>
  <c r="I766" i="18"/>
  <c r="I765" i="18"/>
  <c r="N764" i="18"/>
  <c r="M764" i="18"/>
  <c r="L764" i="18"/>
  <c r="K764" i="18"/>
  <c r="J764" i="18"/>
  <c r="I763" i="18"/>
  <c r="I762" i="18"/>
  <c r="I761" i="18"/>
  <c r="N760" i="18"/>
  <c r="M760" i="18"/>
  <c r="L760" i="18"/>
  <c r="K760" i="18"/>
  <c r="J760" i="18"/>
  <c r="I759" i="18"/>
  <c r="I758" i="18"/>
  <c r="I757" i="18"/>
  <c r="N756" i="18"/>
  <c r="I756" i="18" s="1"/>
  <c r="M756" i="18"/>
  <c r="L756" i="18"/>
  <c r="K756" i="18"/>
  <c r="J756" i="18"/>
  <c r="I755" i="18"/>
  <c r="I754" i="18"/>
  <c r="I753" i="18"/>
  <c r="O752" i="18"/>
  <c r="N752" i="18"/>
  <c r="M752" i="18"/>
  <c r="L752" i="18"/>
  <c r="K752" i="18"/>
  <c r="J752" i="18"/>
  <c r="I751" i="18"/>
  <c r="I750" i="18"/>
  <c r="I749" i="18"/>
  <c r="O748" i="18"/>
  <c r="N748" i="18"/>
  <c r="L748" i="18"/>
  <c r="K748" i="18"/>
  <c r="J748" i="18"/>
  <c r="I747" i="18"/>
  <c r="I746" i="18"/>
  <c r="I770" i="18" s="1"/>
  <c r="I745" i="18"/>
  <c r="O744" i="18"/>
  <c r="O768" i="18" s="1"/>
  <c r="N744" i="18"/>
  <c r="M744" i="18"/>
  <c r="M768" i="18" s="1"/>
  <c r="L744" i="18"/>
  <c r="K744" i="18"/>
  <c r="J744" i="18"/>
  <c r="O742" i="18"/>
  <c r="N742" i="18"/>
  <c r="M742" i="18"/>
  <c r="L742" i="18"/>
  <c r="K742" i="18"/>
  <c r="J742" i="18"/>
  <c r="O741" i="18"/>
  <c r="N741" i="18"/>
  <c r="M741" i="18"/>
  <c r="L741" i="18"/>
  <c r="K741" i="18"/>
  <c r="J741" i="18"/>
  <c r="O740" i="18"/>
  <c r="N740" i="18"/>
  <c r="M740" i="18"/>
  <c r="L740" i="18"/>
  <c r="K740" i="18"/>
  <c r="J740" i="18"/>
  <c r="O739" i="18"/>
  <c r="I738" i="18"/>
  <c r="I737" i="18"/>
  <c r="I736" i="18"/>
  <c r="N735" i="18"/>
  <c r="M735" i="18"/>
  <c r="L735" i="18"/>
  <c r="K735" i="18"/>
  <c r="J735" i="18"/>
  <c r="I735" i="18" s="1"/>
  <c r="I734" i="18"/>
  <c r="I733" i="18"/>
  <c r="I732" i="18"/>
  <c r="N731" i="18"/>
  <c r="M731" i="18"/>
  <c r="L731" i="18"/>
  <c r="K731" i="18"/>
  <c r="J731" i="18"/>
  <c r="I730" i="18"/>
  <c r="I742" i="18" s="1"/>
  <c r="I729" i="18"/>
  <c r="I728" i="18"/>
  <c r="I740" i="18" s="1"/>
  <c r="N727" i="18"/>
  <c r="N739" i="18" s="1"/>
  <c r="M727" i="18"/>
  <c r="M739" i="18" s="1"/>
  <c r="L727" i="18"/>
  <c r="K727" i="18"/>
  <c r="J727" i="18"/>
  <c r="O725" i="18"/>
  <c r="N725" i="18"/>
  <c r="M725" i="18"/>
  <c r="L725" i="18"/>
  <c r="K725" i="18"/>
  <c r="J725" i="18"/>
  <c r="O724" i="18"/>
  <c r="N724" i="18"/>
  <c r="M724" i="18"/>
  <c r="L724" i="18"/>
  <c r="K724" i="18"/>
  <c r="J724" i="18"/>
  <c r="O723" i="18"/>
  <c r="N723" i="18"/>
  <c r="M723" i="18"/>
  <c r="L723" i="18"/>
  <c r="K723" i="18"/>
  <c r="J723" i="18"/>
  <c r="I721" i="18"/>
  <c r="I720" i="18"/>
  <c r="I719" i="18"/>
  <c r="M718" i="18"/>
  <c r="L718" i="18"/>
  <c r="K718" i="18"/>
  <c r="I718" i="18"/>
  <c r="I717" i="18"/>
  <c r="I716" i="18"/>
  <c r="I715" i="18"/>
  <c r="O714" i="18"/>
  <c r="I714" i="18" s="1"/>
  <c r="M714" i="18"/>
  <c r="L714" i="18"/>
  <c r="K714" i="18"/>
  <c r="I712" i="18"/>
  <c r="I711" i="18"/>
  <c r="O710" i="18"/>
  <c r="L710" i="18"/>
  <c r="K710" i="18"/>
  <c r="I708" i="18"/>
  <c r="I707" i="18"/>
  <c r="O706" i="18"/>
  <c r="M706" i="18"/>
  <c r="K706" i="18"/>
  <c r="I704" i="18"/>
  <c r="O702" i="18"/>
  <c r="M702" i="18"/>
  <c r="K702" i="18"/>
  <c r="I702" i="18" s="1"/>
  <c r="I700" i="18"/>
  <c r="O698" i="18"/>
  <c r="M698" i="18"/>
  <c r="I696" i="18"/>
  <c r="O694" i="18"/>
  <c r="I694" i="18" s="1"/>
  <c r="M694" i="18"/>
  <c r="I692" i="18"/>
  <c r="O690" i="18"/>
  <c r="M690" i="18"/>
  <c r="I688" i="18"/>
  <c r="I687" i="18"/>
  <c r="O686" i="18"/>
  <c r="I686" i="18" s="1"/>
  <c r="M686" i="18"/>
  <c r="I684" i="18"/>
  <c r="O682" i="18"/>
  <c r="N682" i="18"/>
  <c r="M682" i="18"/>
  <c r="L682" i="18"/>
  <c r="K682" i="18"/>
  <c r="J682" i="18"/>
  <c r="I680" i="18"/>
  <c r="O678" i="18"/>
  <c r="N678" i="18"/>
  <c r="M678" i="18"/>
  <c r="L678" i="18"/>
  <c r="K678" i="18"/>
  <c r="I676" i="18"/>
  <c r="I675" i="18"/>
  <c r="O674" i="18"/>
  <c r="M674" i="18"/>
  <c r="L674" i="18"/>
  <c r="J674" i="18"/>
  <c r="I672" i="18"/>
  <c r="I671" i="18"/>
  <c r="O670" i="18"/>
  <c r="M670" i="18"/>
  <c r="L670" i="18"/>
  <c r="K670" i="18"/>
  <c r="J670" i="18"/>
  <c r="I668" i="18"/>
  <c r="I667" i="18"/>
  <c r="O666" i="18"/>
  <c r="M666" i="18"/>
  <c r="L666" i="18"/>
  <c r="K666" i="18"/>
  <c r="J666" i="18"/>
  <c r="I664" i="18"/>
  <c r="O662" i="18"/>
  <c r="N662" i="18"/>
  <c r="M662" i="18"/>
  <c r="L662" i="18"/>
  <c r="K662" i="18"/>
  <c r="J662" i="18"/>
  <c r="I660" i="18"/>
  <c r="O658" i="18"/>
  <c r="M658" i="18"/>
  <c r="L658" i="18"/>
  <c r="K658" i="18"/>
  <c r="J658" i="18"/>
  <c r="I656" i="18"/>
  <c r="O654" i="18"/>
  <c r="M654" i="18"/>
  <c r="L654" i="18"/>
  <c r="K654" i="18"/>
  <c r="J654" i="18"/>
  <c r="I652" i="18"/>
  <c r="O650" i="18"/>
  <c r="N650" i="18"/>
  <c r="M650" i="18"/>
  <c r="L650" i="18"/>
  <c r="K650" i="18"/>
  <c r="I648" i="18"/>
  <c r="O646" i="18"/>
  <c r="M646" i="18"/>
  <c r="L646" i="18"/>
  <c r="K646" i="18"/>
  <c r="J646" i="18"/>
  <c r="I644" i="18"/>
  <c r="O642" i="18"/>
  <c r="M642" i="18"/>
  <c r="L642" i="18"/>
  <c r="K642" i="18"/>
  <c r="J642" i="18"/>
  <c r="I640" i="18"/>
  <c r="O638" i="18"/>
  <c r="M638" i="18"/>
  <c r="L638" i="18"/>
  <c r="K638" i="18"/>
  <c r="J638" i="18"/>
  <c r="I638" i="18" s="1"/>
  <c r="I636" i="18"/>
  <c r="O634" i="18"/>
  <c r="N634" i="18"/>
  <c r="M634" i="18"/>
  <c r="L634" i="18"/>
  <c r="K634" i="18"/>
  <c r="J634" i="18"/>
  <c r="I632" i="18"/>
  <c r="O630" i="18"/>
  <c r="M630" i="18"/>
  <c r="L630" i="18"/>
  <c r="K630" i="18"/>
  <c r="J630" i="18"/>
  <c r="I628" i="18"/>
  <c r="O626" i="18"/>
  <c r="N626" i="18"/>
  <c r="L626" i="18"/>
  <c r="K626" i="18"/>
  <c r="J626" i="18"/>
  <c r="I624" i="18"/>
  <c r="O622" i="18"/>
  <c r="N622" i="18"/>
  <c r="L622" i="18"/>
  <c r="J622" i="18"/>
  <c r="I620" i="18"/>
  <c r="O618" i="18"/>
  <c r="O722" i="18" s="1"/>
  <c r="N618" i="18"/>
  <c r="L618" i="18"/>
  <c r="K618" i="18"/>
  <c r="I616" i="18"/>
  <c r="O614" i="18"/>
  <c r="M614" i="18"/>
  <c r="L614" i="18"/>
  <c r="K614" i="18"/>
  <c r="J614" i="18"/>
  <c r="I612" i="18"/>
  <c r="O610" i="18"/>
  <c r="M610" i="18"/>
  <c r="L610" i="18"/>
  <c r="K610" i="18"/>
  <c r="J610" i="18"/>
  <c r="I610" i="18"/>
  <c r="I608" i="18"/>
  <c r="O606" i="18"/>
  <c r="M606" i="18"/>
  <c r="L606" i="18"/>
  <c r="K606" i="18"/>
  <c r="J606" i="18"/>
  <c r="I606" i="18"/>
  <c r="O604" i="18"/>
  <c r="N604" i="18"/>
  <c r="M604" i="18"/>
  <c r="L604" i="18"/>
  <c r="K604" i="18"/>
  <c r="J604" i="18"/>
  <c r="O603" i="18"/>
  <c r="N603" i="18"/>
  <c r="M603" i="18"/>
  <c r="L603" i="18"/>
  <c r="K603" i="18"/>
  <c r="J603" i="18"/>
  <c r="O602" i="18"/>
  <c r="N602" i="18"/>
  <c r="M602" i="18"/>
  <c r="L602" i="18"/>
  <c r="K602" i="18"/>
  <c r="J602" i="18"/>
  <c r="I600" i="18"/>
  <c r="I599" i="18"/>
  <c r="I598" i="18"/>
  <c r="O597" i="18"/>
  <c r="N597" i="18"/>
  <c r="M597" i="18"/>
  <c r="L597" i="18"/>
  <c r="K597" i="18"/>
  <c r="J597" i="18"/>
  <c r="I596" i="18"/>
  <c r="I595" i="18"/>
  <c r="I594" i="18"/>
  <c r="O593" i="18"/>
  <c r="N593" i="18"/>
  <c r="M593" i="18"/>
  <c r="K593" i="18"/>
  <c r="J593" i="18"/>
  <c r="I592" i="18"/>
  <c r="I591" i="18"/>
  <c r="I603" i="18" s="1"/>
  <c r="I590" i="18"/>
  <c r="O589" i="18"/>
  <c r="N589" i="18"/>
  <c r="M589" i="18"/>
  <c r="M601" i="18" s="1"/>
  <c r="L589" i="18"/>
  <c r="K589" i="18"/>
  <c r="K601" i="18" s="1"/>
  <c r="J589" i="18"/>
  <c r="O587" i="18"/>
  <c r="N587" i="18"/>
  <c r="M587" i="18"/>
  <c r="L587" i="18"/>
  <c r="K587" i="18"/>
  <c r="J587" i="18"/>
  <c r="I587" i="18"/>
  <c r="O586" i="18"/>
  <c r="N586" i="18"/>
  <c r="M586" i="18"/>
  <c r="L586" i="18"/>
  <c r="K586" i="18"/>
  <c r="J586" i="18"/>
  <c r="O585" i="18"/>
  <c r="N585" i="18"/>
  <c r="M585" i="18"/>
  <c r="L585" i="18"/>
  <c r="K585" i="18"/>
  <c r="J585" i="18"/>
  <c r="I585" i="18"/>
  <c r="L584" i="18"/>
  <c r="I582" i="18"/>
  <c r="O580" i="18"/>
  <c r="N580" i="18"/>
  <c r="I578" i="18"/>
  <c r="O576" i="18"/>
  <c r="N576" i="18"/>
  <c r="I576" i="18" s="1"/>
  <c r="L576" i="18"/>
  <c r="K576" i="18"/>
  <c r="J576" i="18"/>
  <c r="I574" i="18"/>
  <c r="O572" i="18"/>
  <c r="N572" i="18"/>
  <c r="M572" i="18"/>
  <c r="M584" i="18" s="1"/>
  <c r="K572" i="18"/>
  <c r="J572" i="18"/>
  <c r="I572" i="18" s="1"/>
  <c r="O570" i="18"/>
  <c r="N570" i="18"/>
  <c r="M570" i="18"/>
  <c r="L570" i="18"/>
  <c r="K570" i="18"/>
  <c r="J570" i="18"/>
  <c r="I570" i="18"/>
  <c r="O569" i="18"/>
  <c r="N569" i="18"/>
  <c r="M569" i="18"/>
  <c r="L569" i="18"/>
  <c r="K569" i="18"/>
  <c r="J569" i="18"/>
  <c r="O568" i="18"/>
  <c r="N568" i="18"/>
  <c r="M568" i="18"/>
  <c r="L568" i="18"/>
  <c r="K568" i="18"/>
  <c r="J568" i="18"/>
  <c r="I568" i="18"/>
  <c r="N567" i="18"/>
  <c r="I565" i="18"/>
  <c r="O563" i="18"/>
  <c r="N563" i="18"/>
  <c r="M563" i="18"/>
  <c r="L563" i="18"/>
  <c r="K563" i="18"/>
  <c r="J563" i="18"/>
  <c r="I561" i="18"/>
  <c r="O559" i="18"/>
  <c r="N559" i="18"/>
  <c r="M559" i="18"/>
  <c r="M567" i="18" s="1"/>
  <c r="L559" i="18"/>
  <c r="L567" i="18" s="1"/>
  <c r="K559" i="18"/>
  <c r="K567" i="18" s="1"/>
  <c r="J559" i="18"/>
  <c r="O557" i="18"/>
  <c r="N557" i="18"/>
  <c r="M557" i="18"/>
  <c r="L557" i="18"/>
  <c r="K557" i="18"/>
  <c r="J557" i="18"/>
  <c r="O556" i="18"/>
  <c r="N556" i="18"/>
  <c r="M556" i="18"/>
  <c r="L556" i="18"/>
  <c r="K556" i="18"/>
  <c r="J556" i="18"/>
  <c r="O555" i="18"/>
  <c r="N555" i="18"/>
  <c r="M555" i="18"/>
  <c r="L555" i="18"/>
  <c r="K555" i="18"/>
  <c r="J555" i="18"/>
  <c r="I553" i="18"/>
  <c r="I552" i="18"/>
  <c r="I551" i="18"/>
  <c r="O550" i="18"/>
  <c r="N550" i="18"/>
  <c r="M550" i="18"/>
  <c r="L550" i="18"/>
  <c r="K550" i="18"/>
  <c r="J550" i="18"/>
  <c r="I549" i="18"/>
  <c r="I548" i="18"/>
  <c r="I547" i="18"/>
  <c r="O546" i="18"/>
  <c r="N546" i="18"/>
  <c r="M546" i="18"/>
  <c r="L546" i="18"/>
  <c r="J546" i="18"/>
  <c r="I545" i="18"/>
  <c r="I544" i="18"/>
  <c r="I543" i="18"/>
  <c r="O542" i="18"/>
  <c r="N542" i="18"/>
  <c r="M542" i="18"/>
  <c r="L542" i="18"/>
  <c r="K542" i="18"/>
  <c r="J542" i="18"/>
  <c r="I541" i="18"/>
  <c r="I540" i="18"/>
  <c r="I539" i="18"/>
  <c r="O538" i="18"/>
  <c r="N538" i="18"/>
  <c r="M538" i="18"/>
  <c r="L538" i="18"/>
  <c r="K538" i="18"/>
  <c r="J538" i="18"/>
  <c r="I537" i="18"/>
  <c r="I536" i="18"/>
  <c r="I535" i="18"/>
  <c r="O534" i="18"/>
  <c r="N534" i="18"/>
  <c r="M534" i="18"/>
  <c r="L534" i="18"/>
  <c r="K534" i="18"/>
  <c r="J534" i="18"/>
  <c r="I533" i="18"/>
  <c r="I532" i="18"/>
  <c r="I531" i="18"/>
  <c r="O530" i="18"/>
  <c r="N530" i="18"/>
  <c r="M530" i="18"/>
  <c r="L530" i="18"/>
  <c r="K530" i="18"/>
  <c r="J530" i="18"/>
  <c r="I529" i="18"/>
  <c r="I528" i="18"/>
  <c r="I527" i="18"/>
  <c r="O526" i="18"/>
  <c r="N526" i="18"/>
  <c r="M526" i="18"/>
  <c r="L526" i="18"/>
  <c r="K526" i="18"/>
  <c r="J526" i="18"/>
  <c r="O524" i="18"/>
  <c r="N524" i="18"/>
  <c r="M524" i="18"/>
  <c r="L524" i="18"/>
  <c r="K524" i="18"/>
  <c r="J524" i="18"/>
  <c r="O523" i="18"/>
  <c r="N523" i="18"/>
  <c r="M523" i="18"/>
  <c r="L523" i="18"/>
  <c r="K523" i="18"/>
  <c r="J523" i="18"/>
  <c r="O522" i="18"/>
  <c r="N522" i="18"/>
  <c r="M522" i="18"/>
  <c r="L522" i="18"/>
  <c r="K522" i="18"/>
  <c r="J522" i="18"/>
  <c r="I520" i="18"/>
  <c r="I519" i="18"/>
  <c r="I518" i="18"/>
  <c r="O517" i="18"/>
  <c r="N517" i="18"/>
  <c r="M517" i="18"/>
  <c r="L517" i="18"/>
  <c r="K517" i="18"/>
  <c r="J517" i="18"/>
  <c r="I516" i="18"/>
  <c r="I515" i="18"/>
  <c r="I514" i="18"/>
  <c r="O513" i="18"/>
  <c r="N513" i="18"/>
  <c r="M513" i="18"/>
  <c r="L513" i="18"/>
  <c r="K513" i="18"/>
  <c r="J513" i="18"/>
  <c r="I512" i="18"/>
  <c r="I511" i="18"/>
  <c r="I510" i="18"/>
  <c r="O509" i="18"/>
  <c r="N509" i="18"/>
  <c r="M509" i="18"/>
  <c r="L509" i="18"/>
  <c r="K509" i="18"/>
  <c r="J509" i="18"/>
  <c r="I508" i="18"/>
  <c r="I507" i="18"/>
  <c r="I506" i="18"/>
  <c r="O505" i="18"/>
  <c r="N505" i="18"/>
  <c r="M505" i="18"/>
  <c r="L505" i="18"/>
  <c r="K505" i="18"/>
  <c r="J505" i="18"/>
  <c r="I504" i="18"/>
  <c r="I503" i="18"/>
  <c r="I502" i="18"/>
  <c r="O501" i="18"/>
  <c r="N501" i="18"/>
  <c r="M501" i="18"/>
  <c r="L501" i="18"/>
  <c r="K501" i="18"/>
  <c r="J501" i="18"/>
  <c r="I500" i="18"/>
  <c r="I499" i="18"/>
  <c r="I498" i="18"/>
  <c r="O497" i="18"/>
  <c r="N497" i="18"/>
  <c r="M497" i="18"/>
  <c r="L497" i="18"/>
  <c r="K497" i="18"/>
  <c r="J497" i="18"/>
  <c r="I496" i="18"/>
  <c r="I495" i="18"/>
  <c r="I494" i="18"/>
  <c r="O493" i="18"/>
  <c r="N493" i="18"/>
  <c r="M493" i="18"/>
  <c r="L493" i="18"/>
  <c r="I493" i="18" s="1"/>
  <c r="K493" i="18"/>
  <c r="J493" i="18"/>
  <c r="I492" i="18"/>
  <c r="I491" i="18"/>
  <c r="I490" i="18"/>
  <c r="O489" i="18"/>
  <c r="N489" i="18"/>
  <c r="M489" i="18"/>
  <c r="L489" i="18"/>
  <c r="K489" i="18"/>
  <c r="J489" i="18"/>
  <c r="I488" i="18"/>
  <c r="I487" i="18"/>
  <c r="I486" i="18"/>
  <c r="O485" i="18"/>
  <c r="N485" i="18"/>
  <c r="M485" i="18"/>
  <c r="L485" i="18"/>
  <c r="K485" i="18"/>
  <c r="J485" i="18"/>
  <c r="I484" i="18"/>
  <c r="I483" i="18"/>
  <c r="I482" i="18"/>
  <c r="O481" i="18"/>
  <c r="N481" i="18"/>
  <c r="M481" i="18"/>
  <c r="L481" i="18"/>
  <c r="K481" i="18"/>
  <c r="J481" i="18"/>
  <c r="I480" i="18"/>
  <c r="I479" i="18"/>
  <c r="I478" i="18"/>
  <c r="O477" i="18"/>
  <c r="N477" i="18"/>
  <c r="M477" i="18"/>
  <c r="L477" i="18"/>
  <c r="K477" i="18"/>
  <c r="J477" i="18"/>
  <c r="I476" i="18"/>
  <c r="I475" i="18"/>
  <c r="I474" i="18"/>
  <c r="O473" i="18"/>
  <c r="N473" i="18"/>
  <c r="M473" i="18"/>
  <c r="L473" i="18"/>
  <c r="K473" i="18"/>
  <c r="J473" i="18"/>
  <c r="I473" i="18" s="1"/>
  <c r="I472" i="18"/>
  <c r="I471" i="18"/>
  <c r="I470" i="18"/>
  <c r="O469" i="18"/>
  <c r="N469" i="18"/>
  <c r="M469" i="18"/>
  <c r="L469" i="18"/>
  <c r="K469" i="18"/>
  <c r="J469" i="18"/>
  <c r="I468" i="18"/>
  <c r="I467" i="18"/>
  <c r="I466" i="18"/>
  <c r="O465" i="18"/>
  <c r="N465" i="18"/>
  <c r="L465" i="18"/>
  <c r="K465" i="18"/>
  <c r="J465" i="18"/>
  <c r="I464" i="18"/>
  <c r="I463" i="18"/>
  <c r="I462" i="18"/>
  <c r="O461" i="18"/>
  <c r="N461" i="18"/>
  <c r="M461" i="18"/>
  <c r="L461" i="18"/>
  <c r="K461" i="18"/>
  <c r="J461" i="18"/>
  <c r="I460" i="18"/>
  <c r="I459" i="18"/>
  <c r="I458" i="18"/>
  <c r="O457" i="18"/>
  <c r="N457" i="18"/>
  <c r="M457" i="18"/>
  <c r="L457" i="18"/>
  <c r="K457" i="18"/>
  <c r="J457" i="18"/>
  <c r="I456" i="18"/>
  <c r="I455" i="18"/>
  <c r="I454" i="18"/>
  <c r="O453" i="18"/>
  <c r="N453" i="18"/>
  <c r="M453" i="18"/>
  <c r="L453" i="18"/>
  <c r="K453" i="18"/>
  <c r="J453" i="18"/>
  <c r="O451" i="18"/>
  <c r="N451" i="18"/>
  <c r="M451" i="18"/>
  <c r="L451" i="18"/>
  <c r="K451" i="18"/>
  <c r="J451" i="18"/>
  <c r="O450" i="18"/>
  <c r="N450" i="18"/>
  <c r="M450" i="18"/>
  <c r="L450" i="18"/>
  <c r="K450" i="18"/>
  <c r="J450" i="18"/>
  <c r="O449" i="18"/>
  <c r="N449" i="18"/>
  <c r="M449" i="18"/>
  <c r="L449" i="18"/>
  <c r="K449" i="18"/>
  <c r="J449" i="18"/>
  <c r="I447" i="18"/>
  <c r="I446" i="18"/>
  <c r="I445" i="18"/>
  <c r="O444" i="18"/>
  <c r="N444" i="18"/>
  <c r="M444" i="18"/>
  <c r="L444" i="18"/>
  <c r="K444" i="18"/>
  <c r="J444" i="18"/>
  <c r="I443" i="18"/>
  <c r="I442" i="18"/>
  <c r="I441" i="18"/>
  <c r="O440" i="18"/>
  <c r="N440" i="18"/>
  <c r="M440" i="18"/>
  <c r="L440" i="18"/>
  <c r="K440" i="18"/>
  <c r="J440" i="18"/>
  <c r="I439" i="18"/>
  <c r="I438" i="18"/>
  <c r="I437" i="18"/>
  <c r="M436" i="18"/>
  <c r="L436" i="18"/>
  <c r="K436" i="18"/>
  <c r="J436" i="18"/>
  <c r="I436" i="18"/>
  <c r="I435" i="18"/>
  <c r="I434" i="18"/>
  <c r="I433" i="18"/>
  <c r="N432" i="18"/>
  <c r="M432" i="18"/>
  <c r="L432" i="18"/>
  <c r="K432" i="18"/>
  <c r="J432" i="18"/>
  <c r="I432" i="18"/>
  <c r="I431" i="18"/>
  <c r="I430" i="18"/>
  <c r="I429" i="18"/>
  <c r="M428" i="18"/>
  <c r="L428" i="18"/>
  <c r="K428" i="18"/>
  <c r="J428" i="18"/>
  <c r="I428" i="18"/>
  <c r="I427" i="18"/>
  <c r="I426" i="18"/>
  <c r="I425" i="18"/>
  <c r="M424" i="18"/>
  <c r="L424" i="18"/>
  <c r="K424" i="18"/>
  <c r="J424" i="18"/>
  <c r="I424" i="18"/>
  <c r="I423" i="18"/>
  <c r="I422" i="18"/>
  <c r="I421" i="18"/>
  <c r="M420" i="18"/>
  <c r="L420" i="18"/>
  <c r="K420" i="18"/>
  <c r="J420" i="18"/>
  <c r="I420" i="18"/>
  <c r="I419" i="18"/>
  <c r="I418" i="18"/>
  <c r="I417" i="18"/>
  <c r="O416" i="18"/>
  <c r="M416" i="18"/>
  <c r="L416" i="18"/>
  <c r="K416" i="18"/>
  <c r="J416" i="18"/>
  <c r="I416" i="18" s="1"/>
  <c r="I415" i="18"/>
  <c r="I414" i="18"/>
  <c r="I413" i="18"/>
  <c r="O412" i="18"/>
  <c r="L412" i="18"/>
  <c r="K412" i="18"/>
  <c r="J412" i="18"/>
  <c r="I412" i="18" s="1"/>
  <c r="I411" i="18"/>
  <c r="I410" i="18"/>
  <c r="I409" i="18"/>
  <c r="N408" i="18"/>
  <c r="L408" i="18"/>
  <c r="K408" i="18"/>
  <c r="J408" i="18"/>
  <c r="I407" i="18"/>
  <c r="I406" i="18"/>
  <c r="I405" i="18"/>
  <c r="O404" i="18"/>
  <c r="M404" i="18"/>
  <c r="K404" i="18"/>
  <c r="J404" i="18"/>
  <c r="I403" i="18"/>
  <c r="I402" i="18"/>
  <c r="I401" i="18"/>
  <c r="O400" i="18"/>
  <c r="M400" i="18"/>
  <c r="K400" i="18"/>
  <c r="J400" i="18"/>
  <c r="I399" i="18"/>
  <c r="I398" i="18"/>
  <c r="I397" i="18"/>
  <c r="N396" i="18"/>
  <c r="M396" i="18"/>
  <c r="K396" i="18"/>
  <c r="J396" i="18"/>
  <c r="I395" i="18"/>
  <c r="I394" i="18"/>
  <c r="I393" i="18"/>
  <c r="O392" i="18"/>
  <c r="M392" i="18"/>
  <c r="L392" i="18"/>
  <c r="J392" i="18"/>
  <c r="I391" i="18"/>
  <c r="I390" i="18"/>
  <c r="I389" i="18"/>
  <c r="O388" i="18"/>
  <c r="M388" i="18"/>
  <c r="L388" i="18"/>
  <c r="J388" i="18"/>
  <c r="I387" i="18"/>
  <c r="I386" i="18"/>
  <c r="I385" i="18"/>
  <c r="N384" i="18"/>
  <c r="M384" i="18"/>
  <c r="L384" i="18"/>
  <c r="J384" i="18"/>
  <c r="I384" i="18" s="1"/>
  <c r="I383" i="18"/>
  <c r="I382" i="18"/>
  <c r="I381" i="18"/>
  <c r="O380" i="18"/>
  <c r="M380" i="18"/>
  <c r="L380" i="18"/>
  <c r="K380" i="18"/>
  <c r="J380" i="18"/>
  <c r="I379" i="18"/>
  <c r="I378" i="18"/>
  <c r="I377" i="18"/>
  <c r="M376" i="18"/>
  <c r="L376" i="18"/>
  <c r="K376" i="18"/>
  <c r="J376" i="18"/>
  <c r="I375" i="18"/>
  <c r="I374" i="18"/>
  <c r="I373" i="18"/>
  <c r="N372" i="18"/>
  <c r="M372" i="18"/>
  <c r="L372" i="18"/>
  <c r="K372" i="18"/>
  <c r="J372" i="18"/>
  <c r="I371" i="18"/>
  <c r="I370" i="18"/>
  <c r="I369" i="18"/>
  <c r="O368" i="18"/>
  <c r="M368" i="18"/>
  <c r="L368" i="18"/>
  <c r="K368" i="18"/>
  <c r="J368" i="18"/>
  <c r="I367" i="18"/>
  <c r="I366" i="18"/>
  <c r="I365" i="18"/>
  <c r="O364" i="18"/>
  <c r="M364" i="18"/>
  <c r="L364" i="18"/>
  <c r="K364" i="18"/>
  <c r="J364" i="18"/>
  <c r="I364" i="18"/>
  <c r="I363" i="18"/>
  <c r="I362" i="18"/>
  <c r="I361" i="18"/>
  <c r="N360" i="18"/>
  <c r="L360" i="18"/>
  <c r="K360" i="18"/>
  <c r="J360" i="18"/>
  <c r="I360" i="18"/>
  <c r="I359" i="18"/>
  <c r="I358" i="18"/>
  <c r="I357" i="18"/>
  <c r="O356" i="18"/>
  <c r="M356" i="18"/>
  <c r="K356" i="18"/>
  <c r="J356" i="18"/>
  <c r="I356" i="18"/>
  <c r="I355" i="18"/>
  <c r="I354" i="18"/>
  <c r="I353" i="18"/>
  <c r="O352" i="18"/>
  <c r="M352" i="18"/>
  <c r="K352" i="18"/>
  <c r="J352" i="18"/>
  <c r="I352" i="18"/>
  <c r="I351" i="18"/>
  <c r="I350" i="18"/>
  <c r="I349" i="18"/>
  <c r="N348" i="18"/>
  <c r="M348" i="18"/>
  <c r="K348" i="18"/>
  <c r="J348" i="18"/>
  <c r="I348" i="18"/>
  <c r="I347" i="18"/>
  <c r="I346" i="18"/>
  <c r="I345" i="18"/>
  <c r="O344" i="18"/>
  <c r="M344" i="18"/>
  <c r="L344" i="18"/>
  <c r="J344" i="18"/>
  <c r="I344" i="18"/>
  <c r="I343" i="18"/>
  <c r="I342" i="18"/>
  <c r="I341" i="18"/>
  <c r="O340" i="18"/>
  <c r="M340" i="18"/>
  <c r="L340" i="18"/>
  <c r="J340" i="18"/>
  <c r="I340" i="18"/>
  <c r="I339" i="18"/>
  <c r="I338" i="18"/>
  <c r="I337" i="18"/>
  <c r="N336" i="18"/>
  <c r="M336" i="18"/>
  <c r="L336" i="18"/>
  <c r="J336" i="18"/>
  <c r="I336" i="18"/>
  <c r="I335" i="18"/>
  <c r="I334" i="18"/>
  <c r="I333" i="18"/>
  <c r="O332" i="18"/>
  <c r="M332" i="18"/>
  <c r="L332" i="18"/>
  <c r="J332" i="18"/>
  <c r="I332" i="18"/>
  <c r="I331" i="18"/>
  <c r="I330" i="18"/>
  <c r="I329" i="18"/>
  <c r="O328" i="18"/>
  <c r="M328" i="18"/>
  <c r="L328" i="18"/>
  <c r="K328" i="18"/>
  <c r="I328" i="18"/>
  <c r="I327" i="18"/>
  <c r="I326" i="18"/>
  <c r="I325" i="18"/>
  <c r="N324" i="18"/>
  <c r="M324" i="18"/>
  <c r="L324" i="18"/>
  <c r="K324" i="18"/>
  <c r="I324" i="18"/>
  <c r="I323" i="18"/>
  <c r="I322" i="18"/>
  <c r="I321" i="18"/>
  <c r="O320" i="18"/>
  <c r="M320" i="18"/>
  <c r="L320" i="18"/>
  <c r="K320" i="18"/>
  <c r="I320" i="18"/>
  <c r="I319" i="18"/>
  <c r="I318" i="18"/>
  <c r="I317" i="18"/>
  <c r="O316" i="18"/>
  <c r="N316" i="18"/>
  <c r="M316" i="18"/>
  <c r="L316" i="18"/>
  <c r="K316" i="18"/>
  <c r="I316" i="18" s="1"/>
  <c r="J316" i="18"/>
  <c r="I315" i="18"/>
  <c r="I314" i="18"/>
  <c r="I313" i="18"/>
  <c r="O312" i="18"/>
  <c r="N312" i="18"/>
  <c r="M312" i="18"/>
  <c r="L312" i="18"/>
  <c r="K312" i="18"/>
  <c r="J312" i="18"/>
  <c r="I311" i="18"/>
  <c r="I310" i="18"/>
  <c r="I309" i="18"/>
  <c r="O308" i="18"/>
  <c r="N308" i="18"/>
  <c r="M308" i="18"/>
  <c r="L308" i="18"/>
  <c r="K308" i="18"/>
  <c r="J308" i="18"/>
  <c r="I307" i="18"/>
  <c r="I306" i="18"/>
  <c r="I305" i="18"/>
  <c r="O304" i="18"/>
  <c r="N304" i="18"/>
  <c r="M304" i="18"/>
  <c r="L304" i="18"/>
  <c r="K304" i="18"/>
  <c r="J304" i="18"/>
  <c r="I303" i="18"/>
  <c r="I302" i="18"/>
  <c r="I301" i="18"/>
  <c r="O300" i="18"/>
  <c r="N300" i="18"/>
  <c r="M300" i="18"/>
  <c r="L300" i="18"/>
  <c r="K300" i="18"/>
  <c r="J300" i="18"/>
  <c r="O298" i="18"/>
  <c r="N298" i="18"/>
  <c r="M298" i="18"/>
  <c r="L298" i="18"/>
  <c r="K298" i="18"/>
  <c r="J298" i="18"/>
  <c r="O297" i="18"/>
  <c r="N297" i="18"/>
  <c r="M297" i="18"/>
  <c r="L297" i="18"/>
  <c r="K297" i="18"/>
  <c r="J297" i="18"/>
  <c r="O296" i="18"/>
  <c r="N296" i="18"/>
  <c r="M296" i="18"/>
  <c r="L296" i="18"/>
  <c r="K296" i="18"/>
  <c r="J296" i="18"/>
  <c r="I294" i="18"/>
  <c r="I293" i="18"/>
  <c r="I292" i="18"/>
  <c r="O291" i="18"/>
  <c r="N291" i="18"/>
  <c r="M291" i="18"/>
  <c r="L291" i="18"/>
  <c r="K291" i="18"/>
  <c r="J291" i="18"/>
  <c r="I290" i="18"/>
  <c r="I289" i="18"/>
  <c r="I288" i="18"/>
  <c r="O287" i="18"/>
  <c r="N287" i="18"/>
  <c r="M287" i="18"/>
  <c r="L287" i="18"/>
  <c r="I287" i="18" s="1"/>
  <c r="K287" i="18"/>
  <c r="J287" i="18"/>
  <c r="I286" i="18"/>
  <c r="I285" i="18"/>
  <c r="I284" i="18"/>
  <c r="O283" i="18"/>
  <c r="N283" i="18"/>
  <c r="M283" i="18"/>
  <c r="L283" i="18"/>
  <c r="K283" i="18"/>
  <c r="J283" i="18"/>
  <c r="I282" i="18"/>
  <c r="I281" i="18"/>
  <c r="I280" i="18"/>
  <c r="O279" i="18"/>
  <c r="N279" i="18"/>
  <c r="M279" i="18"/>
  <c r="L279" i="18"/>
  <c r="K279" i="18"/>
  <c r="J279" i="18"/>
  <c r="I278" i="18"/>
  <c r="I277" i="18"/>
  <c r="I276" i="18"/>
  <c r="O275" i="18"/>
  <c r="I275" i="18" s="1"/>
  <c r="N275" i="18"/>
  <c r="M275" i="18"/>
  <c r="L275" i="18"/>
  <c r="K275" i="18"/>
  <c r="J275" i="18"/>
  <c r="I274" i="18"/>
  <c r="I273" i="18"/>
  <c r="I272" i="18"/>
  <c r="O271" i="18"/>
  <c r="N271" i="18"/>
  <c r="M271" i="18"/>
  <c r="L271" i="18"/>
  <c r="K271" i="18"/>
  <c r="J271" i="18"/>
  <c r="I271" i="18" s="1"/>
  <c r="I270" i="18"/>
  <c r="I269" i="18"/>
  <c r="I268" i="18"/>
  <c r="O267" i="18"/>
  <c r="N267" i="18"/>
  <c r="M267" i="18"/>
  <c r="L267" i="18"/>
  <c r="K267" i="18"/>
  <c r="J267" i="18"/>
  <c r="I266" i="18"/>
  <c r="I265" i="18"/>
  <c r="I264" i="18"/>
  <c r="O263" i="18"/>
  <c r="N263" i="18"/>
  <c r="M263" i="18"/>
  <c r="L263" i="18"/>
  <c r="K263" i="18"/>
  <c r="J263" i="18"/>
  <c r="I262" i="18"/>
  <c r="I261" i="18"/>
  <c r="I260" i="18"/>
  <c r="O259" i="18"/>
  <c r="N259" i="18"/>
  <c r="M259" i="18"/>
  <c r="L259" i="18"/>
  <c r="K259" i="18"/>
  <c r="J259" i="18"/>
  <c r="I258" i="18"/>
  <c r="I257" i="18"/>
  <c r="I256" i="18"/>
  <c r="O255" i="18"/>
  <c r="N255" i="18"/>
  <c r="M255" i="18"/>
  <c r="L255" i="18"/>
  <c r="K255" i="18"/>
  <c r="J255" i="18"/>
  <c r="I254" i="18"/>
  <c r="I253" i="18"/>
  <c r="I252" i="18"/>
  <c r="O251" i="18"/>
  <c r="N251" i="18"/>
  <c r="M251" i="18"/>
  <c r="L251" i="18"/>
  <c r="K251" i="18"/>
  <c r="J251" i="18"/>
  <c r="I250" i="18"/>
  <c r="I249" i="18"/>
  <c r="I248" i="18"/>
  <c r="O247" i="18"/>
  <c r="N247" i="18"/>
  <c r="M247" i="18"/>
  <c r="L247" i="18"/>
  <c r="K247" i="18"/>
  <c r="J247" i="18"/>
  <c r="I246" i="18"/>
  <c r="I245" i="18"/>
  <c r="I244" i="18"/>
  <c r="O243" i="18"/>
  <c r="N243" i="18"/>
  <c r="M243" i="18"/>
  <c r="L243" i="18"/>
  <c r="K243" i="18"/>
  <c r="J243" i="18"/>
  <c r="O241" i="18"/>
  <c r="N241" i="18"/>
  <c r="M241" i="18"/>
  <c r="L241" i="18"/>
  <c r="K241" i="18"/>
  <c r="J241" i="18"/>
  <c r="O240" i="18"/>
  <c r="N240" i="18"/>
  <c r="M240" i="18"/>
  <c r="L240" i="18"/>
  <c r="K240" i="18"/>
  <c r="J240" i="18"/>
  <c r="O239" i="18"/>
  <c r="N239" i="18"/>
  <c r="M239" i="18"/>
  <c r="L239" i="18"/>
  <c r="K239" i="18"/>
  <c r="J239" i="18"/>
  <c r="I237" i="18"/>
  <c r="I236" i="18"/>
  <c r="I235" i="18"/>
  <c r="O234" i="18"/>
  <c r="N234" i="18"/>
  <c r="M234" i="18"/>
  <c r="L234" i="18"/>
  <c r="K234" i="18"/>
  <c r="J234" i="18"/>
  <c r="I233" i="18"/>
  <c r="I232" i="18"/>
  <c r="I231" i="18"/>
  <c r="O230" i="18"/>
  <c r="N230" i="18"/>
  <c r="M230" i="18"/>
  <c r="L230" i="18"/>
  <c r="K230" i="18"/>
  <c r="J230" i="18"/>
  <c r="I229" i="18"/>
  <c r="I228" i="18"/>
  <c r="I227" i="18"/>
  <c r="O226" i="18"/>
  <c r="N226" i="18"/>
  <c r="M226" i="18"/>
  <c r="L226" i="18"/>
  <c r="I226" i="18" s="1"/>
  <c r="K226" i="18"/>
  <c r="I225" i="18"/>
  <c r="I224" i="18"/>
  <c r="I223" i="18"/>
  <c r="O222" i="18"/>
  <c r="N222" i="18"/>
  <c r="L222" i="18"/>
  <c r="K222" i="18"/>
  <c r="J222" i="18"/>
  <c r="I222" i="18" s="1"/>
  <c r="I221" i="18"/>
  <c r="I220" i="18"/>
  <c r="I219" i="18"/>
  <c r="O218" i="18"/>
  <c r="N218" i="18"/>
  <c r="M218" i="18"/>
  <c r="K218" i="18"/>
  <c r="J218" i="18"/>
  <c r="I217" i="18"/>
  <c r="I216" i="18"/>
  <c r="O214" i="18"/>
  <c r="N214" i="18"/>
  <c r="M214" i="18"/>
  <c r="K214" i="18"/>
  <c r="I212" i="18"/>
  <c r="O210" i="18"/>
  <c r="N210" i="18"/>
  <c r="L210" i="18"/>
  <c r="J210" i="18"/>
  <c r="I208" i="18"/>
  <c r="O206" i="18"/>
  <c r="N206" i="18"/>
  <c r="M206" i="18"/>
  <c r="K206" i="18"/>
  <c r="I204" i="18"/>
  <c r="O202" i="18"/>
  <c r="N202" i="18"/>
  <c r="M202" i="18"/>
  <c r="L202" i="18"/>
  <c r="K202" i="18"/>
  <c r="J202" i="18"/>
  <c r="I200" i="18"/>
  <c r="O198" i="18"/>
  <c r="N198" i="18"/>
  <c r="M198" i="18"/>
  <c r="L198" i="18"/>
  <c r="K198" i="18"/>
  <c r="J198" i="18"/>
  <c r="I196" i="18"/>
  <c r="O194" i="18"/>
  <c r="N194" i="18"/>
  <c r="M194" i="18"/>
  <c r="L194" i="18"/>
  <c r="K194" i="18"/>
  <c r="J194" i="18"/>
  <c r="I192" i="18"/>
  <c r="O190" i="18"/>
  <c r="N190" i="18"/>
  <c r="M190" i="18"/>
  <c r="L190" i="18"/>
  <c r="K190" i="18"/>
  <c r="J190" i="18"/>
  <c r="O188" i="18"/>
  <c r="N188" i="18"/>
  <c r="M188" i="18"/>
  <c r="L188" i="18"/>
  <c r="K188" i="18"/>
  <c r="J188" i="18"/>
  <c r="O187" i="18"/>
  <c r="N187" i="18"/>
  <c r="M187" i="18"/>
  <c r="L187" i="18"/>
  <c r="K187" i="18"/>
  <c r="J187" i="18"/>
  <c r="O186" i="18"/>
  <c r="N186" i="18"/>
  <c r="M186" i="18"/>
  <c r="L186" i="18"/>
  <c r="K186" i="18"/>
  <c r="J186" i="18"/>
  <c r="I184" i="18"/>
  <c r="I183" i="18"/>
  <c r="I182" i="18"/>
  <c r="O181" i="18"/>
  <c r="N181" i="18"/>
  <c r="M181" i="18"/>
  <c r="L181" i="18"/>
  <c r="K181" i="18"/>
  <c r="J181" i="18"/>
  <c r="I180" i="18"/>
  <c r="I179" i="18"/>
  <c r="I178" i="18"/>
  <c r="O177" i="18"/>
  <c r="N177" i="18"/>
  <c r="M177" i="18"/>
  <c r="L177" i="18"/>
  <c r="K177" i="18"/>
  <c r="J177" i="18"/>
  <c r="I176" i="18"/>
  <c r="I175" i="18"/>
  <c r="I174" i="18"/>
  <c r="O173" i="18"/>
  <c r="N173" i="18"/>
  <c r="M173" i="18"/>
  <c r="L173" i="18"/>
  <c r="K173" i="18"/>
  <c r="J173" i="18"/>
  <c r="I172" i="18"/>
  <c r="I171" i="18"/>
  <c r="I170" i="18"/>
  <c r="O169" i="18"/>
  <c r="N169" i="18"/>
  <c r="M169" i="18"/>
  <c r="L169" i="18"/>
  <c r="K169" i="18"/>
  <c r="J169" i="18"/>
  <c r="I168" i="18"/>
  <c r="I167" i="18"/>
  <c r="I166" i="18"/>
  <c r="O165" i="18"/>
  <c r="N165" i="18"/>
  <c r="M165" i="18"/>
  <c r="L165" i="18"/>
  <c r="K165" i="18"/>
  <c r="J165" i="18"/>
  <c r="I164" i="18"/>
  <c r="I163" i="18"/>
  <c r="I162" i="18"/>
  <c r="O161" i="18"/>
  <c r="N161" i="18"/>
  <c r="M161" i="18"/>
  <c r="L161" i="18"/>
  <c r="K161" i="18"/>
  <c r="J161" i="18"/>
  <c r="O159" i="18"/>
  <c r="N159" i="18"/>
  <c r="M159" i="18"/>
  <c r="L159" i="18"/>
  <c r="K159" i="18"/>
  <c r="J159" i="18"/>
  <c r="O158" i="18"/>
  <c r="N158" i="18"/>
  <c r="M158" i="18"/>
  <c r="L158" i="18"/>
  <c r="K158" i="18"/>
  <c r="J158" i="18"/>
  <c r="O157" i="18"/>
  <c r="N157" i="18"/>
  <c r="M157" i="18"/>
  <c r="L157" i="18"/>
  <c r="K157" i="18"/>
  <c r="J157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M140" i="18"/>
  <c r="I140" i="18" s="1"/>
  <c r="I139" i="18"/>
  <c r="I138" i="18"/>
  <c r="I137" i="18"/>
  <c r="M136" i="18"/>
  <c r="I136" i="18"/>
  <c r="I135" i="18"/>
  <c r="I134" i="18"/>
  <c r="I133" i="18"/>
  <c r="M132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O120" i="18"/>
  <c r="N120" i="18"/>
  <c r="M120" i="18"/>
  <c r="L120" i="18"/>
  <c r="K120" i="18"/>
  <c r="J120" i="18"/>
  <c r="I119" i="18"/>
  <c r="I118" i="18"/>
  <c r="I117" i="18"/>
  <c r="O116" i="18"/>
  <c r="N116" i="18"/>
  <c r="M116" i="18"/>
  <c r="K116" i="18"/>
  <c r="J116" i="18"/>
  <c r="I115" i="18"/>
  <c r="I114" i="18"/>
  <c r="I113" i="18"/>
  <c r="O112" i="18"/>
  <c r="N112" i="18"/>
  <c r="M112" i="18"/>
  <c r="L112" i="18"/>
  <c r="J112" i="18"/>
  <c r="I111" i="18"/>
  <c r="I110" i="18"/>
  <c r="I109" i="18"/>
  <c r="O108" i="18"/>
  <c r="N108" i="18"/>
  <c r="M108" i="18"/>
  <c r="J108" i="18"/>
  <c r="I107" i="18"/>
  <c r="I106" i="18"/>
  <c r="I105" i="18"/>
  <c r="I104" i="18"/>
  <c r="I103" i="18"/>
  <c r="I102" i="18"/>
  <c r="I101" i="18"/>
  <c r="O100" i="18"/>
  <c r="N100" i="18"/>
  <c r="M100" i="18"/>
  <c r="L100" i="18"/>
  <c r="K100" i="18"/>
  <c r="J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O72" i="18"/>
  <c r="N72" i="18"/>
  <c r="M72" i="18"/>
  <c r="L72" i="18"/>
  <c r="K72" i="18"/>
  <c r="J72" i="18"/>
  <c r="I71" i="18"/>
  <c r="I70" i="18"/>
  <c r="I69" i="18"/>
  <c r="O68" i="18"/>
  <c r="N68" i="18"/>
  <c r="M68" i="18"/>
  <c r="I68" i="18" s="1"/>
  <c r="L68" i="18"/>
  <c r="K68" i="18"/>
  <c r="J68" i="18"/>
  <c r="I67" i="18"/>
  <c r="I66" i="18"/>
  <c r="I65" i="18"/>
  <c r="O64" i="18"/>
  <c r="N64" i="18"/>
  <c r="M64" i="18"/>
  <c r="L64" i="18"/>
  <c r="K64" i="18"/>
  <c r="J64" i="18"/>
  <c r="I63" i="18"/>
  <c r="I62" i="18"/>
  <c r="I61" i="18"/>
  <c r="O60" i="18"/>
  <c r="N60" i="18"/>
  <c r="M60" i="18"/>
  <c r="L60" i="18"/>
  <c r="K60" i="18"/>
  <c r="J60" i="18"/>
  <c r="I59" i="18"/>
  <c r="I58" i="18"/>
  <c r="I57" i="18"/>
  <c r="O56" i="18"/>
  <c r="N56" i="18"/>
  <c r="M56" i="18"/>
  <c r="L56" i="18"/>
  <c r="K56" i="18"/>
  <c r="J56" i="18"/>
  <c r="O54" i="18"/>
  <c r="N54" i="18"/>
  <c r="M54" i="18"/>
  <c r="L54" i="18"/>
  <c r="K54" i="18"/>
  <c r="J54" i="18"/>
  <c r="I54" i="18"/>
  <c r="O53" i="18"/>
  <c r="N53" i="18"/>
  <c r="M53" i="18"/>
  <c r="L53" i="18"/>
  <c r="K53" i="18"/>
  <c r="J53" i="18"/>
  <c r="O52" i="18"/>
  <c r="N52" i="18"/>
  <c r="M52" i="18"/>
  <c r="L52" i="18"/>
  <c r="K52" i="18"/>
  <c r="J52" i="18"/>
  <c r="I49" i="18"/>
  <c r="I48" i="18"/>
  <c r="O47" i="18"/>
  <c r="N47" i="18"/>
  <c r="M47" i="18"/>
  <c r="L47" i="18"/>
  <c r="K47" i="18"/>
  <c r="J47" i="18"/>
  <c r="I45" i="18"/>
  <c r="I44" i="18"/>
  <c r="I52" i="18" s="1"/>
  <c r="O43" i="18"/>
  <c r="N43" i="18"/>
  <c r="M43" i="18"/>
  <c r="L43" i="18"/>
  <c r="K43" i="18"/>
  <c r="J43" i="18"/>
  <c r="I41" i="18"/>
  <c r="O39" i="18"/>
  <c r="N39" i="18"/>
  <c r="M39" i="18"/>
  <c r="L39" i="18"/>
  <c r="K39" i="18"/>
  <c r="J39" i="18"/>
  <c r="I37" i="18"/>
  <c r="O35" i="18"/>
  <c r="N35" i="18"/>
  <c r="M35" i="18"/>
  <c r="L35" i="18"/>
  <c r="K35" i="18"/>
  <c r="J35" i="18"/>
  <c r="I33" i="18"/>
  <c r="O31" i="18"/>
  <c r="N31" i="18"/>
  <c r="M31" i="18"/>
  <c r="L31" i="18"/>
  <c r="K31" i="18"/>
  <c r="J31" i="18"/>
  <c r="I29" i="18"/>
  <c r="O27" i="18"/>
  <c r="N27" i="18"/>
  <c r="M27" i="18"/>
  <c r="L27" i="18"/>
  <c r="K27" i="18"/>
  <c r="J27" i="18"/>
  <c r="I25" i="18"/>
  <c r="O23" i="18"/>
  <c r="N23" i="18"/>
  <c r="M23" i="18"/>
  <c r="L23" i="18"/>
  <c r="K23" i="18"/>
  <c r="J23" i="18"/>
  <c r="O21" i="18"/>
  <c r="N21" i="18"/>
  <c r="M21" i="18"/>
  <c r="L21" i="18"/>
  <c r="K21" i="18"/>
  <c r="J21" i="18"/>
  <c r="O20" i="18"/>
  <c r="N20" i="18"/>
  <c r="M20" i="18"/>
  <c r="L20" i="18"/>
  <c r="K20" i="18"/>
  <c r="J20" i="18"/>
  <c r="O19" i="18"/>
  <c r="N19" i="18"/>
  <c r="M19" i="18"/>
  <c r="L19" i="18"/>
  <c r="K19" i="18"/>
  <c r="J19" i="18"/>
  <c r="M18" i="18"/>
  <c r="I17" i="18"/>
  <c r="I16" i="18"/>
  <c r="I15" i="18"/>
  <c r="I19" i="18" s="1"/>
  <c r="O14" i="18"/>
  <c r="N14" i="18"/>
  <c r="M14" i="18"/>
  <c r="L14" i="18"/>
  <c r="K14" i="18"/>
  <c r="J14" i="18"/>
  <c r="I13" i="18"/>
  <c r="I12" i="18"/>
  <c r="O10" i="18"/>
  <c r="N10" i="18"/>
  <c r="M10" i="18"/>
  <c r="L10" i="18"/>
  <c r="K10" i="18"/>
  <c r="J10" i="18"/>
  <c r="I8" i="18"/>
  <c r="O6" i="18"/>
  <c r="N6" i="18"/>
  <c r="M6" i="18"/>
  <c r="L6" i="18"/>
  <c r="K6" i="18"/>
  <c r="J6" i="18"/>
  <c r="J18" i="18" l="1"/>
  <c r="L295" i="18"/>
  <c r="M238" i="18"/>
  <c r="I453" i="18"/>
  <c r="L1208" i="18"/>
  <c r="I930" i="18"/>
  <c r="I1062" i="18"/>
  <c r="I1151" i="18"/>
  <c r="I771" i="18"/>
  <c r="I589" i="18"/>
  <c r="I682" i="18"/>
  <c r="L768" i="18"/>
  <c r="K51" i="18"/>
  <c r="I169" i="18"/>
  <c r="N238" i="18"/>
  <c r="I218" i="18"/>
  <c r="M448" i="18"/>
  <c r="I440" i="18"/>
  <c r="I534" i="18"/>
  <c r="I569" i="18"/>
  <c r="J601" i="18"/>
  <c r="I604" i="18"/>
  <c r="I678" i="18"/>
  <c r="N768" i="18"/>
  <c r="I793" i="18"/>
  <c r="I1040" i="18"/>
  <c r="J1150" i="18"/>
  <c r="I1114" i="18"/>
  <c r="I1130" i="18"/>
  <c r="I255" i="18"/>
  <c r="K953" i="18"/>
  <c r="I900" i="18"/>
  <c r="I981" i="18"/>
  <c r="K1208" i="18"/>
  <c r="L448" i="18"/>
  <c r="I690" i="18"/>
  <c r="N18" i="18"/>
  <c r="L51" i="18"/>
  <c r="I112" i="18"/>
  <c r="I120" i="18"/>
  <c r="I300" i="18"/>
  <c r="I308" i="18"/>
  <c r="I392" i="18"/>
  <c r="I517" i="18"/>
  <c r="I563" i="18"/>
  <c r="I674" i="18"/>
  <c r="N809" i="18"/>
  <c r="I1036" i="18"/>
  <c r="I1106" i="18"/>
  <c r="I1110" i="18"/>
  <c r="I1177" i="18"/>
  <c r="I457" i="18"/>
  <c r="I752" i="18"/>
  <c r="I896" i="18"/>
  <c r="J51" i="18"/>
  <c r="I39" i="18"/>
  <c r="I210" i="18"/>
  <c r="I230" i="18"/>
  <c r="I21" i="18"/>
  <c r="M51" i="18"/>
  <c r="I108" i="18"/>
  <c r="I186" i="18"/>
  <c r="I388" i="18"/>
  <c r="I509" i="18"/>
  <c r="L601" i="18"/>
  <c r="I626" i="18"/>
  <c r="L739" i="18"/>
  <c r="I769" i="18"/>
  <c r="J928" i="18"/>
  <c r="I987" i="18"/>
  <c r="I999" i="18"/>
  <c r="I1020" i="18"/>
  <c r="I1049" i="18"/>
  <c r="I1053" i="18" s="1"/>
  <c r="I1098" i="18"/>
  <c r="K1150" i="18"/>
  <c r="I451" i="18"/>
  <c r="I444" i="18"/>
  <c r="I670" i="18"/>
  <c r="I955" i="18"/>
  <c r="I31" i="18"/>
  <c r="I100" i="18"/>
  <c r="I1122" i="18"/>
  <c r="I27" i="18"/>
  <c r="I501" i="18"/>
  <c r="I556" i="18"/>
  <c r="I64" i="18"/>
  <c r="N1213" i="18"/>
  <c r="K875" i="18"/>
  <c r="I827" i="18"/>
  <c r="I859" i="18"/>
  <c r="I1152" i="18"/>
  <c r="L1150" i="18"/>
  <c r="I1090" i="18"/>
  <c r="J1175" i="18"/>
  <c r="K1214" i="18"/>
  <c r="L156" i="18"/>
  <c r="J156" i="18"/>
  <c r="J1214" i="18"/>
  <c r="I597" i="18"/>
  <c r="I654" i="18"/>
  <c r="I710" i="18"/>
  <c r="J768" i="18"/>
  <c r="I760" i="18"/>
  <c r="I805" i="18"/>
  <c r="I823" i="18"/>
  <c r="I855" i="18"/>
  <c r="I916" i="18"/>
  <c r="I949" i="18"/>
  <c r="I962" i="18"/>
  <c r="O1044" i="18"/>
  <c r="L1044" i="18"/>
  <c r="I1032" i="18"/>
  <c r="I1047" i="18"/>
  <c r="M1150" i="18"/>
  <c r="I1086" i="18"/>
  <c r="I116" i="18"/>
  <c r="I241" i="18"/>
  <c r="N1044" i="18"/>
  <c r="I1126" i="18"/>
  <c r="I505" i="18"/>
  <c r="O1213" i="18"/>
  <c r="I974" i="18"/>
  <c r="I251" i="18"/>
  <c r="I380" i="18"/>
  <c r="J875" i="18"/>
  <c r="I831" i="18"/>
  <c r="I863" i="18"/>
  <c r="J978" i="18"/>
  <c r="I165" i="18"/>
  <c r="I247" i="18"/>
  <c r="I376" i="18"/>
  <c r="I764" i="18"/>
  <c r="I920" i="18"/>
  <c r="O953" i="18"/>
  <c r="I161" i="18"/>
  <c r="I243" i="18"/>
  <c r="I513" i="18"/>
  <c r="I53" i="18"/>
  <c r="I56" i="18"/>
  <c r="K1215" i="18"/>
  <c r="I190" i="18"/>
  <c r="J238" i="18"/>
  <c r="O295" i="18"/>
  <c r="I477" i="18"/>
  <c r="I586" i="18"/>
  <c r="I593" i="18"/>
  <c r="N601" i="18"/>
  <c r="I630" i="18"/>
  <c r="I650" i="18"/>
  <c r="I706" i="18"/>
  <c r="K768" i="18"/>
  <c r="I748" i="18"/>
  <c r="I789" i="18"/>
  <c r="I812" i="18"/>
  <c r="I851" i="18"/>
  <c r="O928" i="18"/>
  <c r="I908" i="18"/>
  <c r="I945" i="18"/>
  <c r="I958" i="18"/>
  <c r="I1028" i="18"/>
  <c r="I1070" i="18"/>
  <c r="I1196" i="18"/>
  <c r="I35" i="18"/>
  <c r="I1016" i="18"/>
  <c r="O1175" i="18"/>
  <c r="I1180" i="18"/>
  <c r="I187" i="18"/>
  <c r="I177" i="18"/>
  <c r="K185" i="18"/>
  <c r="I538" i="18"/>
  <c r="I642" i="18"/>
  <c r="I666" i="18"/>
  <c r="I727" i="18"/>
  <c r="I1012" i="18"/>
  <c r="J1215" i="18"/>
  <c r="I72" i="18"/>
  <c r="I173" i="18"/>
  <c r="K238" i="18"/>
  <c r="I530" i="18"/>
  <c r="I555" i="18"/>
  <c r="I662" i="18"/>
  <c r="I1102" i="18"/>
  <c r="I198" i="18"/>
  <c r="M554" i="18"/>
  <c r="J554" i="18"/>
  <c r="I557" i="18"/>
  <c r="I622" i="18"/>
  <c r="I658" i="18"/>
  <c r="J1208" i="18"/>
  <c r="O51" i="18"/>
  <c r="I194" i="18"/>
  <c r="M295" i="18"/>
  <c r="I485" i="18"/>
  <c r="I43" i="18"/>
  <c r="I157" i="18"/>
  <c r="I296" i="18"/>
  <c r="I291" i="18"/>
  <c r="I368" i="18"/>
  <c r="I396" i="18"/>
  <c r="I469" i="18"/>
  <c r="I523" i="18"/>
  <c r="I522" i="18"/>
  <c r="O567" i="18"/>
  <c r="I602" i="18"/>
  <c r="I614" i="18"/>
  <c r="N722" i="18"/>
  <c r="I698" i="18"/>
  <c r="I741" i="18"/>
  <c r="I744" i="18"/>
  <c r="I777" i="18"/>
  <c r="I847" i="18"/>
  <c r="I904" i="18"/>
  <c r="I1024" i="18"/>
  <c r="J1044" i="18"/>
  <c r="I1066" i="18"/>
  <c r="I1078" i="18"/>
  <c r="L953" i="18"/>
  <c r="I933" i="18"/>
  <c r="N554" i="18"/>
  <c r="O554" i="18"/>
  <c r="I731" i="18"/>
  <c r="I739" i="18" s="1"/>
  <c r="J739" i="18"/>
  <c r="I811" i="18"/>
  <c r="I814" i="18"/>
  <c r="I818" i="18" s="1"/>
  <c r="J818" i="18"/>
  <c r="M875" i="18"/>
  <c r="K1175" i="18"/>
  <c r="O1003" i="18"/>
  <c r="I983" i="18"/>
  <c r="K722" i="18"/>
  <c r="N953" i="18"/>
  <c r="I181" i="18"/>
  <c r="J185" i="18"/>
  <c r="I304" i="18"/>
  <c r="N448" i="18"/>
  <c r="N51" i="18"/>
  <c r="I23" i="18"/>
  <c r="I202" i="18"/>
  <c r="I214" i="18"/>
  <c r="I259" i="18"/>
  <c r="I449" i="18"/>
  <c r="O448" i="18"/>
  <c r="I723" i="18"/>
  <c r="N875" i="18"/>
  <c r="K928" i="18"/>
  <c r="N978" i="18"/>
  <c r="I1046" i="18"/>
  <c r="L1175" i="18"/>
  <c r="J722" i="18"/>
  <c r="O521" i="18"/>
  <c r="I810" i="18"/>
  <c r="M1215" i="18"/>
  <c r="I298" i="18"/>
  <c r="I450" i="18"/>
  <c r="J521" i="18"/>
  <c r="I550" i="18"/>
  <c r="O584" i="18"/>
  <c r="I634" i="18"/>
  <c r="O875" i="18"/>
  <c r="M978" i="18"/>
  <c r="M1175" i="18"/>
  <c r="I725" i="18"/>
  <c r="O18" i="18"/>
  <c r="O1214" i="18"/>
  <c r="I559" i="18"/>
  <c r="J567" i="18"/>
  <c r="O809" i="18"/>
  <c r="J1213" i="18"/>
  <c r="L1214" i="18"/>
  <c r="N1215" i="18"/>
  <c r="I297" i="18"/>
  <c r="K521" i="18"/>
  <c r="I489" i="18"/>
  <c r="I546" i="18"/>
  <c r="I580" i="18"/>
  <c r="I584" i="18" s="1"/>
  <c r="N584" i="18"/>
  <c r="I724" i="18"/>
  <c r="J809" i="18"/>
  <c r="I877" i="18"/>
  <c r="I929" i="18"/>
  <c r="N1175" i="18"/>
  <c r="I1004" i="18"/>
  <c r="I20" i="18"/>
  <c r="K1213" i="18"/>
  <c r="L521" i="18"/>
  <c r="I497" i="18"/>
  <c r="K739" i="18"/>
  <c r="I768" i="18"/>
  <c r="L809" i="18"/>
  <c r="I801" i="18"/>
  <c r="I979" i="18"/>
  <c r="L978" i="18"/>
  <c r="I1171" i="18"/>
  <c r="I1210" i="18"/>
  <c r="M1208" i="18"/>
  <c r="I1184" i="18"/>
  <c r="I1208" i="18" s="1"/>
  <c r="M1214" i="18"/>
  <c r="O1215" i="18"/>
  <c r="I188" i="18"/>
  <c r="I1005" i="18"/>
  <c r="N1208" i="18"/>
  <c r="M156" i="18"/>
  <c r="N295" i="18"/>
  <c r="J448" i="18"/>
  <c r="K584" i="18"/>
  <c r="K809" i="18"/>
  <c r="I931" i="18"/>
  <c r="I14" i="18"/>
  <c r="N156" i="18"/>
  <c r="I283" i="18"/>
  <c r="K448" i="18"/>
  <c r="I10" i="18"/>
  <c r="K156" i="18"/>
  <c r="I239" i="18"/>
  <c r="I279" i="18"/>
  <c r="I408" i="18"/>
  <c r="M521" i="18"/>
  <c r="I481" i="18"/>
  <c r="I542" i="18"/>
  <c r="O601" i="18"/>
  <c r="L722" i="18"/>
  <c r="I646" i="18"/>
  <c r="M809" i="18"/>
  <c r="I797" i="18"/>
  <c r="I843" i="18"/>
  <c r="I980" i="18"/>
  <c r="I995" i="18"/>
  <c r="J1053" i="18"/>
  <c r="N1150" i="18"/>
  <c r="I1058" i="18"/>
  <c r="I1167" i="18"/>
  <c r="I1211" i="18"/>
  <c r="I1204" i="18"/>
  <c r="M953" i="18"/>
  <c r="I448" i="18"/>
  <c r="J584" i="18"/>
  <c r="N1214" i="18"/>
  <c r="O1150" i="18"/>
  <c r="I6" i="18"/>
  <c r="K18" i="18"/>
  <c r="I47" i="18"/>
  <c r="I159" i="18"/>
  <c r="N185" i="18"/>
  <c r="O238" i="18"/>
  <c r="I234" i="18"/>
  <c r="J295" i="18"/>
  <c r="I267" i="18"/>
  <c r="I372" i="18"/>
  <c r="I404" i="18"/>
  <c r="N521" i="18"/>
  <c r="I465" i="18"/>
  <c r="I526" i="18"/>
  <c r="K554" i="18"/>
  <c r="M722" i="18"/>
  <c r="I785" i="18"/>
  <c r="I839" i="18"/>
  <c r="I871" i="18"/>
  <c r="L928" i="18"/>
  <c r="I941" i="18"/>
  <c r="I970" i="18"/>
  <c r="M1003" i="18"/>
  <c r="I991" i="18"/>
  <c r="M1044" i="18"/>
  <c r="I1008" i="18"/>
  <c r="I1163" i="18"/>
  <c r="I524" i="18"/>
  <c r="O1208" i="18"/>
  <c r="L1213" i="18"/>
  <c r="O156" i="18"/>
  <c r="L875" i="18"/>
  <c r="O978" i="18"/>
  <c r="I1006" i="18"/>
  <c r="I1209" i="18"/>
  <c r="M1213" i="18"/>
  <c r="I158" i="18"/>
  <c r="M185" i="18"/>
  <c r="L185" i="18"/>
  <c r="L18" i="18"/>
  <c r="L1215" i="18"/>
  <c r="I60" i="18"/>
  <c r="O185" i="18"/>
  <c r="I240" i="18"/>
  <c r="I206" i="18"/>
  <c r="L238" i="18"/>
  <c r="K295" i="18"/>
  <c r="I263" i="18"/>
  <c r="I312" i="18"/>
  <c r="I400" i="18"/>
  <c r="I461" i="18"/>
  <c r="L554" i="18"/>
  <c r="I618" i="18"/>
  <c r="I722" i="18" s="1"/>
  <c r="I781" i="18"/>
  <c r="I835" i="18"/>
  <c r="I867" i="18"/>
  <c r="M928" i="18"/>
  <c r="N928" i="18"/>
  <c r="I924" i="18"/>
  <c r="I937" i="18"/>
  <c r="I966" i="18"/>
  <c r="N1003" i="18"/>
  <c r="K1003" i="18"/>
  <c r="K1044" i="18"/>
  <c r="I1134" i="18"/>
  <c r="I1159" i="18"/>
  <c r="I1188" i="18"/>
  <c r="I1200" i="18"/>
  <c r="I1155" i="18"/>
  <c r="I238" i="18" l="1"/>
  <c r="I928" i="18"/>
  <c r="I601" i="18"/>
  <c r="I978" i="18"/>
  <c r="I567" i="18"/>
  <c r="I521" i="18"/>
  <c r="I1044" i="18"/>
  <c r="I18" i="18"/>
  <c r="N1212" i="18"/>
  <c r="I185" i="18"/>
  <c r="I1213" i="18"/>
  <c r="I1215" i="18"/>
  <c r="J1212" i="18"/>
  <c r="I156" i="18"/>
  <c r="M1212" i="18"/>
  <c r="I295" i="18"/>
  <c r="I875" i="18"/>
  <c r="I809" i="18"/>
  <c r="I1214" i="18"/>
  <c r="K1212" i="18"/>
  <c r="L1212" i="18"/>
  <c r="I953" i="18"/>
  <c r="I1150" i="18"/>
  <c r="O1212" i="18"/>
  <c r="I51" i="18"/>
  <c r="I554" i="18"/>
  <c r="I1175" i="18"/>
  <c r="I1003" i="18"/>
  <c r="I1212" i="18" l="1"/>
  <c r="O89" i="17"/>
  <c r="N89" i="17"/>
  <c r="M89" i="17"/>
  <c r="L89" i="17"/>
  <c r="K89" i="17"/>
  <c r="J89" i="17"/>
  <c r="I89" i="17"/>
  <c r="O88" i="17"/>
  <c r="N88" i="17"/>
  <c r="M88" i="17"/>
  <c r="L88" i="17"/>
  <c r="K88" i="17"/>
  <c r="J88" i="17"/>
  <c r="O87" i="17"/>
  <c r="N87" i="17"/>
  <c r="M87" i="17"/>
  <c r="L87" i="17"/>
  <c r="K87" i="17"/>
  <c r="J87" i="17"/>
  <c r="I84" i="17"/>
  <c r="I83" i="17"/>
  <c r="N82" i="17"/>
  <c r="M82" i="17"/>
  <c r="L82" i="17"/>
  <c r="I82" i="17" s="1"/>
  <c r="I80" i="17"/>
  <c r="I79" i="17"/>
  <c r="O78" i="17"/>
  <c r="N78" i="17"/>
  <c r="M78" i="17"/>
  <c r="L78" i="17"/>
  <c r="K78" i="17"/>
  <c r="J78" i="17"/>
  <c r="I78" i="17" s="1"/>
  <c r="I76" i="17"/>
  <c r="I75" i="17"/>
  <c r="O74" i="17"/>
  <c r="N74" i="17"/>
  <c r="M74" i="17"/>
  <c r="L74" i="17"/>
  <c r="K74" i="17"/>
  <c r="J74" i="17"/>
  <c r="I74" i="17" s="1"/>
  <c r="I72" i="17"/>
  <c r="I71" i="17"/>
  <c r="O70" i="17"/>
  <c r="N70" i="17"/>
  <c r="M70" i="17"/>
  <c r="L70" i="17"/>
  <c r="K70" i="17"/>
  <c r="J70" i="17"/>
  <c r="I68" i="17"/>
  <c r="I67" i="17"/>
  <c r="O66" i="17"/>
  <c r="N66" i="17"/>
  <c r="M66" i="17"/>
  <c r="L66" i="17"/>
  <c r="K66" i="17"/>
  <c r="J66" i="17"/>
  <c r="I64" i="17"/>
  <c r="I63" i="17"/>
  <c r="O62" i="17"/>
  <c r="N62" i="17"/>
  <c r="M62" i="17"/>
  <c r="L62" i="17"/>
  <c r="K62" i="17"/>
  <c r="J62" i="17"/>
  <c r="O60" i="17"/>
  <c r="N60" i="17"/>
  <c r="M60" i="17"/>
  <c r="L60" i="17"/>
  <c r="K60" i="17"/>
  <c r="J60" i="17"/>
  <c r="I60" i="17"/>
  <c r="O59" i="17"/>
  <c r="N59" i="17"/>
  <c r="M59" i="17"/>
  <c r="L59" i="17"/>
  <c r="K59" i="17"/>
  <c r="J59" i="17"/>
  <c r="O58" i="17"/>
  <c r="N58" i="17"/>
  <c r="M58" i="17"/>
  <c r="L58" i="17"/>
  <c r="K58" i="17"/>
  <c r="J58" i="17"/>
  <c r="M57" i="17"/>
  <c r="I55" i="17"/>
  <c r="I59" i="17" s="1"/>
  <c r="I54" i="17"/>
  <c r="I58" i="17" s="1"/>
  <c r="O53" i="17"/>
  <c r="O57" i="17" s="1"/>
  <c r="N53" i="17"/>
  <c r="N57" i="17" s="1"/>
  <c r="M53" i="17"/>
  <c r="L53" i="17"/>
  <c r="L57" i="17" s="1"/>
  <c r="K53" i="17"/>
  <c r="K57" i="17" s="1"/>
  <c r="J53" i="17"/>
  <c r="J57" i="17" s="1"/>
  <c r="O51" i="17"/>
  <c r="N51" i="17"/>
  <c r="M51" i="17"/>
  <c r="L51" i="17"/>
  <c r="K51" i="17"/>
  <c r="J51" i="17"/>
  <c r="I51" i="17"/>
  <c r="O50" i="17"/>
  <c r="N50" i="17"/>
  <c r="M50" i="17"/>
  <c r="L50" i="17"/>
  <c r="K50" i="17"/>
  <c r="J50" i="17"/>
  <c r="O49" i="17"/>
  <c r="N49" i="17"/>
  <c r="M49" i="17"/>
  <c r="L49" i="17"/>
  <c r="K49" i="17"/>
  <c r="J49" i="17"/>
  <c r="I46" i="17"/>
  <c r="I45" i="17"/>
  <c r="O44" i="17"/>
  <c r="N44" i="17"/>
  <c r="M44" i="17"/>
  <c r="L44" i="17"/>
  <c r="K44" i="17"/>
  <c r="J44" i="17"/>
  <c r="I42" i="17"/>
  <c r="I41" i="17"/>
  <c r="O40" i="17"/>
  <c r="N40" i="17"/>
  <c r="M40" i="17"/>
  <c r="L40" i="17"/>
  <c r="K40" i="17"/>
  <c r="J40" i="17"/>
  <c r="I38" i="17"/>
  <c r="I50" i="17" s="1"/>
  <c r="I37" i="17"/>
  <c r="I49" i="17" s="1"/>
  <c r="O36" i="17"/>
  <c r="N36" i="17"/>
  <c r="M36" i="17"/>
  <c r="M48" i="17" s="1"/>
  <c r="L36" i="17"/>
  <c r="L48" i="17" s="1"/>
  <c r="K36" i="17"/>
  <c r="K48" i="17" s="1"/>
  <c r="J36" i="17"/>
  <c r="J48" i="17" s="1"/>
  <c r="O34" i="17"/>
  <c r="N34" i="17"/>
  <c r="M34" i="17"/>
  <c r="L34" i="17"/>
  <c r="K34" i="17"/>
  <c r="J34" i="17"/>
  <c r="I34" i="17"/>
  <c r="O33" i="17"/>
  <c r="N33" i="17"/>
  <c r="M33" i="17"/>
  <c r="L33" i="17"/>
  <c r="K33" i="17"/>
  <c r="J33" i="17"/>
  <c r="O32" i="17"/>
  <c r="N32" i="17"/>
  <c r="M32" i="17"/>
  <c r="L32" i="17"/>
  <c r="K32" i="17"/>
  <c r="J32" i="17"/>
  <c r="I29" i="17"/>
  <c r="I28" i="17"/>
  <c r="O27" i="17"/>
  <c r="N27" i="17"/>
  <c r="M27" i="17"/>
  <c r="L27" i="17"/>
  <c r="K27" i="17"/>
  <c r="J27" i="17"/>
  <c r="I25" i="17"/>
  <c r="I24" i="17"/>
  <c r="O23" i="17"/>
  <c r="N23" i="17"/>
  <c r="M23" i="17"/>
  <c r="L23" i="17"/>
  <c r="K23" i="17"/>
  <c r="J23" i="17"/>
  <c r="I21" i="17"/>
  <c r="I20" i="17"/>
  <c r="O19" i="17"/>
  <c r="N19" i="17"/>
  <c r="M19" i="17"/>
  <c r="L19" i="17"/>
  <c r="K19" i="17"/>
  <c r="J19" i="17"/>
  <c r="I17" i="17"/>
  <c r="I33" i="17" s="1"/>
  <c r="I16" i="17"/>
  <c r="I32" i="17" s="1"/>
  <c r="O15" i="17"/>
  <c r="O31" i="17" s="1"/>
  <c r="N15" i="17"/>
  <c r="M15" i="17"/>
  <c r="L15" i="17"/>
  <c r="L31" i="17" s="1"/>
  <c r="K15" i="17"/>
  <c r="J15" i="17"/>
  <c r="J31" i="17" s="1"/>
  <c r="O13" i="17"/>
  <c r="N13" i="17"/>
  <c r="M13" i="17"/>
  <c r="L13" i="17"/>
  <c r="K13" i="17"/>
  <c r="J13" i="17"/>
  <c r="I13" i="17"/>
  <c r="O12" i="17"/>
  <c r="N12" i="17"/>
  <c r="M12" i="17"/>
  <c r="L12" i="17"/>
  <c r="K12" i="17"/>
  <c r="K92" i="17" s="1"/>
  <c r="J12" i="17"/>
  <c r="O11" i="17"/>
  <c r="N11" i="17"/>
  <c r="M11" i="17"/>
  <c r="L11" i="17"/>
  <c r="K11" i="17"/>
  <c r="J11" i="17"/>
  <c r="I11" i="17"/>
  <c r="I8" i="17"/>
  <c r="I12" i="17" s="1"/>
  <c r="I7" i="17"/>
  <c r="O6" i="17"/>
  <c r="O10" i="17" s="1"/>
  <c r="N6" i="17"/>
  <c r="N10" i="17" s="1"/>
  <c r="M6" i="17"/>
  <c r="M10" i="17" s="1"/>
  <c r="L6" i="17"/>
  <c r="L10" i="17" s="1"/>
  <c r="K6" i="17"/>
  <c r="K10" i="17" s="1"/>
  <c r="J6" i="17"/>
  <c r="J10" i="17" s="1"/>
  <c r="M86" i="17" l="1"/>
  <c r="O91" i="17"/>
  <c r="I87" i="17"/>
  <c r="N91" i="17"/>
  <c r="I93" i="17"/>
  <c r="J93" i="17"/>
  <c r="J92" i="17"/>
  <c r="K93" i="17"/>
  <c r="I88" i="17"/>
  <c r="O48" i="17"/>
  <c r="L93" i="17"/>
  <c r="M31" i="17"/>
  <c r="N86" i="17"/>
  <c r="J91" i="17"/>
  <c r="L92" i="17"/>
  <c r="M93" i="17"/>
  <c r="N31" i="17"/>
  <c r="I36" i="17"/>
  <c r="O86" i="17"/>
  <c r="O90" i="17" s="1"/>
  <c r="M92" i="17"/>
  <c r="N93" i="17"/>
  <c r="N92" i="17"/>
  <c r="I44" i="17"/>
  <c r="M91" i="17"/>
  <c r="I15" i="17"/>
  <c r="I66" i="17"/>
  <c r="I70" i="17"/>
  <c r="K91" i="17"/>
  <c r="I19" i="17"/>
  <c r="L91" i="17"/>
  <c r="O93" i="17"/>
  <c r="I23" i="17"/>
  <c r="I27" i="17"/>
  <c r="K86" i="17"/>
  <c r="K31" i="17"/>
  <c r="N48" i="17"/>
  <c r="O92" i="17"/>
  <c r="I53" i="17"/>
  <c r="I57" i="17" s="1"/>
  <c r="I62" i="17"/>
  <c r="I86" i="17" s="1"/>
  <c r="I48" i="17"/>
  <c r="I91" i="17"/>
  <c r="I92" i="17"/>
  <c r="M90" i="17"/>
  <c r="J86" i="17"/>
  <c r="J90" i="17" s="1"/>
  <c r="I40" i="17"/>
  <c r="L86" i="17"/>
  <c r="L90" i="17" s="1"/>
  <c r="I6" i="17"/>
  <c r="I10" i="17" s="1"/>
  <c r="K90" i="17" l="1"/>
  <c r="I31" i="17"/>
  <c r="I90" i="17" s="1"/>
  <c r="N90" i="17"/>
</calcChain>
</file>

<file path=xl/sharedStrings.xml><?xml version="1.0" encoding="utf-8"?>
<sst xmlns="http://schemas.openxmlformats.org/spreadsheetml/2006/main" count="11376" uniqueCount="1997">
  <si>
    <t>Показатель динамики</t>
  </si>
  <si>
    <t>ВСЕГО, в т.ч.</t>
  </si>
  <si>
    <t>Прогнозная динамика реализации</t>
  </si>
  <si>
    <t>Объем финансирования, млн. руб.</t>
  </si>
  <si>
    <t>фед. бюджет</t>
  </si>
  <si>
    <t>внебюдж.</t>
  </si>
  <si>
    <t>конс. бюджет ЧР</t>
  </si>
  <si>
    <t>Район, город</t>
  </si>
  <si>
    <t>ВСЕГО 
по Чувашской Республике</t>
  </si>
  <si>
    <t>Благоустройство</t>
  </si>
  <si>
    <t>Дорожное хозяйство</t>
  </si>
  <si>
    <t>ЖКХ</t>
  </si>
  <si>
    <t>Культура</t>
  </si>
  <si>
    <t>Образование</t>
  </si>
  <si>
    <t>Общественная безопасность</t>
  </si>
  <si>
    <t>Пожарная безопасность</t>
  </si>
  <si>
    <t>Прочие</t>
  </si>
  <si>
    <t>Туризм</t>
  </si>
  <si>
    <t>Физическая культура и спорт</t>
  </si>
  <si>
    <t>Экология</t>
  </si>
  <si>
    <t>Энергетика</t>
  </si>
  <si>
    <t>Здравоохранение</t>
  </si>
  <si>
    <t>Общие сведения о коммерческих и инфраструктурных проектах, мероприятиях и показателях состояния отрасли Благоустройство в Республике Чувашия</t>
  </si>
  <si>
    <t>Наименование</t>
  </si>
  <si>
    <t>Национальный проект, региональный проект</t>
  </si>
  <si>
    <t>Место реализации 
(мун. район или гор. округ)</t>
  </si>
  <si>
    <t>Годы реализации</t>
  </si>
  <si>
    <t>Мощность</t>
  </si>
  <si>
    <t>Источник финансирования, наличие и необходимость ПСД</t>
  </si>
  <si>
    <t>Прогнозные объемы финансирования</t>
  </si>
  <si>
    <t>Число жителей, улучшивших условия в результате реализации (чел.)</t>
  </si>
  <si>
    <t>Уровень бюджета</t>
  </si>
  <si>
    <t>Батыревский район</t>
  </si>
  <si>
    <t>Строительство  тротуаров на 12 участках дорог республиканского и районного значения</t>
  </si>
  <si>
    <t>2021-2023</t>
  </si>
  <si>
    <r>
      <t>8320 м</t>
    </r>
    <r>
      <rPr>
        <vertAlign val="superscript"/>
        <sz val="12"/>
        <rFont val="Arial"/>
        <family val="2"/>
        <charset val="204"/>
      </rPr>
      <t>2</t>
    </r>
  </si>
  <si>
    <t>ПСД на стадии разработки</t>
  </si>
  <si>
    <t>ИТОГО по Батыревскому району:</t>
  </si>
  <si>
    <t>х</t>
  </si>
  <si>
    <t>Канашский район</t>
  </si>
  <si>
    <t>Разработка проектно-сметной документации на ремонт гидротехнического сооружения расположенного в 650 м на северо-запад от д.48 по ул. Новая д. Старое Ахпердино Шакуловского сельского поселения Канашского района Чувашской Республики</t>
  </si>
  <si>
    <t xml:space="preserve">д. Старое Ахпердино Шакуловского сельского поселения Канашского района </t>
  </si>
  <si>
    <t xml:space="preserve">Капитальный ремонт гидротехнического сооружения(плотины) на р. Урюм с. Тобурданово Тобурдановского сельского поселения </t>
  </si>
  <si>
    <t xml:space="preserve">с. Тобурданово Тобурдановского сельского поселения,Канашского района  </t>
  </si>
  <si>
    <t>Капитальный ремонт плотины в д. Асхва, ул. Ю. Моряков Асхвинского сельского поселения</t>
  </si>
  <si>
    <t>д. Асхва, ул. Ю. Моряков Асхвинского сельского поселения, Канашского района</t>
  </si>
  <si>
    <t>ИТОГО по Канашскому району:</t>
  </si>
  <si>
    <t>Порецкий район</t>
  </si>
  <si>
    <t>Благоустройство парка  отдыха,  расположенного по адресу: Чувашская Республика, Порецкий район, село Порецкое, ул. Ленина (экспертиза от 20.02.2020)</t>
  </si>
  <si>
    <t>Порецкий район с.Порецкое</t>
  </si>
  <si>
    <t>2021-2022</t>
  </si>
  <si>
    <r>
      <t>11951,4 м</t>
    </r>
    <r>
      <rPr>
        <vertAlign val="superscript"/>
        <sz val="12"/>
        <color theme="1"/>
        <rFont val="Arial"/>
        <family val="2"/>
        <charset val="204"/>
      </rPr>
      <t>2</t>
    </r>
  </si>
  <si>
    <t>РБ,МБ</t>
  </si>
  <si>
    <t>Строительство мемориального комплекса /памятник "Победы"/</t>
  </si>
  <si>
    <t>Проект находится на экспертизе РБ,МБ</t>
  </si>
  <si>
    <t>Благоустройство парка "Победы"</t>
  </si>
  <si>
    <t>2024-2025</t>
  </si>
  <si>
    <t>ИТОГО по Порецкому району:</t>
  </si>
  <si>
    <t>Цивильский район</t>
  </si>
  <si>
    <t>Благоустройство малой реки (р.Булаг) в г.Цивильск</t>
  </si>
  <si>
    <t>Муниципальная программа "Развитие земельных и имущественных отношений Цивильского района Чувашской Республики"</t>
  </si>
  <si>
    <t>2022-2023</t>
  </si>
  <si>
    <t>1,8 км</t>
  </si>
  <si>
    <t>РБ</t>
  </si>
  <si>
    <t>ИТОГО по Цивильскому району:</t>
  </si>
  <si>
    <t>г. Чебоксары</t>
  </si>
  <si>
    <t>Благоустройство Чебоксарского залива</t>
  </si>
  <si>
    <t>ПСД имеется</t>
  </si>
  <si>
    <t>Благоустройство малой реки Кукшум</t>
  </si>
  <si>
    <t>2021-2024</t>
  </si>
  <si>
    <t>Благоустройство малой реки Чебоксарка</t>
  </si>
  <si>
    <t>Благоустройство парка "Лакреевский лес"</t>
  </si>
  <si>
    <t>Благоустройство дворовых территорий (более 500 дворов)</t>
  </si>
  <si>
    <t>2021-2025</t>
  </si>
  <si>
    <t>Благоустройство 10 общественных территорий</t>
  </si>
  <si>
    <t>2022-2024</t>
  </si>
  <si>
    <t>ИТОГО по г. Чебоксары:</t>
  </si>
  <si>
    <t>ИТОГО по Республике Чувашия:</t>
  </si>
  <si>
    <t>Общие сведения о коммерческих и инфраструктурных проектах, мероприятиях и показателях состояния отрасли Дорожное хозяйство в Республике Чувашия</t>
  </si>
  <si>
    <t>Алатырский район</t>
  </si>
  <si>
    <t>Строительство  наружного освещения и тротуаров  автомобильной дороги Шемурша-Сойгино-Алтышево-"Аниш" на участках км 44+264 - км 45+393, км 46+726-км 49+228, км 57+415-км 58+083 и км 75+904 - км 80+284 и пешеходных переходов вблизи образовательного учреждения км 44+683, км 48+374 и км 78+687</t>
  </si>
  <si>
    <t>2026-2027</t>
  </si>
  <si>
    <t>10,91 км; 3 пешеходных перехода</t>
  </si>
  <si>
    <t>Проектные работы завершены</t>
  </si>
  <si>
    <t>Строительство наружного освещения и тротуаров автомобильной дороги Чебоксары-Сурское на участке км 173+413 - км 193+125 (выборочно) с устройством пешеходного перехода на км 190+323</t>
  </si>
  <si>
    <t>4,66 км; 1 пешеходный переход</t>
  </si>
  <si>
    <t>Строительство автомобильной дороги по улицам Гагарина, Молодёжная, Юбилейная, проезд от ул. Юбилейная до ул. Школьная, Школьная в п. Восход</t>
  </si>
  <si>
    <t>1,3 км</t>
  </si>
  <si>
    <t>Федеральный и республиканский бюджет</t>
  </si>
  <si>
    <t>ИТОГО по Алатырскому району:</t>
  </si>
  <si>
    <t>Аликовский район</t>
  </si>
  <si>
    <t>Строительство  наружного освещения  автомобильной дороги Никольское-Ядрин-Калинино на участке км 52+259 - км 52+875, км 54+500-км 54+812 с устройством пешеходного перехода вблизи образовательного учреждения км 53+034</t>
  </si>
  <si>
    <t>0,92 км; 1 пешеходный переход</t>
  </si>
  <si>
    <t>Строительство  наружного освещения и тротуаров  автомобильной дороги Аликово-Старые Атаи-а.д. "Сура" на участках км 0+000-км 0+450, км 13+260 - км 15+825  и км 16+674 - км 18+925 с пешеходным переходом вблизи образовательного учреждения км 14+490, км 15+484</t>
  </si>
  <si>
    <t>2025-2026</t>
  </si>
  <si>
    <t>4,81 км; 1 пешеходный переход</t>
  </si>
  <si>
    <t>Строительство наружного освещения автомобильной дороги Аликово-Ишаки на участке км 0+040 - км 0+725</t>
  </si>
  <si>
    <t>0,68 км</t>
  </si>
  <si>
    <t>Капитальный ремонт участка автомобильной дороги Аликово-Ильянкино КМ 0+000 – КМ 6+000</t>
  </si>
  <si>
    <t>2020-2022</t>
  </si>
  <si>
    <t>6,0 км</t>
  </si>
  <si>
    <t>РБ, МБ</t>
  </si>
  <si>
    <t>Строительство автомобильной дороги по улице Кооперативная в д. Большие Токташи</t>
  </si>
  <si>
    <t>0,224 км</t>
  </si>
  <si>
    <t>Ремонт автомобильных дорог общего пользования местного значения вне границ населенных пунктов в границах муниципального района</t>
  </si>
  <si>
    <t>2021-2026</t>
  </si>
  <si>
    <t>54 км</t>
  </si>
  <si>
    <t>ФБ, РБ, МБ</t>
  </si>
  <si>
    <t>Ремонт автомобильных дорог общего пользования местного значения в границах населенных пунктов сельских поселений</t>
  </si>
  <si>
    <t>136 км</t>
  </si>
  <si>
    <t>ИТОГО по Аликовскому району:</t>
  </si>
  <si>
    <t>Строительство наружного освещения и тротуаров на  автомобильной дороге Калинино-Батырево-Яльчики на участке км 105+585 - км 107+494</t>
  </si>
  <si>
    <t>1,90 км</t>
  </si>
  <si>
    <t>Строительство автомобильной дороги по ул. Полевая в с. Норваш-Шигали</t>
  </si>
  <si>
    <t>1,333 км</t>
  </si>
  <si>
    <t>ФБ, РБ</t>
  </si>
  <si>
    <t>Строительство автомобильной дороги по ул. Карла Маркса и ул. А.П.Табакова с примыканием к автомобильной дороге регионального значения Калинино – Батырево – Яльчики на км 96+297 в с. Батырево</t>
  </si>
  <si>
    <t>1,268 км</t>
  </si>
  <si>
    <t>Строительство автомобильной дороги по ул. Полевая в с. Шыгырдан</t>
  </si>
  <si>
    <t>Комплексное развитие сельских территорий</t>
  </si>
  <si>
    <t>0,531 км</t>
  </si>
  <si>
    <t>Строительство автомобильной дороги к цеху по переработке биоотходов с. Шыгырдан</t>
  </si>
  <si>
    <t>1,999 км</t>
  </si>
  <si>
    <t>Реконструкция автодороги "Цивильск - Ульяновск" - Старое Котяково - Татмыш Югелево</t>
  </si>
  <si>
    <t>5 км</t>
  </si>
  <si>
    <t xml:space="preserve"> РБ</t>
  </si>
  <si>
    <t>Строительство автомобильной дороги по ул. Заречная и Садовая в с. Сугуты</t>
  </si>
  <si>
    <t>1,4 км</t>
  </si>
  <si>
    <t>Строительство автомобильной дороги по ул. Южная в с.Туруново</t>
  </si>
  <si>
    <t>0,9 км</t>
  </si>
  <si>
    <t>Строительство автомобильной дороги по ул. Ленина в с. Шыгырдан</t>
  </si>
  <si>
    <t>2,8 км</t>
  </si>
  <si>
    <t>Строительство автомобильной дороги "Калинино-Батырево-Яльчики-Новое Бахтиарово"</t>
  </si>
  <si>
    <t>2,4 км</t>
  </si>
  <si>
    <t>Строительство автомобильной дороги "ул. Лесная, ул. Полевая" в д. Балабаш-Нурусово</t>
  </si>
  <si>
    <t>1,54 км</t>
  </si>
  <si>
    <t>Капитальный ремонт  автомобильной дороги "Бахтигильдино - Балабаш-Нурусово"</t>
  </si>
  <si>
    <t>3,0 км</t>
  </si>
  <si>
    <t>ПСД в стадии разработки</t>
  </si>
  <si>
    <t>Капитальный ремонт автомобильной дороги "Старые Тойси - Татарские Тимяши"</t>
  </si>
  <si>
    <t>Строительство автомобильной дороги "ул. Колхозная, Апанаева в д. Долгий Остров"</t>
  </si>
  <si>
    <t>Строительство автомобильных  дорог микрорайона "Южный" с. Батырево</t>
  </si>
  <si>
    <t>с. Батырево Батыревского района</t>
  </si>
  <si>
    <t>Строительство автомобильных дорог микрорайона "Южный" с. Шыгырдан</t>
  </si>
  <si>
    <t>с.Шыгырданы Батыревского района</t>
  </si>
  <si>
    <t>Реконструкция автомобильной дороги по улице Октябрьская и подъезд к сельскому клубу по улицам Пушкина и Садовая деревни Малые Арабузи</t>
  </si>
  <si>
    <t>1,907 км</t>
  </si>
  <si>
    <t>Строительство автомобильной дороги по ул. Ленина в д. Шаймурзино</t>
  </si>
  <si>
    <t>0,95 км</t>
  </si>
  <si>
    <t>Строительство автомобильной дороги по ул.Кокеля в с. Тарханы</t>
  </si>
  <si>
    <t>0,26 км</t>
  </si>
  <si>
    <t>Капитальный ремонт автомобильной дороги по ул. Кошкина, Кооперативная, Напольная в д. Новое Котяково</t>
  </si>
  <si>
    <t>Строительство автомобильной дороги по ул. Дружбы (проезд Ярмарочный) в с. Батырево</t>
  </si>
  <si>
    <t>Строительство автомобильной дороги по ул. Крымова и Подгорная в д. Полевые Бикшики</t>
  </si>
  <si>
    <t>Строительство автомобильной дороги по ул. Центральная в д. Татарские Сугуты</t>
  </si>
  <si>
    <t>Строительство автомобильной дороги по ул. Новая в д. Красномайск</t>
  </si>
  <si>
    <t>0,86 км</t>
  </si>
  <si>
    <t>Строительство автомобильной дороги по ул. Ф. Ситты в  д. Малое Батырево</t>
  </si>
  <si>
    <t>1,65 км</t>
  </si>
  <si>
    <t>Вурнарский район</t>
  </si>
  <si>
    <t>Строительство наружного освещения автомобильной дороги Калинино-Батырево-Яльчики в п. Вурнары на участках км 13+292 - км 17+429 (выборочно), км26+374 - км 27+783, км 2+877 - км 4+271  с устройством пешеходного перехода вблизи образовательного учреждения км 15+949</t>
  </si>
  <si>
    <t>5,89 км; 1 пешеходный переход</t>
  </si>
  <si>
    <t>Строительство  наружного освещения и тротуаров автомобильной дороги Никольское-Ядрин-Калинино на участке км 63+722 - км 65+135 с устройством пешеходного перехода вблизи образовательного учреждения км 64+399</t>
  </si>
  <si>
    <t>1,41 км; 1 пешеходный переход</t>
  </si>
  <si>
    <t>Строительство  наружного освещения и тротуаров  автомобильной дороги "Цивильск-Ульяновск"-Ачакасы-Янгорчино-"Вурнары-Убеево-Красноармейское" на участках км 7+930 - км 8+245, км 12+773 - км 13+693, км 23+343 - км 24+680, км 27+040-км 28+739,  и км 34+800-км 35+425, км 35+723- км 36+738  и пешеходного перехода вблизи образовательного учреждения км 23+593</t>
  </si>
  <si>
    <t>Канашский район, Вурнарский район</t>
  </si>
  <si>
    <t>5,88 км; 1 пешеходный переход</t>
  </si>
  <si>
    <t>Строительство  наружного освещения и тротуаров  автомобильной дороги Вурнары-Убеево-Красноармейское на участкекм 0+000-км 1+042, км 17+390 - км 20+431 и пешеходного перехода вблизи образовательного учреждения км 18+643</t>
  </si>
  <si>
    <t>3,04 км; 1 пешеходный переход</t>
  </si>
  <si>
    <t>Строительство наружного освещения с устройством пешеходных переходов, остановочных пунктов и тротуаров на автомобильной дороге Чебоксары-Сурское на участке км 72+255 - км 73+804</t>
  </si>
  <si>
    <t>Ремонт автомобильных дорог по ул. Ашмарова, ул. Ж.Илюкина, ул. Комсомольская, ул. Советская,  ул. Пионерская, Первомайская в пгт. Вурнары</t>
  </si>
  <si>
    <t>2020-2025</t>
  </si>
  <si>
    <t>10 км</t>
  </si>
  <si>
    <t>ИТОГО по Вурнарскому району:</t>
  </si>
  <si>
    <t>Ибресинский район</t>
  </si>
  <si>
    <t>Строительство наружного освещения с устройством пешеходных переходов и тротуаров на  автомобильной дороге "Аниш" на участке км 101+405 - км 103+588</t>
  </si>
  <si>
    <t>2,18 км; 2 пешеходных перехода</t>
  </si>
  <si>
    <t>Строительство наружного освещения и тротуаров автомобильной дороги Калинино-Батырево-Яльчики на участке км 36+960 - 40+920 с пешеходными переходами вблизи образовательного учреждения км 37+140 и км 37+330</t>
  </si>
  <si>
    <t>3,96 км; 2 пешеходных перехода</t>
  </si>
  <si>
    <t>Строительство  наружного освещения и тротуаров  автомобильной дороги Ибреси-Березовка-Кудеиха на участках км 0+136 - км 2+065, км 18+830 - км 19+938 с пешеходными переходами км 0+443, км 0+612, км 19+626 и остановочного пункта км 19+626</t>
  </si>
  <si>
    <t>3,02 км; 4 пешеходных перехода</t>
  </si>
  <si>
    <t>Ремонт автодороги «Аниш-Хормалы» км 0+980…1+780</t>
  </si>
  <si>
    <t>0,8 км</t>
  </si>
  <si>
    <t>Ремонт автодороги «ВерхнееКляшево-Нижнее Кляшево» км 0+000…0+260</t>
  </si>
  <si>
    <t>Ремонт автодороги «Аниш-Айбечи» км 6+785…7+385</t>
  </si>
  <si>
    <t>0,6 км</t>
  </si>
  <si>
    <t>Ремонт автодороги «Аниш-Хормалы-Новые Высли» км 0+000…2+600</t>
  </si>
  <si>
    <t>2,6 км</t>
  </si>
  <si>
    <t>Ремонт автодороги «Новое Чурашево-Сирикли» км 0+000…0+670</t>
  </si>
  <si>
    <t>0,67 км</t>
  </si>
  <si>
    <t>Ремонт автодороги «Аниш-Хормалы» км 3+500…5+500 выборочно</t>
  </si>
  <si>
    <t>1 км</t>
  </si>
  <si>
    <t>Ремонт автодороги «Калинино-Батырево-Яльчики-Чувашские Тимяши» км 0+000…1+000</t>
  </si>
  <si>
    <t xml:space="preserve">Ремонт автомобильных дорог в населенных пунктах сельских поселениях </t>
  </si>
  <si>
    <t>16 км</t>
  </si>
  <si>
    <t xml:space="preserve">Ремонт и капитальный ремонт проездов к территориям многоквартирных жилых домов </t>
  </si>
  <si>
    <r>
      <t>3000 м</t>
    </r>
    <r>
      <rPr>
        <vertAlign val="superscript"/>
        <sz val="12"/>
        <color theme="1"/>
        <rFont val="Arial"/>
        <family val="2"/>
        <charset val="204"/>
      </rPr>
      <t>2</t>
    </r>
  </si>
  <si>
    <t>ИТОГО по Ибресинскому району:</t>
  </si>
  <si>
    <t xml:space="preserve">Строительство  наружного освещения  автомобильной дороги Канаш-Тюлькой-Словаши-а.д. "Волга" на участках 0+631-км 1+396 ,км 5+652 - км 5+956, км 10+517 - км 11+429 и пешеходного перехода вблизи образовательного учреждения км 5+804 в Канашском районе </t>
  </si>
  <si>
    <t>2,02 км; 1 пешеходный переход</t>
  </si>
  <si>
    <t>Строительство наружного освещения и тротуаров автомобильной дороги Шихазаны-Калинино на участке км 37+020 - км 37+501 с устройством пешеходного перехода на км м37+490, освещение на пешеходном переходе км 13+288, км 13+340 в Канашском районе</t>
  </si>
  <si>
    <t>0,48 км; 1 пешеходный переход</t>
  </si>
  <si>
    <t>Реконструкция автодороги «Цивильск - Ульяновск» - Калиновка в Канашском районе Чувашской Республики</t>
  </si>
  <si>
    <t>2020-2021</t>
  </si>
  <si>
    <t>4,046 км</t>
  </si>
  <si>
    <t>ФБ, МБ</t>
  </si>
  <si>
    <t>Капитальный ремонт мостового сооружения, находящиеся в аварийном техническом состоянии, расположенных на автомобильной дороге "Канаш -Тюлькой - Словаши -"Волга"- с. Ухманы</t>
  </si>
  <si>
    <t>0,500 км</t>
  </si>
  <si>
    <t>Строительство автомобильной дороги по ул. Западная, ул. Школьная, ул. Михайлова в д. Юманзары Канашского района Чувашской Республики</t>
  </si>
  <si>
    <t>2023-2024</t>
  </si>
  <si>
    <t>1,7095 км</t>
  </si>
  <si>
    <t>Строительство автомобильной дороги по ул.Ленина в д. Малые Бикшихи Канашского района Чувашской Республики</t>
  </si>
  <si>
    <t>0,900 км</t>
  </si>
  <si>
    <t>Капитальный ремонт автомобильной дороги "Аниш-Кармамеи-Семеновка" Канашского района Чувашской Республики</t>
  </si>
  <si>
    <t>2 км</t>
  </si>
  <si>
    <t>Реконструкция автомобильной дороги "Цивильск-Ульяновск-Шигали-Ирх-Сирма" Канашского района Чувашской Республики</t>
  </si>
  <si>
    <t>2,000 км</t>
  </si>
  <si>
    <t>Ремонт автомобильной дороги "Канаш-Тюлькой-Словаши-Волга-Чиршкасы" Канашского района Чувашской Республики</t>
  </si>
  <si>
    <t>2,100 км</t>
  </si>
  <si>
    <t>Строительство автомобильной дороги по улицам Победы, Ворошилово, Калинина, Кооперативная в селе Шибылги Канашского района Чувашской Республики</t>
  </si>
  <si>
    <t>0,240 км</t>
  </si>
  <si>
    <t>Проведение ямочного ремонта в Канашском районе на 180 км дорог</t>
  </si>
  <si>
    <t>180 км</t>
  </si>
  <si>
    <t>Козловский район</t>
  </si>
  <si>
    <t>Ремонт республиканской автомобильной дороги  "Волга"-Марпосад-Октябрьское-Козловка на участках км 29+050 - 51+600 км  в Козловском районе</t>
  </si>
  <si>
    <t>22,5 км</t>
  </si>
  <si>
    <t>Требуется разработка ПСД</t>
  </si>
  <si>
    <t xml:space="preserve">Рнмонт республиканской автомобильной дороги "Волга" - Козловка на участке км 0+000 -  9+400 км  в Козловском районе </t>
  </si>
  <si>
    <t>9,4 км</t>
  </si>
  <si>
    <t>Строительство наружного освещения и тротуаров автомобильной дороги "Волга"-Марпосад-Октябрьское-Козловка на участках км 29+005-км 29+740, км 31+083 - км 31+938 с устройством пешеходных переходов вблизи образовательного учреждения км 31+287, км 31+743</t>
  </si>
  <si>
    <t>1,58 км; 2 пешеходных перехода</t>
  </si>
  <si>
    <t>Строительство  наружного освещения и тротуаров автомобильной дороги "Волга" - Козловка на участке км 4+212 - км 6+205 с устройством пешеходного перехода на км 4+735, км 6+205</t>
  </si>
  <si>
    <t>1,99 км; 2 пешеходных перехода</t>
  </si>
  <si>
    <t>Строительство  наружного освещения и тротуаров автомобильной дороги "Волга" - Марпосад- Октябрьское - Козловка на участках км 47+050 - 47+391, км 50+037 - км 51+587 с устройством пешеходных переходов на км 50+077, км 50+942</t>
  </si>
  <si>
    <t>1,891 км; 2 пешеходных перехода</t>
  </si>
  <si>
    <t>Ремонт автодороги "Объезд г. Козловка № 1"  КМ 1+930 - КМ 2+300 (ул. 30 лет Победы)</t>
  </si>
  <si>
    <t>0,370 км</t>
  </si>
  <si>
    <t>Ремонт автодороги Баланово-Илебары км 1+910 -км 2+435</t>
  </si>
  <si>
    <t>0,525 км</t>
  </si>
  <si>
    <t>Ремонт автодороги "Волга"-Чешлама КМ 0+000 -КМ 0+350</t>
  </si>
  <si>
    <t>0,350 км</t>
  </si>
  <si>
    <t>.Проектирование и строительство республиканской автомобильной дороги «Волга-Марпосад-Октябрьское-Козловка»  на грунтовом разрыве между д. Нижеры Мариинско-Посадского района и с.Карамышево</t>
  </si>
  <si>
    <t>3,1 км</t>
  </si>
  <si>
    <t>Ремонт автодороги Баланово-Илебары км 2+410 -км 2+770</t>
  </si>
  <si>
    <t>Ремонт автодороги "Волга"-Чешлама КМ 0+350 -КМ 0+950</t>
  </si>
  <si>
    <t>0,600 км</t>
  </si>
  <si>
    <t>Ремонт автодороги "Волга"-Масловка-Альменево КМ 0+025 - КМ 0+385</t>
  </si>
  <si>
    <t>0,360 км</t>
  </si>
  <si>
    <t>Ремонт автодороги "Волга"-Чешлама КМ 0+950 -КМ 3+950</t>
  </si>
  <si>
    <t>Ремонт автодороги Козловка-Сятракасы-Солдыбаево_Картлуево КМ 0+000 -КМ 0+600</t>
  </si>
  <si>
    <t>Ремонт автодороги "Волга"-Масловка-Альменево КМ 0+385 - КМ 0+835</t>
  </si>
  <si>
    <t>0,450 км</t>
  </si>
  <si>
    <t>Ремонт автодороги "Волга"-Масловка-Альменево КМ 0+835 - КМ 3+835</t>
  </si>
  <si>
    <t>Ремонт автодороги Козловка-Сятракасы-Солдыбаево_Картлуево КМ 0+600 -КМ 0+2600</t>
  </si>
  <si>
    <t>2,0 км</t>
  </si>
  <si>
    <t>Ремонт автодороги "Волга"-Чешлама КМ 3+950 -КМ 4+950</t>
  </si>
  <si>
    <t>1,0 км</t>
  </si>
  <si>
    <t>Ремонт автодороги «Волга»-Верхнее Байгулово КМ 0+000-0+2500</t>
  </si>
  <si>
    <t>2,5 км</t>
  </si>
  <si>
    <t>Строительство автомобильной дороги  по ул. Октябрьская в г. Козловка</t>
  </si>
  <si>
    <t>1,819 км</t>
  </si>
  <si>
    <t>Строительство автомобильной дороги по ул. Центральная в д. Янгильдино</t>
  </si>
  <si>
    <t>Строительство автомобильной дороги по ул. Новая в д. Осинкино</t>
  </si>
  <si>
    <t>Строительство автомобильной дороги по ул. Волжская (от жилого дома №64 до жилого дома №28) в д. Криуши</t>
  </si>
  <si>
    <t>0,591 км</t>
  </si>
  <si>
    <t>Строительство автомобильной дороги по ул. Молодежная в д. Еметкино</t>
  </si>
  <si>
    <t>1,111 км</t>
  </si>
  <si>
    <t>Строительство автомобильной дороги по ул. Бр. Николаевых в д. Еметкино</t>
  </si>
  <si>
    <t>1,144 км</t>
  </si>
  <si>
    <t>Строительство автомобильной дороги по ул. Ленина в д. Чешлама</t>
  </si>
  <si>
    <t>0,798 км</t>
  </si>
  <si>
    <t>Строительство автомобильной дороги по ул. Лесная в д. Карцев-Починок</t>
  </si>
  <si>
    <t>0,94 км</t>
  </si>
  <si>
    <t>Строительство дороги по ул. Карцевопочинская  в д. Карцев-Починок</t>
  </si>
  <si>
    <t>1,1 км</t>
  </si>
  <si>
    <t>Строительство  автомобильной дороги  «Волга»-Воробьевка (подъезд к д. Воробьевка с твердым покрытием)</t>
  </si>
  <si>
    <t>2,26 км</t>
  </si>
  <si>
    <t>Строительство автомобильной дороги по ул. Лесная в д. Айдарово</t>
  </si>
  <si>
    <t>Строительство автомобильной дороги по ул. Нагорная в д. Калугино</t>
  </si>
  <si>
    <t>1,2 км</t>
  </si>
  <si>
    <t>Строительство автомобильной дороги по ул. Полевая в д. Кинеры</t>
  </si>
  <si>
    <t>Строительство автомобильной дороги по ул. Б.Мишина, в д. Кинеры</t>
  </si>
  <si>
    <t>Строительство автомобильной дороги по ул. Верхнекурганская, в д. Верхний Курган</t>
  </si>
  <si>
    <t>Строительство автомобильной дороги по ул.Полевая, ул. Овражная, в д. Пиндиково</t>
  </si>
  <si>
    <t>Строительство автомобильных дорог по улицам города Козловки</t>
  </si>
  <si>
    <t>г. Козловка</t>
  </si>
  <si>
    <t>2023-2025</t>
  </si>
  <si>
    <t>20 км</t>
  </si>
  <si>
    <t>ИТОГО по Козловскому району:</t>
  </si>
  <si>
    <t>Комсомольский район</t>
  </si>
  <si>
    <t>Строительство наружного освещения автомобильной дороги "Калинино-Батырево-Яльчики"-Починок Инели-граница Республики Татарстан на участках км 1+130-км 6+655 (выборочно), км 10+130-км 25+900 (выборочно) с устройством пешеходных переходов вблизи образовательного учреждения км 10+523, км 15+130, км 15+819, км 16+229, км 20+570, км 25+609</t>
  </si>
  <si>
    <t>17,48 км; 6 пешеходных переходов</t>
  </si>
  <si>
    <t>Строительство наружного освещения и тротуаров автомобильной дороги Калинино-Батырево-Яльчики на участке км 70+636 - 74+620 (выборочно)с устройством пешеходных переходов вблизи образовательного учреждения км 71+583 и км 73+743</t>
  </si>
  <si>
    <t>2,10 км; 2 пешеходных перехода</t>
  </si>
  <si>
    <t>Строительство автомобильной дороги по ул. Новая, Садовая, Нагорная в д. Новые Высли</t>
  </si>
  <si>
    <t>1,4км</t>
  </si>
  <si>
    <t>Строительство автомобильной дороги по ул.Нагорная, Новая, Центральная д. Альбусь-Сюрбеево</t>
  </si>
  <si>
    <t>Автодорога по ул.Советская и ул.Чапаева в д.С.Ч.Сюрбеев</t>
  </si>
  <si>
    <t>1,7 км</t>
  </si>
  <si>
    <t>Автодорога подъезд к школе д.Чичканы</t>
  </si>
  <si>
    <t>1,5 км</t>
  </si>
  <si>
    <t>Автодорога по ул.Ленина с.Асаново</t>
  </si>
  <si>
    <t>2,2 км</t>
  </si>
  <si>
    <t xml:space="preserve">Автодорога  по ул.Дружбы и ул.Солнечная  с.Токаево </t>
  </si>
  <si>
    <t>2,7 км</t>
  </si>
  <si>
    <t>Строительство тротуаров на  автомобильной дороге республиканского значения «Калинино-Батырево-Яльчики»-Починок-Инели-граница Республики Татарстан</t>
  </si>
  <si>
    <t>14,1 км</t>
  </si>
  <si>
    <t>Строительство наружного освещения с устройством пешеходных переходов и тротуаров на автомобильной дороге республиканского значения «Калинино-Батырево-Яльчики»</t>
  </si>
  <si>
    <t>Кап.ремонт автодороги "Комсомольское-Старые Высли"</t>
  </si>
  <si>
    <t>8,7 км</t>
  </si>
  <si>
    <t>Кап.ремонт автодороги "Цивильск-Ульяновск"-Новые Высли</t>
  </si>
  <si>
    <t>9,9 км</t>
  </si>
  <si>
    <t>Кап.ремонт автодороги "Цивильск-Ульяновск"-Починок Инели"-Старый Сундырь</t>
  </si>
  <si>
    <t>4,7 км</t>
  </si>
  <si>
    <t>Кап.ремонт автодороги «Цивильск-Ульяновск»-Киров</t>
  </si>
  <si>
    <t>Кап.ремонт автодороги «Калинино-Батырево-Яльчики»-Шурут-Нурусово</t>
  </si>
  <si>
    <t>Кап.ремонт автодороги «Калинино-Батырево-Яльчики»-Ендоба</t>
  </si>
  <si>
    <t>Строительство автомобильных дорог по ул. Мира и ул. Дружбы в с. Урмаево</t>
  </si>
  <si>
    <t>с. Урмаево Комсомольского района</t>
  </si>
  <si>
    <t>2019-2020</t>
  </si>
  <si>
    <t>ИТОГО по Комсомольскому району:</t>
  </si>
  <si>
    <t>Красноармейский район</t>
  </si>
  <si>
    <t>Строительство наружного освещения автомобильной дороги Чебоксары-Сурское на участке км 43+525 - 48+700 (выборочно) с пешеходным переходом вблизи образовательного учреждения км 42+408</t>
  </si>
  <si>
    <t>1,30 км; 1 пешеходный переход</t>
  </si>
  <si>
    <t>Строительство  наружного освещения и тротуаров  автомобильной дороги Вурнары-Убеево- Красноармейское на участках км 29+760-км 31+078, км 31+876-км 32+664, км 36+450 - км 38+030 и пешеходных переходов вблизи образовательного учреждения км 36+738 и км 37+059 и устройство светофора на км 37+513</t>
  </si>
  <si>
    <t>3,67 км; 2 пешеходных перехода</t>
  </si>
  <si>
    <t>Строительство  наружного освещения и тротуаров автомобильной дороги Цивильск - Красноармейское - Кюль-Сирма на участках км 0+016 - км 2+366, км 4+021 - км 7+540, км 9+021 - км 9+847, км 21+694-км 22+514, км 22+961-км 24+269 и пешеходного перехода вблизи образовательного учреждения км 6+284</t>
  </si>
  <si>
    <t xml:space="preserve">Красноармейский район, Цивильский район </t>
  </si>
  <si>
    <t>8,80 км; 1 пешеходный переход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</si>
  <si>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</si>
  <si>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2020-2026</t>
  </si>
  <si>
    <t>1174 кв.м.</t>
  </si>
  <si>
    <t>Капитальный ремонт, ремонт автомобильных дорог общего пользования местного значения вне границ населенных пунктов в границах муниципального района</t>
  </si>
  <si>
    <t>3 км</t>
  </si>
  <si>
    <t>Строительство автомобильной дороги с твердым покрытием по 8 улицам юго-восточного микрорайона с. Красноармейское</t>
  </si>
  <si>
    <t>Строительство автомобильной дороги с твердым покрытием по 5 улицам юго-западного микрорайона с. Красноармейское</t>
  </si>
  <si>
    <t>4,3 км</t>
  </si>
  <si>
    <t>ИТОГО по Красноармейскому району:</t>
  </si>
  <si>
    <t>Красночетайский район</t>
  </si>
  <si>
    <t>Строительство  наружного освещения и тротуаров  автомобильной дороги Аликово-Старые Атаи-а.д. "Сура" на участке км 20+638 - км 32+265 (выборочно) и пешеходного перехода вблизи образовательного учреждения км 31+836</t>
  </si>
  <si>
    <t>5,14 км; 1 пешеходный переход</t>
  </si>
  <si>
    <t>Ремонт автомобильных дорог общего  пользования местного значения вне границ населенных пунктов Красночетайского района</t>
  </si>
  <si>
    <t>8,8 км</t>
  </si>
  <si>
    <t>ИТОГО по Красночетайскому району:</t>
  </si>
  <si>
    <t>Мариинско-Посадский район</t>
  </si>
  <si>
    <t>Строительство наружного освещения и тротуаров автомобильной дороги "Волга"-Марпосад-Октябрьское-Козловка на участках км 9+457 - км 12+300 и км 16+353 - км 18+208 с пешеходными переходами км 9+609, км 11+515, 12+270, км 17+303</t>
  </si>
  <si>
    <t>4,69 км; 4 пешеходных перехода</t>
  </si>
  <si>
    <t xml:space="preserve">Строительство автомобильной дороги протяженностью 1,355 км в д. Мижули по ул. Лесная с примы-канием к автомобильной дороге "Волга" – Марпо-сад – Первое Чурашево – Марпосад – Аксарино" </t>
  </si>
  <si>
    <t xml:space="preserve">Строительство автомобильной дороги по ул. Центральная и ул. Красноармейская в с. Тогаево </t>
  </si>
  <si>
    <t>ИТОГО по Мариинско-Посадскому району:</t>
  </si>
  <si>
    <t>Моргаушский район</t>
  </si>
  <si>
    <t>Строительство наружного освещения на автомобильной дороге "Авданкасы-Моргауши-Козьмодемьянск" на участках км 1+170 - км 10+561 и км 15+250 - км 36+266 (выборочно) с пешеходными переходами на км 17+321, км 34+821, км 28+174</t>
  </si>
  <si>
    <t>8,110 км; 3 пешеходных переходов</t>
  </si>
  <si>
    <t>Строительство наружного освещения автомобильной дороги "Сура" на участке км 3+441 - км 5+010 (выборочно) и тротуаров с устройством пешеходного перехода вблизи образовательного учреждения км 4+474, км 4+664</t>
  </si>
  <si>
    <t>1,56 км; 2 пешеходных перехода</t>
  </si>
  <si>
    <t>Строительство наружного освещения и тротуаров автомобильной дороги Моргауши-Тораево-Сура на участке км 17+911 - км 20+028 с устройством пешеходного перехода на км 19+885</t>
  </si>
  <si>
    <t>2,11 км; 1 пешеходный переход</t>
  </si>
  <si>
    <t>ИТОГО по Моргаушскому району:</t>
  </si>
  <si>
    <t>Строительство автомобильной дороги по ул. Нагорная в с. Ряпино</t>
  </si>
  <si>
    <t>2020 – 2022</t>
  </si>
  <si>
    <t>Строительство автомобильной дороги по ул. Комсомольская в с. Порецкое</t>
  </si>
  <si>
    <t>2020 – 2021</t>
  </si>
  <si>
    <t>Ремонт автомобильной дороги «Мишуково – Ардатов» - Анастасово – Никулино</t>
  </si>
  <si>
    <t>3,285 км</t>
  </si>
  <si>
    <t>Ремонт автомобильной дороги «Чебоксары-Сурское» - Рындино-Турдаково</t>
  </si>
  <si>
    <t>0,2 км</t>
  </si>
  <si>
    <t>Ремонт автодороги «Порецкое-Мачкасы»-Ряпино</t>
  </si>
  <si>
    <t>0,3 км</t>
  </si>
  <si>
    <t>Ремонт автодороги «Чебоксары-Сурское» - Сыреси - Любимовка</t>
  </si>
  <si>
    <t>Проектирование ремонтых работ на автомобильной дороги «Мишуково – Ардатов» - Мишуково – Ардатов</t>
  </si>
  <si>
    <t>6,5 км</t>
  </si>
  <si>
    <t>Строительство автодороги «Чебоксары-Сурское» - Урусово - Старое Ардатово</t>
  </si>
  <si>
    <t>4 км - по Чувашской Республике и 18,5 км по территории Мордовии</t>
  </si>
  <si>
    <t>Завершение строительства автодороги «Ибреси - Березовка - Кудеиха"</t>
  </si>
  <si>
    <t>Строительство автодороги «Комплексная компактная застройка и благоустройство индивидуальных домов усадебного типа в южной части с. Порецкое"</t>
  </si>
  <si>
    <t>0,777 км</t>
  </si>
  <si>
    <t>Проектирование и строительство автодороги по ул. Полевая до СПК "Восход" в с.Козловка Порецкого района Чувашской Республики</t>
  </si>
  <si>
    <t>Проектирование и строительство автодороги по ул. Школьная, Садовая в с.Козловка Порецкого района Чувашской Республики</t>
  </si>
  <si>
    <t>Проектирование и строительство автодороги по ул.Тракторная в с.Антипинка Порецкого района Чувашской Республики</t>
  </si>
  <si>
    <t>Проектирование и строительство автодороги по ул.Советская и ул. Красная Плащадь в с.Кудеиха Порецкого района Чувашской Республики</t>
  </si>
  <si>
    <t>Проектирование и строительство автодороги от ул.Ленина к Храму  в с.Сиява Порецкого района Чувашской Республики</t>
  </si>
  <si>
    <t>Проектирование  автомобильной дороги с асфальтированным покрытием по ул. Анастасово-1 (переулок до храма святителя Николая)*</t>
  </si>
  <si>
    <t>Порецкий район с.Анастасово</t>
  </si>
  <si>
    <t>0,65 км</t>
  </si>
  <si>
    <t>Проектирование  автомобильной дороги  по ул. Комсомольская*</t>
  </si>
  <si>
    <t>3 км.</t>
  </si>
  <si>
    <t>Проектирование  автомобильной дороги   Кирова-Подзаходникова-Фролова-Арлашкина-Кирова-Яшина (2 этап)*</t>
  </si>
  <si>
    <t>1,9 км.</t>
  </si>
  <si>
    <t>Проектирование и строительство автодороги от ул.Ленина до МБОУ "Напольновская СОШ" в с.Напольное Порецкого района Чувашской Республики</t>
  </si>
  <si>
    <t>2023 -2024</t>
  </si>
  <si>
    <t>0,075 км</t>
  </si>
  <si>
    <t>Проектирование и реконструкция автомобильной дороги  общего пользования местного значения с твердым покрытием - по улице Дугаевой к коровнику СПК "Семеновский" с. Семеновское Порецкого района чувашской Республики</t>
  </si>
  <si>
    <t>Порецкий район с.Семеновское</t>
  </si>
  <si>
    <t>Проектирование, и реконструкция автомобильной дороги «Кожевенное – Гарт» общей протяженностью 19,6 км.</t>
  </si>
  <si>
    <t>19,6 км</t>
  </si>
  <si>
    <t>Строительство автодороги  по ул. Кооперативная к МТФ  Агрофирмы "Рындино" в с. Рындино  Порецкого района Чувашской Республики</t>
  </si>
  <si>
    <t>Порецкий район с. Рындино</t>
  </si>
  <si>
    <t>0,85 км</t>
  </si>
  <si>
    <t>Проектирование и реконструкцию а/д по ул. Арлашкина от администрации села до выезда на а/д  Чебоксары - Сурское в сторону г. Алатырь протяженностью 2 км. 800 м.</t>
  </si>
  <si>
    <t>с. Напольное</t>
  </si>
  <si>
    <t xml:space="preserve"> Проектирование и строительство автомобильной дороги по ул. Севастьянова в. Порецкое</t>
  </si>
  <si>
    <t xml:space="preserve"> Проектирование и строительство автомобильной дороги по ул. Колхозная в с. Порецкое</t>
  </si>
  <si>
    <t xml:space="preserve"> Проектирование и строительство автомобильной дороги по пер. Спортивный в с. Порецкое</t>
  </si>
  <si>
    <t>0,34 км</t>
  </si>
  <si>
    <t xml:space="preserve"> Проектирование и строительство автомобильной дороги по ул. 1-ой Пятилетки в с. Порецкое</t>
  </si>
  <si>
    <t>0,7 км</t>
  </si>
  <si>
    <t xml:space="preserve"> Проектирование и строительство автомобильной дороги по ул. 2-ой Пятилетки в с. Порецкое</t>
  </si>
  <si>
    <t xml:space="preserve"> Проектирование и строительство автомобильной дороги по ул. Родионова в с. Порецкое</t>
  </si>
  <si>
    <t>0,5 км</t>
  </si>
  <si>
    <t>Урмарский район</t>
  </si>
  <si>
    <t>Строительство автомобильной дороги по ул. Ленина, ул. Школьная и пер. Кудрявцева в д. Тегешево</t>
  </si>
  <si>
    <t>Строительство автомобильной дороги по ул. Орлова, Школьная в д. Кульгеши</t>
  </si>
  <si>
    <t xml:space="preserve">Объект капитального строительства «Автомобильная дорога по ул. Ленина, ул. Школьная и пер. Кудрявцева в д. Тегешево Урмарского района </t>
  </si>
  <si>
    <t>1,184 км</t>
  </si>
  <si>
    <t>ИТОГО по Урмарскому району:</t>
  </si>
  <si>
    <t>Строительство  наружного освещения  автомобильной дороги "Волга" - Марпосад на участке км 3+077 - км 3+850 (выборочно) с устройством пешеходного перехода на км 0+171 – км 0+176, км 3+232 – км 3+236, км 3+627 – км 3+631, км 8+503 – км 8+507, км 8+842 – км 8+847, км 10+655 + км 10+660</t>
  </si>
  <si>
    <t>0,813 км; 1 пешеходный переход</t>
  </si>
  <si>
    <t>Перенос пешеходного перехода на автомобильной дороге общего пользования федерального значения М-7 "Волга" на пересечении дороги ул. Николаева г. Цивильск с  организацией регулируемого перекрестка и пешеходного перехода</t>
  </si>
  <si>
    <t>г. Цивильск</t>
  </si>
  <si>
    <t>ФБ</t>
  </si>
  <si>
    <t>Строительство примыкания к автомобильной дороге общего пользования федерального значения М-7 «Волга» на км 679+950 (справа) для организации транспортного доступа к территории микрорайона «Южный – 2» г. Цивильск</t>
  </si>
  <si>
    <t>Национальный проект "Безопасные и качественные дороги", Развитие транспортной системы Цивильского района Чувашской Республики» на 2020– 2035 гг</t>
  </si>
  <si>
    <t>100 м</t>
  </si>
  <si>
    <t>Строительство автомобильных дорог по территории населенных пунктов д. Липсеры, д. Михайловка, д. Первые Вурманкасы, д. Тебикасы, Тиньговатово</t>
  </si>
  <si>
    <t>Развитие транспортной системы Цивильского района Чувашской Республики» на 2020– 2035 гг</t>
  </si>
  <si>
    <t>4,89 км</t>
  </si>
  <si>
    <t>Строительство автомобильной дороги по ул. Шоссейная в д. Ситчараки</t>
  </si>
  <si>
    <t>Нет проекта</t>
  </si>
  <si>
    <t>Строительство примыкания к автомобильной дороге общего пользования федерального значения М-7 «Волга» на 678+250 (слева) для организации транспортного доступа г. Цивильск</t>
  </si>
  <si>
    <t>Национальный проект»Безопасные и качественные дороги», Муниципальная программа Цивильского района «Развитие транспортной системы Цивильского района Чувашской Республики»</t>
  </si>
  <si>
    <t>Чебоксарский район</t>
  </si>
  <si>
    <t>Строительство наружного освещения автомобильной дороги Кугеси-Атлашево-Новочебоксарск на участке км 19+563-км 19+861 с устройством пешеходного перехода на км 19+708</t>
  </si>
  <si>
    <t>0,298 км; 1 пешеходный переход</t>
  </si>
  <si>
    <t>Строительство наружного освещения и тротуаров автомобильной дороги Кугеси-Атлашево-Новочебоксарск на участках км 2+190-км 3+035,км 7+036-км 7+707, км 18+670-км 18+982, км 21+032-км 25+475  с устройством пешеходных переходов на км  2+343, км 2+883, км 7+188, км 7+555, км 9+444 км 18+225, км 24+138, км 25+435</t>
  </si>
  <si>
    <t>6,26 км; 7 пешеходных переходов</t>
  </si>
  <si>
    <t>Строительство  наружного освещения и тротуаров автомобильной дороги "Вятка" - пос.Северный на участках км 11+611 - км 14+323, км 15+251 - км 17+278 и км 29+090 - 29+666 с устройством пешеходного перехода вблизи образовательного учреждения км 16+847</t>
  </si>
  <si>
    <t>5,30 км; 1 пешеходный переход</t>
  </si>
  <si>
    <t>Строительство  наружного освещения  автомобильной дороги Атлашево -"Волга" - Марпосад на участке км 0+311 - км 0+548</t>
  </si>
  <si>
    <t>0,237 км</t>
  </si>
  <si>
    <t>Строительство  наружного освещения и тртуаров автомобильной дороги "Волга" - Сюктерка на участке 0+068 - км 1+989 (выборочно)</t>
  </si>
  <si>
    <t>1,92 км</t>
  </si>
  <si>
    <t>Строительство  наружного освещения и тротуаров  автомобильной дороги "Волга" - Вурманкасы - РГУ "Реабилитационный центр для ветеранов и инвалидов" на участке 0+060 - км 2+277 (выборочно)</t>
  </si>
  <si>
    <t>2,21 км</t>
  </si>
  <si>
    <t>Автомобильная дорога по улицам д.Мошкасы</t>
  </si>
  <si>
    <t>Республиканский бюджет, бюджет Чебоксарского района, местный бюджет</t>
  </si>
  <si>
    <t>Автомобильная дорога по ул.Дальняя, Кедровая, Весенняя, Светлая, п.Кугеси</t>
  </si>
  <si>
    <t>1,663 км</t>
  </si>
  <si>
    <t>Автомобильная дорога по ул.Колхозая в п.Кугеси</t>
  </si>
  <si>
    <t>ИТОГО по Чебоксарскому району:</t>
  </si>
  <si>
    <t>Шемуршинский район</t>
  </si>
  <si>
    <t xml:space="preserve">Строительство  наружного освещения и тротуаров  автомобильной дороги Шемурша-Сойгино-Алтышево-"Аниш" на участке км км 0+000-км 2+635 </t>
  </si>
  <si>
    <t>2,635 км; 1 пешеходный переход</t>
  </si>
  <si>
    <t>ИТОГО по Шемуршинскому району:</t>
  </si>
  <si>
    <t>Шумерлинский район</t>
  </si>
  <si>
    <t>Закольцевание автомобильной дороги общего пользования местного значения с твердым покрытием пос. Красный Атмал- пос. Речной</t>
  </si>
  <si>
    <t>6 км</t>
  </si>
  <si>
    <t>РБ – 155 800,0 тыс. рублей;
МБ – 8 200,0 тыс. рублей</t>
  </si>
  <si>
    <t>Закольцевание автомобильной дороги общего пользования местного значения с твердым покрытием «Чебоксары- Сурское» - с. Туваны - д. Малые Туваны»- «Чебоксары - Сурское» - с. Ходары – д. Егоркино»</t>
  </si>
  <si>
    <t>РБ – 31 350,0 тыс. рублей;
МБ – 1 650,0 тыс. рублей</t>
  </si>
  <si>
    <t>«Чебоксары- Сурское»- п.Красный Октябрь- п.Красный Атмал»</t>
  </si>
  <si>
    <t>21,151 км</t>
  </si>
  <si>
    <t>РБ – 77 539,0 тыс. рублей;
МБ – 4 081,0 тыс. рублей</t>
  </si>
  <si>
    <t xml:space="preserve"> «Чебоксары- Сурское»- п.Красный Октябрь- п.Красный Атмал» п. Мыслец –разъезд Пинеры»</t>
  </si>
  <si>
    <t>12,525 км</t>
  </si>
  <si>
    <t>РБ – 44 925,5 тыс. рублей;
МБ – 2 364,5 тыс. рублей</t>
  </si>
  <si>
    <t xml:space="preserve"> «Чебоксары - Сурское» - с. Русские Алгаши - п. Речной»</t>
  </si>
  <si>
    <t>7,983 км</t>
  </si>
  <si>
    <t>РБ – 29 260,0 тыс. рублей;
МБ –1 540,0 тыс. рублей</t>
  </si>
  <si>
    <t>"Подборное-Ахмасиха" (участок Кабаново-Ахмасиха)</t>
  </si>
  <si>
    <t>2,29 км</t>
  </si>
  <si>
    <t>РБ – 7 809,0 тыс. рублей;
МБ –411,0 тыс. рублей</t>
  </si>
  <si>
    <t xml:space="preserve"> «Чебоксары- Сурское» - с. Юманай – д. Тарн-Сирма»</t>
  </si>
  <si>
    <t>2,984 км</t>
  </si>
  <si>
    <t>РБ – 10 934,5 тыс. рублей;
МБ –575,5 тыс. рублей</t>
  </si>
  <si>
    <t xml:space="preserve"> «Чебоксары - Сурское» - д. Эшменейкино- д. Кадеркино- д. Пюкрей»</t>
  </si>
  <si>
    <t>6,115 км</t>
  </si>
  <si>
    <t>РБ – 22 420,0 тыс. рублей;
МБ –1 180,0 тыс. рублей</t>
  </si>
  <si>
    <t xml:space="preserve"> «Чебоксары - Сурское» - с. Ходары –д. Егоркино - д. Пояндайкино»</t>
  </si>
  <si>
    <t>2,836 км</t>
  </si>
  <si>
    <t>РБ – 10 402,5 тыс. рублей;
МБ –547,5 тыс. рублей</t>
  </si>
  <si>
    <t xml:space="preserve"> «Чебоксары - Сурское» - д. Молгачкино»</t>
  </si>
  <si>
    <t>1,054 км</t>
  </si>
  <si>
    <t>РБ – 3 705,0 тыс. рублей;
МБ –195,0 тыс. рублей</t>
  </si>
  <si>
    <t xml:space="preserve"> «д. Торханы - д. Чертаганы»</t>
  </si>
  <si>
    <t>6,551 км</t>
  </si>
  <si>
    <t>РБ – 24 035,0 тыс. рублей;
МБ –1 265,0 тыс. рублей</t>
  </si>
  <si>
    <t xml:space="preserve"> «Сура» - с. Нижняя Кумашка - д. Верхняя Кумашка»</t>
  </si>
  <si>
    <t>0,905 км</t>
  </si>
  <si>
    <t>РБ – 3 325,0 тыс. рублей;
МБ –175,0 тыс. рублей</t>
  </si>
  <si>
    <t>«Сура» - Верхний Магарин - Триер» - Нижний Магарин»</t>
  </si>
  <si>
    <t>1,928 км</t>
  </si>
  <si>
    <t>РБ – 7 077,5 тыс. рублей;
МБ –372,5 тыс. рублей</t>
  </si>
  <si>
    <t>ИТОГО по Шумерлинскому району:</t>
  </si>
  <si>
    <t>Ядринский район</t>
  </si>
  <si>
    <t>Строительство наружного освещения и светофоров автомобильной дороги Никольское-Ядрин-Калинино на участке км 10+650 - км 15+124</t>
  </si>
  <si>
    <t>4,4 км</t>
  </si>
  <si>
    <t>Строительство  наружного освещения и тротуаров  автомобильной дороги Ядрин - Николаевское - Новые Атаи на участках км 0+010 - км 0+598, км 3+010 - км 5+160, км 7+567 - км 8+673, км 9+612 - км 11+211, км 13+723 - км 13+904 км 17+624 - км 18+498 с пешеходными переходами км 13+730, км 0+052, 8+190, км  10+285</t>
  </si>
  <si>
    <t>6,471 км; 4 пешеходных перехода</t>
  </si>
  <si>
    <t>Строительство  наружного освещения и тротуаров автомобильной дороги Ядрин - дер. Канаш на участке км 0+066 - км 2+565</t>
  </si>
  <si>
    <t>2,49 км; 1 пешеходный переход</t>
  </si>
  <si>
    <t>Строительство автомобильных дорог местного значения, имеющие проектно-сметную документацию с экспертизой</t>
  </si>
  <si>
    <t>Разработка проектно-сметной документации на строительство автомобильных дорог в новых микрорайонах г. Ядрин (для обеспечения транспортной инфраструктурой земельных участков, выделенных многодетным семьям)</t>
  </si>
  <si>
    <t>Ремонт мостовых сооружений на автомобильных дорогах местного значения</t>
  </si>
  <si>
    <t>2023-2026</t>
  </si>
  <si>
    <t>Завершение строительства автодороги в обход г. Ядрин (объект республиканского значения)</t>
  </si>
  <si>
    <t>Строительство автомобильной дороги местного значения "Волга-Чебаково-Кудаши-Алексеевка" до молочно-товарной фермы на 100 голов Крестьянско-фермерского хозяйства Юхтанова Андрияна Николаевича</t>
  </si>
  <si>
    <t>Реконструкция автомобильной дороги местного значения по ул. 30 лет Победы г. Ядрин (на участке от автомобильной дороги "Никольское-Ядрин-Калинино" до ООО "Ядринский мясокомбинат Чувашпотребсоюза"</t>
  </si>
  <si>
    <t>Ремонт автомобильных дорог местного значения</t>
  </si>
  <si>
    <t>Строительство автомобильной дороги по ул. Садовая в д. Хирле-Сиры</t>
  </si>
  <si>
    <t>Ремонт автомобильных дорог регионального и межмуниципального значения</t>
  </si>
  <si>
    <t>ИТОГО по Ядринскому району:</t>
  </si>
  <si>
    <t>Яльчикский район</t>
  </si>
  <si>
    <t>Строительство  наружного освещения с устройством пешеходных переходов и тротуаров на автомобильной дороге Комсомольское-Яльчики-Буинск на участках км 29+310 - км 32+172, км 33+508-км 33+812, км 37+110-км 37+753</t>
  </si>
  <si>
    <t>3,80 км</t>
  </si>
  <si>
    <t>Ремонт на участке автомобильной дороги «Яльчики-Новые Шимкуссы»</t>
  </si>
  <si>
    <t>9,187 км</t>
  </si>
  <si>
    <t>Ремонт на участке автомобильной дороги «Комсомольское – Яльчики-Буинск» - Кушелга</t>
  </si>
  <si>
    <t>Строительство автомобильной дороги по ул. Поле-вая, Лесная, Молодежная в с. Большая Таяба</t>
  </si>
  <si>
    <t>Строительство автомобильной дороги по улице Центральная и Мельничная в с.Новые Шимкусы</t>
  </si>
  <si>
    <t>ИТОГО по Яльчикскому району:</t>
  </si>
  <si>
    <t>Янтиковский район</t>
  </si>
  <si>
    <t>Ремонт автомобильной дороги «Аниш»-Норваш Кошки с км 0+000 по км 2+745</t>
  </si>
  <si>
    <t>2,745 км</t>
  </si>
  <si>
    <t>Ремонт автомобильной дороги по ул.Союзная в с.Янтиково с км 0+000 по км 0+273</t>
  </si>
  <si>
    <t>0,273 км</t>
  </si>
  <si>
    <t>Ремонт автомобильной дороги «Янтиково-Кайбицы»-Кармалы с км 0+000 по км 2+900</t>
  </si>
  <si>
    <t>2,9 км</t>
  </si>
  <si>
    <t>Строительство автомобильной дороги по ул. Ленина, ул. Ча-паева и ул. Школьная в д. Бахтиарово</t>
  </si>
  <si>
    <t>Cтроительство автомобильной дороги по ул. Николаева в д. Тюмерово</t>
  </si>
  <si>
    <t>3,079 км</t>
  </si>
  <si>
    <t>ИТОГО по Янтиковскому району:</t>
  </si>
  <si>
    <t>г. Алатырь</t>
  </si>
  <si>
    <t>Реконструкция автомобильной дороги по улице Стрелецкая</t>
  </si>
  <si>
    <t>1,67 км</t>
  </si>
  <si>
    <t>Реконструкция автомобильной дороги по улице Кирова</t>
  </si>
  <si>
    <t>Строительство подъездных путей к индустриальному парку (участок по ул. 40 лет Победы – 1 этап)</t>
  </si>
  <si>
    <t>Строительство подъездных путей к индустриальному парку (участок по ул. Южная – 4 этап)</t>
  </si>
  <si>
    <t>1,04 км</t>
  </si>
  <si>
    <t>Реконструкция автомобильной дороги по улице Герцена</t>
  </si>
  <si>
    <t>ИТОГО по г. Алатырь:</t>
  </si>
  <si>
    <t>г. Канаш</t>
  </si>
  <si>
    <t>Реконструкция автомобильной дороги «улица Фрунзе» I и II этапы</t>
  </si>
  <si>
    <t>1, 044 км</t>
  </si>
  <si>
    <t>Республиканский бюджет, бюджет города Канаш</t>
  </si>
  <si>
    <t>Капитальный ремонт автомобильной дороги ул. К. Маркса (1 этап)</t>
  </si>
  <si>
    <t>0,626 км</t>
  </si>
  <si>
    <t>Капитальный ремонт автомобильной дороги ул. К. Маркса (2 и 3 этап)</t>
  </si>
  <si>
    <t>0,911 км</t>
  </si>
  <si>
    <t>Реконструкция автомобильной дороги пр.Ленина (1 этап)</t>
  </si>
  <si>
    <t>0,920 км</t>
  </si>
  <si>
    <t>Реконструкция автомобильной дороги пр.Ленина (2 этап)</t>
  </si>
  <si>
    <t>1,505 км</t>
  </si>
  <si>
    <t>Ремонт дворовых территорий многоквартирных домов и проездов к ним</t>
  </si>
  <si>
    <r>
      <t>15 МКД/ 8032 м</t>
    </r>
    <r>
      <rPr>
        <vertAlign val="superscript"/>
        <sz val="12"/>
        <color rgb="FF000000"/>
        <rFont val="Arial"/>
        <family val="2"/>
        <charset val="204"/>
      </rPr>
      <t>2</t>
    </r>
  </si>
  <si>
    <r>
      <t>14 МКД/ 7000 м</t>
    </r>
    <r>
      <rPr>
        <vertAlign val="superscript"/>
        <sz val="12"/>
        <color rgb="FF000000"/>
        <rFont val="Arial"/>
        <family val="2"/>
        <charset val="204"/>
      </rPr>
      <t>2</t>
    </r>
  </si>
  <si>
    <t>Ремонт участков автомобильных дорог в городе Канаш Чувашской Респблики</t>
  </si>
  <si>
    <t>ИТОГО по г. Канаш:</t>
  </si>
  <si>
    <t>г. Новочебоксарск</t>
  </si>
  <si>
    <t>Обновление контактной сети троллейбусного сообщения города</t>
  </si>
  <si>
    <t xml:space="preserve"> г. Новочебоксарск</t>
  </si>
  <si>
    <t>ИТОГО по г. Новочебоксарск:</t>
  </si>
  <si>
    <t>Строительство третьего транспортного полукольца в г. Чебоксары</t>
  </si>
  <si>
    <t>2024-2028</t>
  </si>
  <si>
    <t>7 км</t>
  </si>
  <si>
    <t>Строительство, капитальный ремонт и ремонт тротуаров</t>
  </si>
  <si>
    <t>80 км</t>
  </si>
  <si>
    <t>Необходима разработка ПСД</t>
  </si>
  <si>
    <t xml:space="preserve">Строительство 2-х уровневой развязки на перекрестке Б. Хмельницкого - Фучика </t>
  </si>
  <si>
    <t>2022-2025</t>
  </si>
  <si>
    <t xml:space="preserve">Ремонт дорог частного сектора </t>
  </si>
  <si>
    <t>840.000 кв. м</t>
  </si>
  <si>
    <t>Обновление парка городского наземного электрического транспорта</t>
  </si>
  <si>
    <t>рассматривается</t>
  </si>
  <si>
    <t>Строительство автомобильной дороги по ул. 1-ая Южная</t>
  </si>
  <si>
    <t xml:space="preserve">Региональный проект "Дорожная сеть" национального проекта "Безопасные и качественные автомобильные дороги" </t>
  </si>
  <si>
    <t xml:space="preserve"> г. Чебоксары</t>
  </si>
  <si>
    <t>0,4 км</t>
  </si>
  <si>
    <t>ПСД в стадии корректировки</t>
  </si>
  <si>
    <t>Реконструкция Лапсарского проезда со строительством подъезда к д. 65 по Лапсарскому проезду г.Чебоксары</t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</si>
  <si>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</si>
  <si>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ПСД разработана</t>
  </si>
  <si>
    <t>Реконструкция автомобильной дороги по ул. Пушкина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</si>
  <si>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</si>
  <si>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</si>
  <si>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Реконструкция участка автомобильной дороги по ул. Л. Комсомола (от Эгерского бульвара до пр. Тракторостроителей)</t>
  </si>
  <si>
    <t>Реконструкция участка автомобильной дороги по ул. Ашмарина (от ул. Орлова до  пр. И. Яковлева)</t>
  </si>
  <si>
    <t>Строительство ул.Н.Рождественского  г.Чебоксары</t>
  </si>
  <si>
    <t>ПСД на стадии устранения замечаний</t>
  </si>
  <si>
    <t xml:space="preserve"> Строительство ул.Ярмарочная г.Чебоксары</t>
  </si>
  <si>
    <t>Реконструкция автомобильной дороги по ул. Пархоменко г.Чебоксары</t>
  </si>
  <si>
    <t>Строительство автомобильной дороги № 30 от участка № 4 до Московского проспекта в районе Театра оперы и балета (участок № 3) в г. Чебоксары (1 этап)</t>
  </si>
  <si>
    <t>0,78 км</t>
  </si>
  <si>
    <t>Строительство перекрестка ул. Гагарина - уд. Цивильская в г. Чебоксары, Чувашская Республика</t>
  </si>
  <si>
    <t>0,1 км</t>
  </si>
  <si>
    <t>Реконструкция автомобильной дороги по пр. И. Яковлева от Канашского шоссе до кольца пр. 9-ой Пятилетки г. Чебоксары. 4 этап</t>
  </si>
  <si>
    <t>0,16 км</t>
  </si>
  <si>
    <t>Реконструкция автомобильной дороги по ул. Гражданская (от кольца по ул. Гражданская до ул. Социалистическая)</t>
  </si>
  <si>
    <t>Ремонт мостов г. Чебоксары (Калининский, Гагаринский, Октябрьский, путепровод Центральный рынок, пешеходный мост Лакреевский лес)</t>
  </si>
  <si>
    <t>Ремонт моста - Полевая</t>
  </si>
  <si>
    <t>11 п.м</t>
  </si>
  <si>
    <t>Ремонт моста - Грибоедова</t>
  </si>
  <si>
    <t>8 п.м</t>
  </si>
  <si>
    <t>г. Шумерля</t>
  </si>
  <si>
    <t>Текущий ремонт автомобильных дорог</t>
  </si>
  <si>
    <t xml:space="preserve"> г. Шумерля</t>
  </si>
  <si>
    <t>15 км</t>
  </si>
  <si>
    <t>РБ+МБ (софинансирование)</t>
  </si>
  <si>
    <t>Строительство автомобильной дороги общего пользования по ул. Косточкина (ул. К. Маркса – ул. Ленина) и ул. Интер-национальная (ул. Маршала Жукова – ул. Урукова)</t>
  </si>
  <si>
    <t>Реконструкция автомобильной дороги по ул. Заводская и строительство автомобильной дороги по ул. Лермонтова (2 этап строительства)</t>
  </si>
  <si>
    <t>Строительство автомобильной дороги по ул. Пушки-на (ул. Щорса – ул. Чернова) и строительство автомо-бильных дорог по Банковскому переулку (ул. Пуш-кина – ул. Октябрьская)</t>
  </si>
  <si>
    <t>Строительство автомобильных дорог</t>
  </si>
  <si>
    <t>4,1 км</t>
  </si>
  <si>
    <t>ИТОГО по г. Шумерля:</t>
  </si>
  <si>
    <t>Общереспубликанские проекты</t>
  </si>
  <si>
    <t xml:space="preserve"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</t>
  </si>
  <si>
    <t>2019-2022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</si>
  <si>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</t>
  </si>
  <si>
    <t>Строительство и реконструкция автомобильных дорог общего пользования местного значения в границах городского округа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</si>
  <si>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</t>
  </si>
  <si>
    <t>Строительство и реконструкция автомобильных дорог общего пользования регионального и межмуниципального значения</t>
  </si>
  <si>
    <t>Региональный проект "Дорожная сеть" национального проекта "Безопасные и качественные автомобильные дороги"</t>
  </si>
  <si>
    <t>Реализация мероприятий комплексного развития транспортной инфраструктуры Чебоксарской агломерации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</si>
  <si>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</si>
  <si>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Региональный проект "Общесистемные меры развития дооржного хозяйства"национального проекта "Безопасные и качественные автомобильные дороги"</t>
  </si>
  <si>
    <t>ИТОГО по Общереспубликанским проектам:</t>
  </si>
  <si>
    <t>* Объемы и источники финансирования подлежат уточнению</t>
  </si>
  <si>
    <t>Общие сведения о коммерческих и инфраструктурных проектах, мероприятиях и показателях состояния отрасли ЖКХ в Республике Чувашия</t>
  </si>
  <si>
    <t>Строительство локальных станций водоподготовки на одиночных скважинах с водопроводными сетями в Октябрьском сельском поселении</t>
  </si>
  <si>
    <t xml:space="preserve">Региональный проект "Чистая вода" национального проекта "Экология" </t>
  </si>
  <si>
    <t>100 куб. м</t>
  </si>
  <si>
    <t>Строительство локальных станций водоподготовки на одиночных скважинах с водопроводными сетями в Атратском сельском поселении</t>
  </si>
  <si>
    <t>Строительство локальных станций водоподготовки на одиночных скважинах с водопроводными сетями в Чуварлейском сельском поселении</t>
  </si>
  <si>
    <t>Строительство локальных станций водоподготовки на одиночных скважинах с водопроводными сетями в Стемасском сельском поселении</t>
  </si>
  <si>
    <t>Строительство локальных станций водоподготовки на одиночных скважинах с водопроводными сетями в Алтышевском сельском поселении</t>
  </si>
  <si>
    <t>Установка станции обезжелезивания воды и модернизации объектов водоснабжения в п.Киря</t>
  </si>
  <si>
    <t>1 шт</t>
  </si>
  <si>
    <t>Водоснабжение с. Яндоба и д. Синькасы</t>
  </si>
  <si>
    <t xml:space="preserve"> с. Яндоба, д. Синькасы Аликовского района</t>
  </si>
  <si>
    <t xml:space="preserve">Строительство локальных станций водоподготовки на одиночных скважинах с водопроводными сетями в Аликовском сельском поселении Аликовского района Чувашской Республики  </t>
  </si>
  <si>
    <t>Строительство локальной станции водоподготовки на одиночной скважине с водопроводными сетями в Большевыльском сельском поселении</t>
  </si>
  <si>
    <t>Строительство локальной станции водоподготовки на одиночной скважине с водопроводными сетями в Питишевском сельском поселении</t>
  </si>
  <si>
    <t>Строительство локальной станции водоподготовки на одиночной скважине с водопроводными сетями в Ефремкасинском сельском поселении</t>
  </si>
  <si>
    <t>Строительство локальной станции водоподготовки на одиночной скважине с водопроводными сетями в Таутовском сельском поселении</t>
  </si>
  <si>
    <t>Строительство локальной станции водоподготовки на одиночной скважине с водопроводными сетями в Чувашско-Сорминском сельском поселении</t>
  </si>
  <si>
    <t>Строительство локальной станции водоподготовки на одиночной скважине с водопроводными сетями в Яндобинском сельском поселении</t>
  </si>
  <si>
    <t>Строительство локальной станции водоподготовки на одиночной скважине с водопроводными сетями в Шумшевашовском сельском поселении</t>
  </si>
  <si>
    <t>Строительство локальной станции водоподготовки на одиночной скважине с водопроводными сетями в Раскильдинском сельском поселении</t>
  </si>
  <si>
    <t>Реконструкция канализационной системы в с. Аликово</t>
  </si>
  <si>
    <r>
      <t>400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</t>
    </r>
  </si>
  <si>
    <t>Строительство блочно- модульной газовой котельной №1 в с. Аликово ул. Парковая 4а</t>
  </si>
  <si>
    <t>2,6 МВт</t>
  </si>
  <si>
    <t>476 человек, 1 детский сад</t>
  </si>
  <si>
    <t>Строительство блочно- модульной газовой котельной №2 в с. Аликово ул. Парковая 15а</t>
  </si>
  <si>
    <t>3,14 МВт</t>
  </si>
  <si>
    <t>397 человек, 1 школа, 1 клуб, 1 музей</t>
  </si>
  <si>
    <t>Реконструкция теплотрасс в с. Аликово</t>
  </si>
  <si>
    <t>5,99 км</t>
  </si>
  <si>
    <t>873 человека, 1 школа, 1 клуб, 1 музей</t>
  </si>
  <si>
    <t>Капитальный ремонт водонапорных скважин и башен в населенных пунктах Аликовского района</t>
  </si>
  <si>
    <t>27 объектов</t>
  </si>
  <si>
    <t>Строительство локальных станций водоподготовки на одиночных скважинах с водопроводными сетями в Тойсинском сельском поселении</t>
  </si>
  <si>
    <t>Строительство локальных станций водоподготовки на одиночных скважинах с водопроводными сетями в Шыгырданском сельском поселении</t>
  </si>
  <si>
    <t>Строительство локальных станций водоподготовки на одиночных скважинах с водопроводными сетями в Батыревском сельском поселении</t>
  </si>
  <si>
    <t>Строительство локальных станций водоподготовки на одиночных скважинах с водопроводными сетями в Новоахпердинском сельском поселении</t>
  </si>
  <si>
    <t>Строительство локальных станций водоподготовки на одиночных скважинах с водопроводными сетями в Татаро-Сугутском сельском поселении</t>
  </si>
  <si>
    <t>Строительство локальных станций водоподготовки на одиночных скважинах с водопроводными сетями в Сугутском сельском поселении</t>
  </si>
  <si>
    <t>Строительство локальных станций водоподготовки на одиночных скважинах с водопроводными сетями в Туруновском сельском поселении</t>
  </si>
  <si>
    <t>Реконструкция канализационных очистных сооружений с. Батырево</t>
  </si>
  <si>
    <r>
      <t>300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/сутки</t>
    </r>
  </si>
  <si>
    <t>Капитальный ремонт водозаборных скважин и водонапорных башен в с.Батырево</t>
  </si>
  <si>
    <t>4 скв, 2 башни</t>
  </si>
  <si>
    <t>Капитальный ремонт водозаборных скважин и водонапорных башен в с.Батырево (ОКЦ)</t>
  </si>
  <si>
    <t>1 скв., 1 башня</t>
  </si>
  <si>
    <t>«Комплексная компактная застройка микрорайона «Южный» в с. Батырево Батыревского района Чувашской Республики. Газоснабжение, водоснабжение, водоотведение»</t>
  </si>
  <si>
    <t>125 участков</t>
  </si>
  <si>
    <t>Водоснабжение микрорайона "Южный" в с. Шыгырдан</t>
  </si>
  <si>
    <t>с.Шыгырдан Батыревского района</t>
  </si>
  <si>
    <t>500 участков</t>
  </si>
  <si>
    <t>Водоотведение микрорайона "Южный" в с. Шыгырдан</t>
  </si>
  <si>
    <t>Капитальный ремонт водозаборных скважин и водонапорных башен в д. Татмыш-Югелево</t>
  </si>
  <si>
    <t>Модернизация станции водоочистки в с. Батырево</t>
  </si>
  <si>
    <t>ФП "Чистая вода"</t>
  </si>
  <si>
    <r>
      <t>600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/сутки</t>
    </r>
  </si>
  <si>
    <t>Строительство локальной станции водоподготовки на одиночной скважине с водопроводными сетями в Калининском сельском поселении</t>
  </si>
  <si>
    <t>Строительство локальной станции водоподготовки на одиночной скважине с водопроводными сетями в Ершипосинмком сельском поселении</t>
  </si>
  <si>
    <t>Строительство локальной станции водоподготовки на одиночной скважине с водопроводными сетями в Азимсирминском сельском поселении</t>
  </si>
  <si>
    <t>Строительство локальной станции водоподготовки на одиночной скважине с водопроводными сетями в Апнерском сельском поселении</t>
  </si>
  <si>
    <t>Модернизация теплотрассы от котельной №2 в пгт. Вурнары</t>
  </si>
  <si>
    <t>1,9 км</t>
  </si>
  <si>
    <t>Реконструкция котельной №1  в пгт. Вурнары</t>
  </si>
  <si>
    <t>Водоснабжение(водоотведение) в пгт. Вурнары (реконструкция  сетей,  ремонт водонапорных башен, приобретение емкостей накопителей воды, технологическое присоединение к очистным сооружениям)</t>
  </si>
  <si>
    <t xml:space="preserve"> Строительство блочно - модульной котельной в с. Калинино. </t>
  </si>
  <si>
    <t xml:space="preserve"> Приобретение емкостей накопителей воды</t>
  </si>
  <si>
    <t xml:space="preserve">Переселение граждан из аварийного жилищного фонда </t>
  </si>
  <si>
    <t xml:space="preserve"> Капитальный ремонт водонапорной башни в д. Новые Яхакасы</t>
  </si>
  <si>
    <t>Строительство локальной станции водоподготовки на одиночной скважине с водопроводными сетями в Хормалинском сельском поселении</t>
  </si>
  <si>
    <t>Строительство локальной станции водоподготовки на одиночной скважине с водопроводными сетями в Айбечском сельском поселении</t>
  </si>
  <si>
    <t>Строительство и реконструкции объектов системы централизованного теплоснабжения</t>
  </si>
  <si>
    <t>2020-2024</t>
  </si>
  <si>
    <t>Строительство локальной станции водоподготовки на одиночной скважине с водопроводными сетями в Асхвинском сельском поселении</t>
  </si>
  <si>
    <t>Строительство локальной станции водоподготовки на одиночной скважине с водопроводными сетями в Среднекибечском сельском поселении</t>
  </si>
  <si>
    <t>Проектирование и проведение капитального ремонта сетей водоснабжения 3,5 км и сетей водоотведения 4,81 км в селе Шихазаны</t>
  </si>
  <si>
    <t>3,5 км.
4,81 км.</t>
  </si>
  <si>
    <t>Разработка ПСД на cтроительство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</t>
  </si>
  <si>
    <t xml:space="preserve"> г. Козловка</t>
  </si>
  <si>
    <t>8,0 МВт</t>
  </si>
  <si>
    <t>Разработка ПСД на cтроительство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</t>
  </si>
  <si>
    <t>12,0 МВт</t>
  </si>
  <si>
    <t>Строительство сетей водоотведения от ул. Светлая, ул. Родниковая, ул.Тихая, ул. 60 лет ККАФ и ул. Звездная г. Козловка со строительством напорного коллектора и насосной станции</t>
  </si>
  <si>
    <t>напорный коллектор 1800 м</t>
  </si>
  <si>
    <t>Строительство напорного коллектора от ст.Тюрлема до очистных сооружений г.Козловка длиной 6,8 км диаметром 159 мм, реконструкция сетей водоотведения   ст.Тюрлема 2 км</t>
  </si>
  <si>
    <t>6,8 км диаметром 159 мм, протяженность сетей водоотведения 2 км</t>
  </si>
  <si>
    <r>
      <t>Реконструкция очистных сооружений канализации 200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и сетей водоотведения д. Андреево-Базары 2,1 км</t>
    </r>
  </si>
  <si>
    <r>
      <t>мощность 200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, протяженность сетей водоотведения 2,1 км</t>
    </r>
  </si>
  <si>
    <r>
      <t>Реконструкция очистных сооружений канализации  200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и сетей водоотведения д. Еметкино  2,7 км</t>
    </r>
  </si>
  <si>
    <r>
      <t>мощность 200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, протяженность сетей водоотведения 2,7 км</t>
    </r>
  </si>
  <si>
    <t>Реконструкция ветхих сетей водоотведения в г.Козловка</t>
  </si>
  <si>
    <t>протяженность ветхих сетей водоотведения-15,5 км</t>
  </si>
  <si>
    <r>
      <t>Реконструкция канализационных очистных сооружений на 2700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в г.Козловка, ул. Нижнекурганская, д. 54</t>
    </r>
  </si>
  <si>
    <r>
      <t>мощность 2700 м</t>
    </r>
    <r>
      <rPr>
        <vertAlign val="superscript"/>
        <sz val="12"/>
        <color theme="1"/>
        <rFont val="Arial"/>
        <family val="2"/>
        <charset val="204"/>
      </rPr>
      <t>3</t>
    </r>
  </si>
  <si>
    <t>Реконструкция ветхих  систем водоснабжения в г.Козловка</t>
  </si>
  <si>
    <t>протяженность ветхих систем водоснабжения 3,6 км</t>
  </si>
  <si>
    <t>Строительство сливной станции для сбора и вывоза отходов из выгребным ям неканализованной части г.Козловка</t>
  </si>
  <si>
    <r>
      <t>мощность 1500 м</t>
    </r>
    <r>
      <rPr>
        <vertAlign val="superscript"/>
        <sz val="12"/>
        <color theme="1"/>
        <rFont val="Arial"/>
        <family val="2"/>
        <charset val="204"/>
      </rPr>
      <t>3</t>
    </r>
  </si>
  <si>
    <t>Строительство напорного коллектора  с насосной станцией  в районе ул.Речной г.Козловка</t>
  </si>
  <si>
    <r>
      <t>мощность 400 м</t>
    </r>
    <r>
      <rPr>
        <vertAlign val="superscript"/>
        <sz val="12"/>
        <color theme="1"/>
        <rFont val="Arial"/>
        <family val="2"/>
        <charset val="204"/>
      </rPr>
      <t>3</t>
    </r>
  </si>
  <si>
    <t>Модернизация станции 2 подъема в г.Козловка</t>
  </si>
  <si>
    <r>
      <t>мощность  1500 м</t>
    </r>
    <r>
      <rPr>
        <vertAlign val="superscript"/>
        <sz val="12"/>
        <color theme="1"/>
        <rFont val="Arial"/>
        <family val="2"/>
        <charset val="204"/>
      </rPr>
      <t>3</t>
    </r>
  </si>
  <si>
    <r>
      <t>Строительство станции водоподготовки на 1500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в связи с высоким содержанием извести и железа в питьевой воде</t>
    </r>
  </si>
  <si>
    <t>Строительство тепловых сетей и сетей горячего водоснабжения от газовой автоматизированной блочно-модульной котельной мощностью 12,0 МВт в г. Козловка</t>
  </si>
  <si>
    <t>протяженность 2 743 м тепловых сетей и 2350 м сетей горячего водоснабжения в двухтрубном исчислении</t>
  </si>
  <si>
    <t>Реконструкция котельной № 4 г. Козловка и реконструкция ветхих тепловых сетей от котельной №4 -700 м или прокладка газопровода</t>
  </si>
  <si>
    <t>протяженность 700 м</t>
  </si>
  <si>
    <t>Перевод многоквартирных домов на автономное отопление поселковой части г.Козловка- строительство придомовых БМК по 6 МКД</t>
  </si>
  <si>
    <t>6 БМК по 600 кВт</t>
  </si>
  <si>
    <t>Реконструкция тепловых сетей от БМК -5,0 г.Козловка</t>
  </si>
  <si>
    <t>протяженность 1740 м в двухтрубном исчислении</t>
  </si>
  <si>
    <t>Реконструкция котельной №6 г.Козловка и строительство тепловых сетей и сетей горячего водоснабжения от котельной № 6 ГУП «Чувашгаз» Минстроя Чувашии в г. Козловка по адресу ул. Виноградова</t>
  </si>
  <si>
    <t>протяженность 750 м в двухтрубном исчислении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</si>
  <si>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в г. Козловка по адресу ул. Калинина</t>
  </si>
  <si>
    <t>протяженность 2955 м в двухтрубном исчислении</t>
  </si>
  <si>
    <t>Строительство локальной станции водоподготовки на одиночной скважине с водопроводными сетями в Комсомольском сельском поселении</t>
  </si>
  <si>
    <t>Строительство локальной станции водоподготовки на одиночной скважине с водопроводными сетями в Александровском сельском поселении</t>
  </si>
  <si>
    <t>Строительство локальной станции водоподготовки на одиночной скважине с водопроводными сетями в Тугаевском сельском поселении</t>
  </si>
  <si>
    <t>Строительство локальной станции водоподготовки на одиночной скважине с водопроводными сетями в Чичканском сельском поселении</t>
  </si>
  <si>
    <t>Строительство локальной станции водоподготовки на одиночной скважине с водопроводными сетями в Шераутском сельском поселении</t>
  </si>
  <si>
    <t>Строительство локальной станции водоподготовки на одиночной скважине с водопроводными сетями в Урмаевском сельском поселении</t>
  </si>
  <si>
    <r>
      <t>Строительство «Станции биологической очистки сточных вод производительностью 600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 в сутки и сетей канализации в селе Комсомольское</t>
    </r>
  </si>
  <si>
    <r>
      <t>600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/сутки, сети канали-зации 6,5км,
3 КНС</t>
    </r>
  </si>
  <si>
    <t>Реконструкция сетей водоснабжения с.Комсомольское</t>
  </si>
  <si>
    <t>сети 10 км</t>
  </si>
  <si>
    <t>Строительство сетей водоснабжения д.Чичканы</t>
  </si>
  <si>
    <t>сети 10 км, 2 ВБ</t>
  </si>
  <si>
    <t>Реконструкция сетей водоснабжения с.Чурачики</t>
  </si>
  <si>
    <t>Сети 0,9 км, 1 ВБ</t>
  </si>
  <si>
    <t>Реконструкция сетей водоснабжения д.Полевое Шептахово</t>
  </si>
  <si>
    <t>Сети 0,85 км, 1 ВБ</t>
  </si>
  <si>
    <t>Реконструкция сетей водоснабжения д.Асаново</t>
  </si>
  <si>
    <t>Сети 5,5 км, 1 ВБ</t>
  </si>
  <si>
    <t>Газоснабжение жилых домов по улицам Слукина, Прокопьева, Восточная, Собор-ная, Ольховая, Кедровая, Садовая и Юби-лейная в Юго-восточном микрорайоне</t>
  </si>
  <si>
    <t xml:space="preserve"> с. Красноармейское Красноармейского района</t>
  </si>
  <si>
    <t>Строительство водозаборного узла с водобашнями системой водоснабжения для обеспечения населения с. Красноармейское качественной питьевой водой</t>
  </si>
  <si>
    <t>Реконструкция сетей газоснабжения высокого давления с КС компрессорной станции «Заволжское»</t>
  </si>
  <si>
    <t>протяженностью 2,8 км</t>
  </si>
  <si>
    <t>Реконструкция центральной котельной</t>
  </si>
  <si>
    <t>Реконструкция системы теплоснабжения  и  горячего водоснабжения  по ул. Ленина</t>
  </si>
  <si>
    <t>Система теплоснабжения -2,031 км;
система  горячего водоснабжения  -2,198 км</t>
  </si>
  <si>
    <t>Капитальный ремонт 22 водонапорных башен, зарегистрированных в муниципальную собственность</t>
  </si>
  <si>
    <t>Реконструкция биологических очистных сооружений со сливной станцией в комплексе</t>
  </si>
  <si>
    <t xml:space="preserve">Строительство наружных сетей водоснабжения и водоотведения юго-восточного микрорайона с. Красноармейское Красноармейского района Чувашской Республики  </t>
  </si>
  <si>
    <t>Строительство локальной станции водоподготовки на одиночной скважине с водопроводными сетями в Акчикасинском сельском поселении</t>
  </si>
  <si>
    <t>Строительство локальной станции водоподготовки на одиночной скважине с водопроводными сетями в Атнарском сельском поселении</t>
  </si>
  <si>
    <t>Строительство сетей электроснабжения</t>
  </si>
  <si>
    <t>с. Красные Четаи Красночетайского района</t>
  </si>
  <si>
    <t>Строительство сетей газоснабжения</t>
  </si>
  <si>
    <t>Строительство сетей водоснабжения</t>
  </si>
  <si>
    <t>Строительство блочно-модульных котель-ных в микрорайонах "Коновалово" и "Со-ветская"</t>
  </si>
  <si>
    <t xml:space="preserve"> г. Мариинский Посад</t>
  </si>
  <si>
    <t>Модернизация оборудования ЖКХ и уличных сетей</t>
  </si>
  <si>
    <t>99%-республиканский бюджет
1%-местный бюджет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</si>
  <si>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расположенных возле деревни Чурикасы Кадикасинского сельского поселения (электроснабжение)</t>
  </si>
  <si>
    <t>д. Чурикасы Моргаушского района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</si>
  <si>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Кадикасинского сельского поселения (наружный газопровод)</t>
  </si>
  <si>
    <t>Строительство объекта «Канализационные сети и очистные сооружения в д. Ярабайкасы Моргаушского района  Чувашской Республики»</t>
  </si>
  <si>
    <t>Региональный проект "Модернизация объектов жилищно-коммунальной инфраструктуры"</t>
  </si>
  <si>
    <t>д. Ярабайкасы Моргаушского района</t>
  </si>
  <si>
    <t>Строительство системы водоснабжения деревни Чураккасы Ильинского сельского поселения</t>
  </si>
  <si>
    <t>д. Чураккасы Моргаушского района</t>
  </si>
  <si>
    <t>Протяженность сетей 4218, расходы воды 2,55</t>
  </si>
  <si>
    <t>II этап строительства водопровода в с. Порецкое Порецкого района Чувашской Республики</t>
  </si>
  <si>
    <t xml:space="preserve"> с. Порецкое Порецкого района</t>
  </si>
  <si>
    <t>2019-2021</t>
  </si>
  <si>
    <t>Проект реконструкции сетей водопровода с. Кудеиха</t>
  </si>
  <si>
    <t>Проектирование водопровода в с. Напольное 18,1 км</t>
  </si>
  <si>
    <t>Проектирование самотечной канализации в с. Порецкое</t>
  </si>
  <si>
    <t>Проектирование водозабора Анастасовского месторождения подземных вод и строительство водозабора до с.Порецкое</t>
  </si>
  <si>
    <t>Проектирование водопровода в Октябрьском с/п</t>
  </si>
  <si>
    <t>Проектирование водопровода в Козловском с/п</t>
  </si>
  <si>
    <t>Строительство водопровода в с. Порецкое III этап строительства (Строительство водовода)</t>
  </si>
  <si>
    <t>2017,5 м.</t>
  </si>
  <si>
    <t>Строительство "Комплексная компактная застройка и благоустройство индивидуальных домов усадебного типа в южной части села Порецкое Порецкого района Чувашской Республики (Сети водоснабжения) 1 этап</t>
  </si>
  <si>
    <t>1627,0 м.</t>
  </si>
  <si>
    <t>Строительство «Комплекс очистных сооружений биологической очистки сточных вод, производительностью 750 м3/сут. Напорная канализация, протяженностью от канализационной насосной станции до биологических очистных сооружений в селе Порецкое Порецкого района Чувашской Республики</t>
  </si>
  <si>
    <r>
      <t>750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</t>
    </r>
  </si>
  <si>
    <t>Строительство «Комплексная компактная застройка и благоустройство индивидуальных домов усадебного типа в южной части села Порецкое Порецкого района Чувашской Республики (Строительство водопровода и канализационных сетей)» 2 этап</t>
  </si>
  <si>
    <t>сети водопровода 2291,0 м, сети канализации 3065,0 м.</t>
  </si>
  <si>
    <t>Строительство "Комплексная компактная застройка и благоустройство индивидуальных домов усадебного типа в южной части села Порецкое Порецкого района Чувашской Республики (Сети канализации) 1 этап</t>
  </si>
  <si>
    <t xml:space="preserve"> сети канализации 1343,5 м.</t>
  </si>
  <si>
    <t>Проектирование и модернизация котельных и тепловых сетей бюджетных организаций Порецкого района</t>
  </si>
  <si>
    <t>Проектирование и  модернизация котельных и тепловых сетей бюджетных организаций Порецкого района</t>
  </si>
  <si>
    <t>5 котельных и 9 км. Тепловых сетей</t>
  </si>
  <si>
    <t>Реконструкция водовода и водопроводных сетей</t>
  </si>
  <si>
    <t>пгт. Урмары</t>
  </si>
  <si>
    <t>водовод-3,73 км, водопроводные сети-12 км</t>
  </si>
  <si>
    <t>Капитальный ремонт водонапорных башен  на территории Урмарского района</t>
  </si>
  <si>
    <t>22 башни</t>
  </si>
  <si>
    <t>Реконструкция канализационных очистных сооружений*</t>
  </si>
  <si>
    <r>
      <t>1000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</t>
    </r>
  </si>
  <si>
    <t>Строительство инженерных сетей в  жилом микрорайоне д. Новое Исаково*</t>
  </si>
  <si>
    <t>Газоснабжение жилых домов в микрорайоне индивидуальной жилой застройки территории ОПХ "Хмелеводческое" на 164 участка</t>
  </si>
  <si>
    <t>Региональная програма "Модернизация и развитие сфере жилищно-коммунального хозяйства"</t>
  </si>
  <si>
    <t xml:space="preserve"> г. Цивильск</t>
  </si>
  <si>
    <t>2700 п.м.</t>
  </si>
  <si>
    <t>ПСД разработан</t>
  </si>
  <si>
    <t>Газоснабжение жилых домов в микрорайоне индивидуальной жилой застройки территории ОПХ "Хмелеводческое" на 66 участков</t>
  </si>
  <si>
    <t>Строительство локальной станции водоподготовки на одиночной скважине с модернизацией водопроводных сетей</t>
  </si>
  <si>
    <t xml:space="preserve"> Строительство очистных сооружений производительностью 120 куб.м в сутки в д.Вторые Вурманкасы</t>
  </si>
  <si>
    <t>120 куб.м в сутки</t>
  </si>
  <si>
    <t>Разработка проекта и строительство системы ливневой канализации  г. Цивильск</t>
  </si>
  <si>
    <t xml:space="preserve">Газификация административного здания (Цивильский историко-краеведческий музей) </t>
  </si>
  <si>
    <t>Газификация ДОЛ "Звездный"</t>
  </si>
  <si>
    <t>Разработка проектно сметной документации и строительство 2 этапа билогических очистных сооружений г. Цивильск</t>
  </si>
  <si>
    <t>4200 куб.м.</t>
  </si>
  <si>
    <t>Строительство очистных сооружений в д.Тувси</t>
  </si>
  <si>
    <t>70 куб.м. в сутки</t>
  </si>
  <si>
    <t>Реконструкция сетей теплоснабжения в селе Богатырево</t>
  </si>
  <si>
    <t>1200 п.м.</t>
  </si>
  <si>
    <t>Реконструкция сетей теплоснабжения в дер.Вторые Вурманкасы</t>
  </si>
  <si>
    <t>2063 п.м.</t>
  </si>
  <si>
    <t xml:space="preserve">Модернизация Котельной с.Богатырево </t>
  </si>
  <si>
    <t>2*100 кВт</t>
  </si>
  <si>
    <t>Ремонт и реконструкция сетей водоотведения г. Цивильск</t>
  </si>
  <si>
    <t>Регистрация бесхозяйных объектов жилищно-коммунального хозяйства и гидротехнических сооружений</t>
  </si>
  <si>
    <t>муниципальная программа "развитие земельных и имущественных отношений Цивильского района Чувашской Республики"</t>
  </si>
  <si>
    <t>300 объектов</t>
  </si>
  <si>
    <t>Водоснабжение улиц Тенгеси, Заовражная, Заречная</t>
  </si>
  <si>
    <t xml:space="preserve">с. Янгильдино Чебоксарского района </t>
  </si>
  <si>
    <t>Водопроводная сеть</t>
  </si>
  <si>
    <t>д. Крикакасы Чебоксарского района</t>
  </si>
  <si>
    <t>Строительство водопроводной сети</t>
  </si>
  <si>
    <t>д. Кибечкасы Чебоксарского района</t>
  </si>
  <si>
    <t>д. Варпоси Чебоксарского района</t>
  </si>
  <si>
    <t>Водоснабжение улицы Шоссейной</t>
  </si>
  <si>
    <t>д. Большие Котяки Чебоксарского района</t>
  </si>
  <si>
    <t>Строительство систем водоснабжения и водоотведения бытовых сточных вод на новых улицах</t>
  </si>
  <si>
    <t>д. Сятракасы Чебоксарского района</t>
  </si>
  <si>
    <t>Строительство локальных станций водоподготовки на одиночных скважинах с водопроводными сетями в Карабай-Шемуршинском сельском поселении</t>
  </si>
  <si>
    <t>Строительство локальных станций водоподготовки на одиночных скважинах с водопроводными сетями в Чепкас-Никольском сельском поселении</t>
  </si>
  <si>
    <t>Строительство локальных станций водоподготовки на одиночных скважинах с водопроводными сетями в Шемуршинском сельском поселении</t>
  </si>
  <si>
    <t>Строительство локальных станций водоподготовки на одиночных скважинах с водопроводными сетями в Бичурга-Баишевском сельском поселении</t>
  </si>
  <si>
    <t>Строительство локальных станций водоподготовки на одиночных скважинах с водопроводными сетями в Малобуяновском сельском поселении</t>
  </si>
  <si>
    <t>Строительство локальных станций водоподготовки на одиночных скважинах с водопроводными сетями в Трехбалтаевском сельском поселении</t>
  </si>
  <si>
    <t>Строительство локальных станций водоподготовки на одиночных скважинах с водопроводными сетями в Большебуяновском сельском поселении</t>
  </si>
  <si>
    <t>Реконструкция тепловых сетей с установкой котла наружного размещение для МКД №1,2,4 по ул. Юбилейная в с. Шемурша</t>
  </si>
  <si>
    <t xml:space="preserve"> 200 КВт</t>
  </si>
  <si>
    <t>МБ-100 %</t>
  </si>
  <si>
    <t>Реконструкция тепловых сетей с установкой котла наружного размещение для МКД №26 по ул. Ленина в с. Шемурша</t>
  </si>
  <si>
    <t>Перевод МКД  на индивидуальное отопление</t>
  </si>
  <si>
    <t>7 МКД</t>
  </si>
  <si>
    <t>РБ – 6 935,0 тыс. рублей.
МБ – 365,0 тыс. рублей</t>
  </si>
  <si>
    <t>Реконструкция канализации и очистных сооружений по ул. Мира в с. Юманай</t>
  </si>
  <si>
    <t>РБ – 95 000,0 тыс. рублей.
МБ – 5 000,0 тыс. рублей</t>
  </si>
  <si>
    <t>Строительство  сетей газоснабжения, водоснабжения, электроснабжения, канализации микрорайона «Солнечный» в д. Шумерля</t>
  </si>
  <si>
    <t>14 км</t>
  </si>
  <si>
    <t>РБ – 14 929,3 тыс. рублей.
МБ – 785,7 тыс. рублей</t>
  </si>
  <si>
    <t>Реконструкция канализации по ул. Садовая, ул.  Напольная., ул. Ленина в с. Ходары</t>
  </si>
  <si>
    <t>РБ – 37 050,0 тыс. рублей.
МБ – 1 950,0 тыс. рублей</t>
  </si>
  <si>
    <t>Строительство водопроводной сети в д. Лесные Туваны</t>
  </si>
  <si>
    <t>8,9 км</t>
  </si>
  <si>
    <t>РБ – 20 900,0 тыс. рублей.
МБ – 1 100,0 тыс. рублей</t>
  </si>
  <si>
    <t>Строительство водопроводной сети в с. Нижняя кумашка</t>
  </si>
  <si>
    <t>8,3 км</t>
  </si>
  <si>
    <t>РБ – 20 900,0 тыс. рублей.</t>
  </si>
  <si>
    <t>Строительство централизованной канализации в п. Кабаново  в Большеалгашинского сельского поселения</t>
  </si>
  <si>
    <t>3,9 км</t>
  </si>
  <si>
    <t>Строительство наружных сетей канализации  по ул.Благовещенская Шумерлинского сельского поселения</t>
  </si>
  <si>
    <t>1,8км</t>
  </si>
  <si>
    <t>РБ – 12825 тыс. рублей.
МБ –675тыс. рублей</t>
  </si>
  <si>
    <t>Электроснабжение п.Мыслец Шумерлинского района</t>
  </si>
  <si>
    <t>РБ – 20900тыс. рублей.
МБ –1100тыс. рублей</t>
  </si>
  <si>
    <t>Капитальный ремонт ЛЭП в следующих населенных пунктах: д.Шумерля,п.Пинеры, п.Мыслец</t>
  </si>
  <si>
    <t xml:space="preserve">Водоснабжение г. Ядрин </t>
  </si>
  <si>
    <t xml:space="preserve"> г. Ядрин</t>
  </si>
  <si>
    <t xml:space="preserve">Строительство станции биологической очистки сточных вод производительностью 500 куб. м/сут 
</t>
  </si>
  <si>
    <t>с. Янтиково Янтиковского района</t>
  </si>
  <si>
    <t>500 куб. м/сут</t>
  </si>
  <si>
    <t>Водоснабжение д. Индырчи</t>
  </si>
  <si>
    <t>д. Индырчи Янтиковского района</t>
  </si>
  <si>
    <t>Водоснабжение с. Можарки</t>
  </si>
  <si>
    <t>с. Можарки Янтиковского района</t>
  </si>
  <si>
    <t>Строительство локальной станции водоподготовки на одиночной скважине с водопроводными сетями в Можарском сельском поселени</t>
  </si>
  <si>
    <t>Строительство локальной станции водоподготовки на одиночной скважине с водопроводными сетями в Индырчском сельском поселении</t>
  </si>
  <si>
    <t>Реконструкция станции водоподготовки и расширение системы водоснабжения в г. Алатырь Чувашской Республики</t>
  </si>
  <si>
    <t>Реализация мероприятий по предотвращению заиливания ковшового водозабора на р. Сура в г. Алатырь Чувашской Республики</t>
  </si>
  <si>
    <t xml:space="preserve">Региональный проект "Оздоровление Волги" </t>
  </si>
  <si>
    <t>Реконструкция канализационных очистных сооружений производительностью 15000 куб. м/сут</t>
  </si>
  <si>
    <t>15000 куб. м/сут</t>
  </si>
  <si>
    <t>Реконструкция водопроводных сетей по ул. Ильича, просп. Ленина и реконструкция напорной канализационной сети от насосной станции перекачки сточных вод № 2 до ул. Чернышевского</t>
  </si>
  <si>
    <t>Установка станции водоподготовки из Бахтиаровского источника и расширение системы водоснабжения</t>
  </si>
  <si>
    <t>Строительство (реконструкция) водопровода</t>
  </si>
  <si>
    <t>Строительство (реконструкция) водоотведение</t>
  </si>
  <si>
    <t>Строительство (реконструкция) Теплоснабжение и котельные</t>
  </si>
  <si>
    <t>Капитальный ремонт водозабора "Высоковка"</t>
  </si>
  <si>
    <t>Республиканский бюджет -90%, бюджет города-10%</t>
  </si>
  <si>
    <t>Капитальный ремонт водозабора "Бахтиарово"</t>
  </si>
  <si>
    <t>Реконструкция сетей теплоснабжения 
г. Новочебоксарска</t>
  </si>
  <si>
    <t>ПСД на 4 объекта 2020-2021 г в наличии, далее требуется разработка</t>
  </si>
  <si>
    <t>Строительство водоснабжения и водоотведения канализационной сети в городе Новочебоксарске (мкр. Липово)</t>
  </si>
  <si>
    <t>Строительство ливневых очистных сооружений</t>
  </si>
  <si>
    <t>Реконструкция микрофильтров (40 мкм), с заменой на дисковые с сеткой 10 мкм с подключением к АСУ ТП ВОС</t>
  </si>
  <si>
    <t>Проектирование не начато</t>
  </si>
  <si>
    <t>Реконструкция системы обработки промывных вод от контактных осветлителей и строительства узла обезвоживания осадка на водоочистных сооружениях</t>
  </si>
  <si>
    <t>Реконструкция главных водоводов диаметром 1200 мм</t>
  </si>
  <si>
    <t>Модернизация насосных агрегатов береговой насосной станции первого подъема с заменой водоочистных машин</t>
  </si>
  <si>
    <t>Обеспечение жильем жителей 100 МКД, находящихся в предаварийном состоянии</t>
  </si>
  <si>
    <t>2020-2023</t>
  </si>
  <si>
    <t>Обеспечение жильем детей-сирот (из расчета 32 кв.м. на 1 жилое помещение)</t>
  </si>
  <si>
    <t xml:space="preserve"> г. Чебоксары.</t>
  </si>
  <si>
    <t xml:space="preserve">Ремонт и замена лифтов и лифтового оборудования (1117 шт. ) </t>
  </si>
  <si>
    <t>Строительство сетей уличного освещения (дворы, доустановка опор и т.п.)</t>
  </si>
  <si>
    <t>Организация раздельного сбора ТКО (1500 контейнерных площадок по типовому проекту)</t>
  </si>
  <si>
    <t>1500 ед.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</si>
  <si>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(ПИР)</t>
  </si>
  <si>
    <t>14,0 МВт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</si>
  <si>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(ПИР)</t>
  </si>
  <si>
    <t>10,25 МВт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</si>
  <si>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(ПИР)</t>
  </si>
  <si>
    <t>7,0 МВт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</si>
  <si>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(ПИР)</t>
  </si>
  <si>
    <t>16,0 МВт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</si>
  <si>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(ПИР)</t>
  </si>
  <si>
    <t>9,5 МВт</t>
  </si>
  <si>
    <t>Cтроительство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(ПИР)</t>
  </si>
  <si>
    <t>11,0 МВт</t>
  </si>
  <si>
    <t>Демонтаж расселенных многоквартирных домов</t>
  </si>
  <si>
    <t>80 ед.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</si>
  <si>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</si>
  <si>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</si>
  <si>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Регионалный проект "Жилье" национального проекта "Жилье и гродская среда"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</si>
  <si>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</si>
  <si>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Общие сведения о коммерческих и инфраструктурных проектах, мероприятиях и показателях состояния отрасли АПК в Республике Чувашия</t>
  </si>
  <si>
    <t>Строительство ФАПов</t>
  </si>
  <si>
    <t>2 объекта
на 60 пос. в смену</t>
  </si>
  <si>
    <t>Строительство поликлиник, амбулаторий, ОВОП</t>
  </si>
  <si>
    <t>Алатырский район и г. Алатырь</t>
  </si>
  <si>
    <t>1 объект</t>
  </si>
  <si>
    <t>3 объекта
на 90 пос. в смену</t>
  </si>
  <si>
    <t>Строительство поликлиник, амбулаторий, ОВОП (с. Шыгырдан, с. Новое Ахпердино, д. Долгий Остров)</t>
  </si>
  <si>
    <t>с. Шыгырдан 
с. Шыгырдан 
д. Долгий Остров
с.Новое Ахпердино</t>
  </si>
  <si>
    <t>2021
2023
2022
2024</t>
  </si>
  <si>
    <t>1 объект
1 объект
1 объект
1 объект</t>
  </si>
  <si>
    <t>д. Красномайск
д. Кзыл-Камыш
д. Малое Батырево
с. Туруново
д. Чувашские Ишаки</t>
  </si>
  <si>
    <t>2025
2023
2021
2024
2022</t>
  </si>
  <si>
    <t>1 объект
на 30 пос. в смену</t>
  </si>
  <si>
    <t>3 объекта</t>
  </si>
  <si>
    <t>11 объектов
на 330 пос. в смену</t>
  </si>
  <si>
    <t>Строительство поликлиники при БУ «Канашская ЦРБ»</t>
  </si>
  <si>
    <t>Канашский район, село Шихазаны</t>
  </si>
  <si>
    <t>13 объектов
на 360 пос. в смену</t>
  </si>
  <si>
    <t>Капитальный ремонт ФАПов, амбулаторий</t>
  </si>
  <si>
    <t>8 объектов</t>
  </si>
  <si>
    <t>Капитальный ремонт дорожных покрытий ведущие к амбулаториям</t>
  </si>
  <si>
    <t>Строительство нового здания врачебной амбулатории в д. Большие Бикшихи, Канашского района</t>
  </si>
  <si>
    <t>д. Большие Бикшихи, Канашского района</t>
  </si>
  <si>
    <t>9 объектов
на 270 пос. в смену</t>
  </si>
  <si>
    <t>5 объектов
на 150 пос. в смену</t>
  </si>
  <si>
    <t>2 объекта</t>
  </si>
  <si>
    <t>6 объектов
на 180 пос. в смену</t>
  </si>
  <si>
    <t>4 объекта</t>
  </si>
  <si>
    <t>Строительство больниц</t>
  </si>
  <si>
    <t>Общие сведения о коммерческих и инфраструктурных проектах, мероприятиях и показателях состояния отрасли Культура в Республике Чувашия</t>
  </si>
  <si>
    <t xml:space="preserve">Ремонт помещений муниципального бюджетного  учреждения  культуры «Аликовский муниципальный архив» Аликовского района </t>
  </si>
  <si>
    <t>Указ Главы Чувашской Республики от 26.09.2029 № 118 "О дополнительных мерах по повышению качества населения Чувашской Республики"</t>
  </si>
  <si>
    <t>с,Аликово, Аликовский район</t>
  </si>
  <si>
    <t>ПСД на  оценке ценовой экспертизы</t>
  </si>
  <si>
    <t>Ремонт Елышского  сельского клуба АУ "Централизованная клубная система" Аликовского района</t>
  </si>
  <si>
    <t xml:space="preserve">Государственная программа  "Развитие культуры и туризма в Чувашской Республике"  </t>
  </si>
  <si>
    <t>д. Верхние Елыши, Аликовский район</t>
  </si>
  <si>
    <t>ФБ, РБ, МБ, ПСД с положительным заключением от 07.02.2020</t>
  </si>
  <si>
    <t xml:space="preserve">Ремонт помещений муниципального автономного учреждения дополнительного образования «Аликовская детская школа искусств» Аликовского района </t>
  </si>
  <si>
    <t>ремонт Мартынкинского сельского клуба АУ "Централизованная клубная система" Аликовского района</t>
  </si>
  <si>
    <t>д.Мартынкино  Аликовского района</t>
  </si>
  <si>
    <t>ПСД с положительным заключением от 07.02.2020</t>
  </si>
  <si>
    <t>ремонт Ишпарайкинского сельского клуба АУ "Централизованная клубная система" Аликовского района</t>
  </si>
  <si>
    <t>д.Ишпарайкино Аликовского района</t>
  </si>
  <si>
    <t>ФБ, РБ, МБ, ПСД с положительным заключением от 03.02.2020</t>
  </si>
  <si>
    <t>Строительство Крымзарайкинского сельского Дома культуры в с. Крымзарайкино</t>
  </si>
  <si>
    <t xml:space="preserve">с. Крымзарайкино Аликовского  района </t>
  </si>
  <si>
    <t>100 посадочных мест</t>
  </si>
  <si>
    <t>Ремонт Хирлепосинского сель сельсоко клуба АУ "Централизованная клубная система" Аликовского района</t>
  </si>
  <si>
    <t>д. Хилепоси, Аликовский район</t>
  </si>
  <si>
    <t>Ремонт Тушкасинского сельсоко клуба АУ "Централизованная клубная система" Аликовского района</t>
  </si>
  <si>
    <t>д. Тушкасы, Аликовский район</t>
  </si>
  <si>
    <t>Реконструкция объекта "МАУ ДО "Аликовская ДШИ" в рамках реализации мероприятий по модернизации регио-нальных и муниципальных детских школ искусств по видам искусств</t>
  </si>
  <si>
    <t>Региональный проект "Культурная среда" национального проекта "Культура"</t>
  </si>
  <si>
    <t xml:space="preserve">с. Аликово Аликовского района </t>
  </si>
  <si>
    <t>Реконструкция  помещения под архивохранилище МБУК "Аликовский муниципальный архив" Аликовского района по ул. Советская, д.13 с. Аликово</t>
  </si>
  <si>
    <t>Ремонт Шумшевашского  сельского Дома культуры АУ "Централизованная библиотечная система" Аликовского района</t>
  </si>
  <si>
    <t>с. Шумшеваши Аликовского района</t>
  </si>
  <si>
    <t>Ремонт Вотланского сельского Дома культуры АУ "Централизованная библиотечная система" Аликовского района</t>
  </si>
  <si>
    <t xml:space="preserve">д,Вотланы Аликовского  района </t>
  </si>
  <si>
    <t>Строительство Большевыльского сельского Дома культуры в с. Большая Выла</t>
  </si>
  <si>
    <t xml:space="preserve">с. Большая Выла Аликовского  района </t>
  </si>
  <si>
    <t>Строительство модульной котельной Районного Дома Культуры по ул. Советская, д. 13 с. Аликово</t>
  </si>
  <si>
    <t xml:space="preserve">с. Аликово  Аликовского  района </t>
  </si>
  <si>
    <t>Ремонт Юманлыхского сельского  клуба АУ "Централизованная библиотечная система" Аликовского района</t>
  </si>
  <si>
    <t xml:space="preserve">д,Юманлыхи Аликовского  района </t>
  </si>
  <si>
    <t>Ремонт Питишевского о сельского Дома культуры АУ "Централизованная библиотечная система" Аликовского района</t>
  </si>
  <si>
    <t xml:space="preserve">д,Питишево  Аликовского  района </t>
  </si>
  <si>
    <t>Строительство Кивойского  сельского Дома культуры в д. Кивой</t>
  </si>
  <si>
    <t xml:space="preserve">Республиканская  программа  "Устойчивое развитие сельских территорий" </t>
  </si>
  <si>
    <t xml:space="preserve">д. Кивой  Аликовского  района </t>
  </si>
  <si>
    <t>Строительство  Устьинского  сельского клуба  в с. Устье</t>
  </si>
  <si>
    <t xml:space="preserve">с. Устье Аликовского  района </t>
  </si>
  <si>
    <t xml:space="preserve">Строительство сельского дома культуры на 100 мест в д. Старые Тойси Батыревского района Чувашской Республики </t>
  </si>
  <si>
    <t>д. Старые Тойси Батыревского района</t>
  </si>
  <si>
    <t>100 мест</t>
  </si>
  <si>
    <t>Объем финансирования, млн.руб.</t>
  </si>
  <si>
    <t xml:space="preserve">Капитальный ремонт клуба в д. Кзыл-Камыш </t>
  </si>
  <si>
    <t>д. Кзыл-Камыш Батыревского района</t>
  </si>
  <si>
    <t xml:space="preserve">Строительство сельского клуба  в д. Яншихово Батыревского района </t>
  </si>
  <si>
    <t xml:space="preserve">д. Яншихово Батыревского района </t>
  </si>
  <si>
    <t>250 мест</t>
  </si>
  <si>
    <t>Строительство СДК в д. Сидели</t>
  </si>
  <si>
    <t>д. Сидели</t>
  </si>
  <si>
    <t>Капитальный ремонт СДК в д. Норваш Шигали</t>
  </si>
  <si>
    <t>д. Норваш Шигали</t>
  </si>
  <si>
    <t>Капитальный ремонт СДК в с. Певомайское</t>
  </si>
  <si>
    <t>с. Первомайское</t>
  </si>
  <si>
    <t>600 мест</t>
  </si>
  <si>
    <t>Строительство СДК в д. Абамза</t>
  </si>
  <si>
    <t>д. Абамза</t>
  </si>
  <si>
    <t>Капитальный ремонт КДЦ Батыревского района</t>
  </si>
  <si>
    <t xml:space="preserve">с. Батырево Батыревского района </t>
  </si>
  <si>
    <t>400 мест</t>
  </si>
  <si>
    <t>Капитальный ремонт Полевобикшикского СДК</t>
  </si>
  <si>
    <t>д. Полевые Бикшики</t>
  </si>
  <si>
    <t>300 мест</t>
  </si>
  <si>
    <t>Капитальный ремонт Кзыл-Чишминского СДК</t>
  </si>
  <si>
    <t>д. Кзыл Чишма</t>
  </si>
  <si>
    <t>Капитальный ремонт СДК в д. Малое Батырево</t>
  </si>
  <si>
    <t>д. М. Батырево</t>
  </si>
  <si>
    <t>150 мест</t>
  </si>
  <si>
    <t>Строительство СДК в д. Тойси</t>
  </si>
  <si>
    <t>д. Тойси</t>
  </si>
  <si>
    <t>Строительство СДК в д. Татмыш Югелево</t>
  </si>
  <si>
    <t>д. Татмыш - Югелево</t>
  </si>
  <si>
    <t>Строительство СДК в с. Балабаш-Баишево</t>
  </si>
  <si>
    <t>с. Балабаш-Баишево</t>
  </si>
  <si>
    <t>Реконструкция объекта "МБУ ДО "Батыревская ДШИ" в рамках реализации мероприятий по модернизации региональных и муниципальных детских школ искусств по видам искусств</t>
  </si>
  <si>
    <t>450 мест</t>
  </si>
  <si>
    <t>Строительство сельского дома культуры на 150 мест в д. Буртасы</t>
  </si>
  <si>
    <t>д. Буртасы Вурнарского района</t>
  </si>
  <si>
    <t>ФБ,РБ, МБ</t>
  </si>
  <si>
    <t>Строительство Новочурашевского ЦСДК</t>
  </si>
  <si>
    <t>150 посадочных мест</t>
  </si>
  <si>
    <t>Строительство Большеабакасинского ЦСДК</t>
  </si>
  <si>
    <t>Строительство Хормалинского ЦСДК</t>
  </si>
  <si>
    <t>Строительство Буинского ЦСДК</t>
  </si>
  <si>
    <t>Строительство сельского дома культуры на 100 мест по адресу: д. Хучель, ул. Школьная, д. 2</t>
  </si>
  <si>
    <t>д. Хучель Канашского района</t>
  </si>
  <si>
    <t>Строительство сельского дома культуры на 100 мест, расположенного по адресу: д. Юманзары, ул. Михайлова, 33</t>
  </si>
  <si>
    <t xml:space="preserve">д. Юманзары Канашского района </t>
  </si>
  <si>
    <t>Благоустройство территории культурно-досугового центра с инженерными сетями на 300 посадочных мест в с. Шихазаны Канашского района.</t>
  </si>
  <si>
    <t xml:space="preserve"> с. Шихазаны Канашского района</t>
  </si>
  <si>
    <t>Капитальный ремонт сельского Дома культуры и пристроя, расположенного по адресу: Чувашская Республика, Канашский район, с. Ухманы, ул. Калинина, д.8а</t>
  </si>
  <si>
    <t>с. Ухманы, Канашского района</t>
  </si>
  <si>
    <t>Строительство сельского дома культуры на 60 мест по адресу: Чувашская Республика, Канашский район, с. Шоркасы, ул. Октябрьская, д.15. (в том числе  ПСД)</t>
  </si>
  <si>
    <t>с. Шоркасы, Канашского района</t>
  </si>
  <si>
    <t>60 мест</t>
  </si>
  <si>
    <t>ПСД на стадии завершения</t>
  </si>
  <si>
    <t>Газификация Янгличского сельского Дома культуры</t>
  </si>
  <si>
    <t>с. Янгличи, Канашского района</t>
  </si>
  <si>
    <t>Строительство сельского Дома культуры на 60 мест в д. Семеновка, Канашского района</t>
  </si>
  <si>
    <t>д. Семеновка, Канашского района</t>
  </si>
  <si>
    <t>Строительство сельского Дома культуры на 100 мест в д. Задние Яндоуши, Канашского района</t>
  </si>
  <si>
    <t>д. Задние Яндоуши, Канашского района</t>
  </si>
  <si>
    <t>Строительство сельского Дома культуры на 60 мест в д. Туруново, Канашского района</t>
  </si>
  <si>
    <t>д. Туруново, Канашского района</t>
  </si>
  <si>
    <t>Строительство сельского Дома культуры на 60 мест в д. Вторые Хормалы, Канашского района</t>
  </si>
  <si>
    <t>д. Вторые Хормалы, Канашского района</t>
  </si>
  <si>
    <t xml:space="preserve">Капитальные ремонты сельского Дома культуры и пристроя в с.Ухманы, Верхнедевлизеровского сельского Дома, здания МБУ ДО «ДШИ» в д. Сугайкасы, Малобикшихского сельского Дома культуры МБУК «ЦКС» </t>
  </si>
  <si>
    <t>Модернизация центральной библиотеки МБУК «ЦБС» Канашского района</t>
  </si>
  <si>
    <t>Строительство сельского дома культуры на 100 мест по ул. М. Трубиной</t>
  </si>
  <si>
    <t xml:space="preserve"> с. Байгулово Козловского района </t>
  </si>
  <si>
    <t>ПСД в стадии прохождения экспертизы</t>
  </si>
  <si>
    <t xml:space="preserve">Строительство сельского дома культуры на 100 мест в д. Илебары Козловского района </t>
  </si>
  <si>
    <t xml:space="preserve"> д. Илебары Козловского района </t>
  </si>
  <si>
    <t xml:space="preserve">Строительство сельского дома культуры на 100 мест  в д. Солдыбаево Козловского района </t>
  </si>
  <si>
    <t xml:space="preserve"> д. Солдыбаево Козловского района </t>
  </si>
  <si>
    <t xml:space="preserve">Строительство сельского дома культуры на 100 мест  в д. Уразметево Козловского района </t>
  </si>
  <si>
    <t xml:space="preserve"> д. Уразметево Козловского района </t>
  </si>
  <si>
    <t>Строительство сельского дома культуры на 100 мест в с. Тугаево</t>
  </si>
  <si>
    <t xml:space="preserve">с. Тугаево Комсомольского района </t>
  </si>
  <si>
    <t>Строительство сельского дома культуры в с. Токаево</t>
  </si>
  <si>
    <t xml:space="preserve">с. Токаево Комсомольского района </t>
  </si>
  <si>
    <t>Строительство сельского дома культуры в д. Асаново</t>
  </si>
  <si>
    <t xml:space="preserve">д. Асаново Комсомольского района </t>
  </si>
  <si>
    <t>Строительство центра культурного развития в с. Комсомольское</t>
  </si>
  <si>
    <t xml:space="preserve">с. Комсомольское Комсомольского района </t>
  </si>
  <si>
    <t>Строительство сельского дома культуры в д. Старые Высли</t>
  </si>
  <si>
    <t xml:space="preserve">д. Старые Высли Комсомольского района </t>
  </si>
  <si>
    <t>Строительство сельского дома культуры  в д. Н.Б.Шигали</t>
  </si>
  <si>
    <t>д. Н.Б.Шигали Комсомольского района</t>
  </si>
  <si>
    <t>Строительство дома культуры с. Красноармейское</t>
  </si>
  <si>
    <t>Текущий ремонт здания Анаткасинского дома досуга МБУК</t>
  </si>
  <si>
    <t>Текущий ремонт здания Убеевского дома досуга МБУК</t>
  </si>
  <si>
    <t>Ремонт районного дома культуры</t>
  </si>
  <si>
    <t>Строительство сельского дома культуры  на 100 посадочных мест в д. Яманаки</t>
  </si>
  <si>
    <t>Строительство объекта "Мно-гофункциональный центр культурного развития в г. Мариинский Посад"</t>
  </si>
  <si>
    <t>г. Мариинский Посад</t>
  </si>
  <si>
    <t>Строительство Центра развития культуры</t>
  </si>
  <si>
    <r>
      <t>2000,00 м</t>
    </r>
    <r>
      <rPr>
        <vertAlign val="superscript"/>
        <sz val="12"/>
        <color theme="1"/>
        <rFont val="Arial"/>
        <family val="2"/>
        <charset val="204"/>
      </rPr>
      <t>2</t>
    </r>
  </si>
  <si>
    <t>Строительство объекта «Культурно- досуговый центр  в с. Моргауши Моргаушского района Чувашской Республики»</t>
  </si>
  <si>
    <t xml:space="preserve">с. Моргауши Моргаушского района </t>
  </si>
  <si>
    <t>Строительство объекта «Сельский дом культуры на 150 мест  в д. Ярабайкасы Моргаушского района Чувашской Республики»</t>
  </si>
  <si>
    <t xml:space="preserve">Региональный проект "Культурная среда" национального проекта "Культура" </t>
  </si>
  <si>
    <t>ПСД имеется, госэкспертиза пройдена</t>
  </si>
  <si>
    <t>Капитальный ремонт здания сельского дома культуры в с. Кудеиха Порецкого района Чувашской Республики</t>
  </si>
  <si>
    <t>Порецкий район с. Кудеиха</t>
  </si>
  <si>
    <t>200 посадочных мест</t>
  </si>
  <si>
    <t>ПСД в наличии ФБ,РБ,МБ</t>
  </si>
  <si>
    <t>Строительство сельского дома культуры на 100 мест в с. Сиява  Порецкого  района  Чувашской</t>
  </si>
  <si>
    <t>с. Сиява</t>
  </si>
  <si>
    <t>ПСД в наличии   ФБ, РБ, МБ</t>
  </si>
  <si>
    <t>Проектирование ПСД на замену крыши  с плоской на скатную на здании Никулинского СДК Никулинского сельского поселения Порецкого района</t>
  </si>
  <si>
    <t>с.Никулино</t>
  </si>
  <si>
    <t>Замена крыши  с плоской на скатную на здании Никулинского СДК Никулинского сельского поселения Порецкого района</t>
  </si>
  <si>
    <t xml:space="preserve">Проектирование замены крыши с плоской на скатную пристроя (спортивного зала) к зданию Рындинского СДК  и проектирование ремонта пристроя  (спортивного зала) к зданию Рындинского СДК Порецкого района Чувашской Республики </t>
  </si>
  <si>
    <t>с.Рындино</t>
  </si>
  <si>
    <t xml:space="preserve">Замена крыши  с плоской на скатную пристроя (спортивного зала) к зданию Рындинского СДК  и проектирование ремонта пристроя  ((спортивного зала) к зданию Рындинского СДК Порецкого района Чувашской Республики </t>
  </si>
  <si>
    <t xml:space="preserve">Капитальный ремонт здания сельского Дома культуры Ковалинского сельского поселения </t>
  </si>
  <si>
    <t>Строительство клуба Кульгешского сельского поселения</t>
  </si>
  <si>
    <t xml:space="preserve">Ремонт и реконструкция здания Урмарской центральной библиотеки </t>
  </si>
  <si>
    <t xml:space="preserve">Строительство клубно-досугового учрежедения по ул.Новая в д. Старое Янситово Урмарского района Чувашской Республики </t>
  </si>
  <si>
    <t>д. Старое Янситово Урмарского района</t>
  </si>
  <si>
    <t>Строительство Центра культурного развития в г.Цивильск</t>
  </si>
  <si>
    <t>Региональный проект "культурная среда"</t>
  </si>
  <si>
    <t>350-500 мест</t>
  </si>
  <si>
    <t>разработка ПСД</t>
  </si>
  <si>
    <t>Благоустройство памятников ВОВ</t>
  </si>
  <si>
    <t>Строительство здания сельского дома культуры в с Первомайское</t>
  </si>
  <si>
    <t>проектные работы завершены</t>
  </si>
  <si>
    <t>Строительство здания сельского дома культуры в д Тувси</t>
  </si>
  <si>
    <t>Строительство здания Большетиушского сельского дома культуры</t>
  </si>
  <si>
    <t xml:space="preserve">Строительство здания Третьевурманкасинского сельского дома культуры </t>
  </si>
  <si>
    <t xml:space="preserve">Строительство здания Нижнекибексинского сельского дома культуры </t>
  </si>
  <si>
    <t>Строительство сельского дома культуры на 150 мест по ул. Школьная, д. 39</t>
  </si>
  <si>
    <t xml:space="preserve">Строительство Салабайкасинского КОЦ Вурман-Сюктерского сельского поселения МБУ «ЦКС» Чебоксарского района </t>
  </si>
  <si>
    <t xml:space="preserve">Строительство Синьяльского дома творчества Синьяльского сельского поселения МБУ «ЦКС» Чебоксарского района </t>
  </si>
  <si>
    <t xml:space="preserve">Реконструкция Ердовского сельского клуба-музея Атлашевского сельского поселения МБУ «ЦКС» Чебоксарского района </t>
  </si>
  <si>
    <t xml:space="preserve">Строительство Ураево-Магазьского сельского клуба Атлашевского сельского поселения МБУ «ЦКС» Чебоксарского района </t>
  </si>
  <si>
    <t xml:space="preserve">Строительство Большекарачуринского Дома творчетва Лапсарского сельского поселения МБУ «ЦКС» Чебоксарского района </t>
  </si>
  <si>
    <t xml:space="preserve">Строительство Ямбарусовского сельского клуба Сирмапосинского сельского поселения МБУ «ЦКС» Чебоксарского района </t>
  </si>
  <si>
    <t>Реконструкция Тренькасиснкого дома творчесвта Шинерпосинского сельского поселения Чебоксарского района</t>
  </si>
  <si>
    <t>Строительство Альгешевского сельского клуба МБУ «ЦБС» Чебоксарского района</t>
  </si>
  <si>
    <t xml:space="preserve">Реконструкция здания Центрального Дома культуры Чебоксарского района МБУ «ЦКС» Чебоксарского района </t>
  </si>
  <si>
    <t xml:space="preserve">Капитальный ремонт СДК </t>
  </si>
  <si>
    <t xml:space="preserve">д.Малое Буяново Шемуршинского района </t>
  </si>
  <si>
    <t>Ремонт объекта культурного наследия регионального (республиканского) значения «Дом, в котором родился выдающийся ученый-тюрколог Ашмарин Николай Иванович, 1870г. (г.Ядрин, ул.Ленина, д.18)</t>
  </si>
  <si>
    <t>г. Ядрин</t>
  </si>
  <si>
    <t>Капитальный ремонт Персирланского сельского Дома культуры</t>
  </si>
  <si>
    <t>Капитальный ремонт Стрелецкого сельского Дома культуры</t>
  </si>
  <si>
    <t>Капитальный ремонт Аранчеевского СДК</t>
  </si>
  <si>
    <t>Капитальный ремонт Беловоложского СДК</t>
  </si>
  <si>
    <t>Капитальный ремонт Новобайдеряковского СДК</t>
  </si>
  <si>
    <t>Капитальный ремонт Староянашевского СДК</t>
  </si>
  <si>
    <t>Капитальный ремонт Яманчуринского СДК</t>
  </si>
  <si>
    <t>Капитальный ремонт Полевобуртасского СДК</t>
  </si>
  <si>
    <t>Капитальный ремонт Байдеряковского СДК</t>
  </si>
  <si>
    <t>Капитальный ремонт Эшмикеевского СДК</t>
  </si>
  <si>
    <t>Капитальный ремонт Сабанчинского СДК</t>
  </si>
  <si>
    <t>Капитальный ремонт Полевокозыльярского СДК</t>
  </si>
  <si>
    <t>Капитальный ремонт Лащ-Таябинского СДК</t>
  </si>
  <si>
    <t>Капитальный ремонт Кильдюшевского СДК</t>
  </si>
  <si>
    <t>Капитальный ремонт Большеяльчикского СДК</t>
  </si>
  <si>
    <t>Капитальный ремонт Избахтинского СДК</t>
  </si>
  <si>
    <t>Капитальный ремонт здания Янтиковского дома культуры МБУК «ЦКС» Янтиковского района Чувашской Республики, расположенного по адресу: Чувашская Республика, Янтиковский район, с. Янтиково, пр. Ленина, д. 3</t>
  </si>
  <si>
    <t>с.Янтиково</t>
  </si>
  <si>
    <t>Капитальный ремонт Яншихово - Норвашского дома культуры МБУК «ЦКС» Янтиковского района Чувашской Республики</t>
  </si>
  <si>
    <t>Региональный проект «Обеспечение качественно нового уровня развития инфраструктуры культуры» («Культурная среда») национального проекта «Культура»</t>
  </si>
  <si>
    <t>с.Яншихово-Норваши</t>
  </si>
  <si>
    <t>Строительство Нюшкасинского дома культуры МБУК «ЦКС» Янтиковского района Чувашской Республики</t>
  </si>
  <si>
    <t>д.Нюшкасы</t>
  </si>
  <si>
    <t>Строительство Новоишинского дома культуры МБУК «ЦКС Янтиковского района Чувашской Республики</t>
  </si>
  <si>
    <t>д.Новое Ишино</t>
  </si>
  <si>
    <t xml:space="preserve">Ремонтные работы объекта культурного наследия регионального (республиканского) значения "Двухэтажное деревянное здание бывшего городского училища", 1911 г. МБУК "Алатырский краеведческий музей"  Чувашская Республика, г.Алатырь, ул. Комсомола, д.47.  </t>
  </si>
  <si>
    <t xml:space="preserve">В рамках программы "100-летие Чувашской автономной области" </t>
  </si>
  <si>
    <t>г.Алатырь</t>
  </si>
  <si>
    <t>ФБ, РБ, МБ, ПСД имеется</t>
  </si>
  <si>
    <t>Завершение ремонтных работ объекта культурного наследия регионального (республиканского) значения "Двухэтажное деревянное здание бывшего городского училища", 1911 г. МБУК "Алатырский краеведческий музей" . Чувашская Республика, г.Алатырь, ул. Комсомола, д.47.</t>
  </si>
  <si>
    <t xml:space="preserve">Региональный проект "Культурная среда" </t>
  </si>
  <si>
    <t xml:space="preserve">Ремонт фасада МБУДО «Алатырская детская школа искусств» </t>
  </si>
  <si>
    <t>РБ, МБ, ПСД имеется</t>
  </si>
  <si>
    <t>Ремонт здания МБУК "Алатырская централизованная  библиотечная система" Центральная городская библиотека</t>
  </si>
  <si>
    <t xml:space="preserve">Региональный проект "Культурная среда"  </t>
  </si>
  <si>
    <t>Ремонт здания МАУ "Алатырский городской Дворец культуры"</t>
  </si>
  <si>
    <t>РБ, МБ, ПСД необходимость ПСД</t>
  </si>
  <si>
    <t>Ремонт кровли здания, по адресу Первомайская 76 А  литера "Б"  МБУДО "Алатырская детская школа искусств"</t>
  </si>
  <si>
    <t>РБ,МБ, необходимость ПСД</t>
  </si>
  <si>
    <t>фед. Бюджет</t>
  </si>
  <si>
    <t>Укрепление материально-технической базы муниципальных учреждений культурно-досугового типа (АУ "ДК "Химик", капитальный ремонт фасада здания, автоматическая система пожаротушения)</t>
  </si>
  <si>
    <t>г.Чебоксары</t>
  </si>
  <si>
    <t>требуется разработка ПСД</t>
  </si>
  <si>
    <t>Выкуп помещений на первом этаже многоквартирного жилого дома для организации школы дополнительного образования и библиотеки, как единого центра развития культуры и досуга в микрорайоне "Солнечный"</t>
  </si>
  <si>
    <t>Выкуп помещений на первом этаже многоквартирного жилого дома для организации школы дополнительного образования и библиотеки, как единого центра развития культуры и досуга в микрорайоне  "Благовещенский"</t>
  </si>
  <si>
    <t>ПСД разработана, требуется внести изменения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</si>
  <si>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</si>
  <si>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г. Москва</t>
  </si>
  <si>
    <t>Общие сведения о коммерческих и инфраструктурных проектах, мероприятиях и показателях состояния отрасли Образование в Республике Чувашия</t>
  </si>
  <si>
    <t>Строительство объекта "Дошкольное образовательное учреждение на 240 мест в с. Аликово Аликовского района"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</si>
  <si>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</si>
  <si>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с. Аликово Аликовского района</t>
  </si>
  <si>
    <t>240 мест</t>
  </si>
  <si>
    <t>ПСД в стадии разработки, федальный,  республиканский бюджет и бюджет района</t>
  </si>
  <si>
    <t xml:space="preserve">Капитальному ремонту МБДОУ «Аликовский детский сад №2 «Хевел» в рамках мероприятия «Капитальный ремонт муниципальных дошкольных образовательных организаций», </t>
  </si>
  <si>
    <t>ПСД в стадии разработки.  Федальный,  республиканский бюджет и бюджет района</t>
  </si>
  <si>
    <t>Капитальный ремонт муниципальных общеобразовательных организаций, имеющих износ 50 процентов и выше» (Таутовская СОШ -2021-2022 г.г., Раскильдинская СОШ - 2022-2023 г.г. Карачуринская ООШ -2023-2024 г.г., Шумшевашская СОШ - 2024-2025 г.г.</t>
  </si>
  <si>
    <t>ПСД в стадии разработки. Федальный,  республиканский бюджет и бюджет района</t>
  </si>
  <si>
    <t>Строительство очистных сооружений образовательных организаций (Чувашско-Сорминская СОШ-2021 г., Таутовская СОШ- 2022 г., Яндобинская СОШ-2023 г, Питишевская СОШ-2024 г., Большевыльская СОШ - 2025 г. )</t>
  </si>
  <si>
    <t xml:space="preserve">Строительство начальной общеобразовательной школы на 300 мест в с.Аликово Аликовского района </t>
  </si>
  <si>
    <t>Региональный проект "Современная школа" национального проекта "Образование"</t>
  </si>
  <si>
    <t>2021 г. - разработка ПСД, федальный,  республиканский бюджет и бюджет района</t>
  </si>
  <si>
    <t xml:space="preserve">Строительство газовых модульно-блочных котельных образовательных организаций (Большевыльская СОШ, Питишевская СОШ -2022 г., Карачуринская ООШ, Тенеевская ООШ - 2023 г.. Вотланская, ООШ, Таутовская СОШ - 2024 г., Чувашско-Сорминская СОШ, Большеямашевская СОШ, Раскильдинская СОШ - 2025 г. </t>
  </si>
  <si>
    <t xml:space="preserve">Строительство пристроя на 120 мест к зда-нию МБОУ "Шыгырданская СОШ № 1" в 
с. Шыгырдан
</t>
  </si>
  <si>
    <t xml:space="preserve">с. Шыгырдан Батыревского района </t>
  </si>
  <si>
    <t>120 мест</t>
  </si>
  <si>
    <t>Капитальный ремонт МБОУ "Полевобикшикская СОШ"</t>
  </si>
  <si>
    <t>д. Полевые Бикшики Батыревского района</t>
  </si>
  <si>
    <t>256 мест</t>
  </si>
  <si>
    <t>Капитальный ремонт МБДОУ "Шыгырданский детский сад "Ромашка"</t>
  </si>
  <si>
    <t>д. Шыгырданы</t>
  </si>
  <si>
    <t>144 места</t>
  </si>
  <si>
    <t>Капитальный ремонт зданий муниципальных общеобразовательных организаций, имеющих износ 50% и выше МБОУ «Батыревская СОШ№2»</t>
  </si>
  <si>
    <t>с. Батырево</t>
  </si>
  <si>
    <t xml:space="preserve">Строительство БМК для детского сада "Василек" </t>
  </si>
  <si>
    <t>174 места</t>
  </si>
  <si>
    <t>Реконструкция здания детского сада в д.Бахтигильдино под начальную школу с дошкольной группой со строительством спортзала</t>
  </si>
  <si>
    <t>д. Бахтигильдино</t>
  </si>
  <si>
    <t>ПСД на экспертизе</t>
  </si>
  <si>
    <t>Реконструкция здания детского сада в с. Новое Ахпердино под начальную школу-детский сад со строительством спортзала</t>
  </si>
  <si>
    <t>с. Новое Ахпердино</t>
  </si>
  <si>
    <t>Реконструкция здания МАОУ "Сугутская СОШ"</t>
  </si>
  <si>
    <t>с. Сугуты</t>
  </si>
  <si>
    <t>Капитальный ремонт МБДОУ "Солнышко"</t>
  </si>
  <si>
    <t>Капитальный ремонт  здания МБОУ "Тарханская СОШ"</t>
  </si>
  <si>
    <t>с. Тарханы</t>
  </si>
  <si>
    <t>Капитальный ремонт  здания МБОУ "Батыревская СОШ №1"</t>
  </si>
  <si>
    <t>Строительство пристроя к зданию МБОУ "Долгоостровская СОШ"</t>
  </si>
  <si>
    <t>д. Долгий Остров</t>
  </si>
  <si>
    <t>Строительство физкультурно-спортивной зоны "Батыревская СОШ №2"</t>
  </si>
  <si>
    <t>Капитальный ремонт здания МБОУ "Шыгырданская СОШ № 1" в с. Шыгырдан</t>
  </si>
  <si>
    <t>с. Шыгырдан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</si>
  <si>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 ул. Советская, д. 20</t>
  </si>
  <si>
    <t xml:space="preserve"> с. Калинино Вурнарского района</t>
  </si>
  <si>
    <t>2018-2020</t>
  </si>
  <si>
    <t>МБОУ ДО "Дом детского творчества" Вурнарского района Чувашской Республики</t>
  </si>
  <si>
    <t>п.Вурнары</t>
  </si>
  <si>
    <t>ПСД,  положительное заключение экспертизы проекта</t>
  </si>
  <si>
    <t>ИТОГО по Образованию:</t>
  </si>
  <si>
    <t>Капитальный ремонт зданий муниципальных дошкольных образовательных организаций МБДОУ "Ибресинский детский сад "Солнышко" п.Ибреси</t>
  </si>
  <si>
    <t>Капитальный ремонт зданий муниципальных общеобразовательных организаций, имеющих износ 50% и выше МБОУ «Ибресинская СОШ№1»</t>
  </si>
  <si>
    <t xml:space="preserve">Капитальный ремонт спортзала в МБОУ «Чуваштимяшская СОШ» </t>
  </si>
  <si>
    <t>Региональный проект «Успех каждого ребенка» нацпроекта «Образование»</t>
  </si>
  <si>
    <t>Строительство детского сада в п.г.т. Ибреси</t>
  </si>
  <si>
    <t>Капитальный ремонт зданий муниципальных дошкольных образовательных организаций МБДОУ "Ибресинский детский сад "Березка" п.Ибреси</t>
  </si>
  <si>
    <t xml:space="preserve">Капитальный ремонт зданий муниципальных дошкольных образовательных организаций МБДОУ "Айбечский  детский сад "Аистенок" </t>
  </si>
  <si>
    <t xml:space="preserve">Капитальный ремонт зданий муниципальных дошкольных образовательных организаций МБДОУ "Хормалинский детский сад "Весна" </t>
  </si>
  <si>
    <t>Капитальный ремонт зданий муниципальных общеобразовательных организаций, имеющих износ 50% и выше МБОУ «Ибресинская СОШ№2»</t>
  </si>
  <si>
    <t>Капитальный ремонт зданий муниципальных общеобразовательных организаций, имеющих износ 50% и выше МБОУ «Айбечская СОШ»</t>
  </si>
  <si>
    <t>Капитальный ремонт зданий муниципальных общеобразовательных организаций, имеющих износ 50% и выше МБОУ «Малокармалинская СОШ»</t>
  </si>
  <si>
    <t>Строительство котельной МБОУ "Айбечская СОШ""</t>
  </si>
  <si>
    <t>Замена оконных блоков в МБОУ "Новочурашевская СОШ", "Климовская СОШ", "Буинская СОШ", "Хормалинская СОШ"</t>
  </si>
  <si>
    <t>Капитальный ремонт зданий муниципальных общеобразовательных организаций, имеющих износ 50% и выше МБОУ «Климовская СОШ»</t>
  </si>
  <si>
    <t>Капитальный ремонт зданий муниципальных общеобразовательных организаций, имеющих износ 50% и выше МБОУ «Большеабакасинская   ООШ»</t>
  </si>
  <si>
    <t>Капитальный ремонт зданий муниципальных общеобразовательных организаций, имеющих износ 50% и выше МБОУ «Байгильдинская  СОШ»</t>
  </si>
  <si>
    <t>д.Байгильдино Канашского района</t>
  </si>
  <si>
    <t>Капитальный ремонт зданий муниципальных общеобразовательных организаций, имеющих износ 50% и выше МБОУ «Шибылгинская  СОШ»</t>
  </si>
  <si>
    <t>с.Шибылги Канашского района</t>
  </si>
  <si>
    <t>Капитальный ремонт зданий муниципальных общеобразовательных организаций, имеющих износ 50% и выше МБОУ «Ямашевская СОШ»</t>
  </si>
  <si>
    <t>капитальный ремонт МБОУ «Ямашевская СОШ»  (включая ПСД)с.Ямашево Канашского района</t>
  </si>
  <si>
    <t>Капитальный ремонт зданий муниципальных общеобразовательных организаций, имеющих износ 50% и выше МБОУ «Атнашевская ООШ»</t>
  </si>
  <si>
    <t>д. Атнашево Канашского района</t>
  </si>
  <si>
    <t>Капитальный ремонт зданий муниципальных дошкольных образовательных организаций МБДОУ "Ухманский детский сад"Рябинушка" "</t>
  </si>
  <si>
    <t>с. Ухманы Канашского района</t>
  </si>
  <si>
    <t>Капитальный ремонт зданий муниципальных дошкольных образовательных организаций МБДОУ "Вутабосинский детский сад "Колокольчик" "</t>
  </si>
  <si>
    <t>с. Вутабоси Канашского района</t>
  </si>
  <si>
    <t>Строительство средней образовательной школы на 165 учащихся с пристроем помещений для дошкольных групп на 40 мест в с. Янгличи Канашского района</t>
  </si>
  <si>
    <t>с. Янгличи Канашского района</t>
  </si>
  <si>
    <t>165/40</t>
  </si>
  <si>
    <t>Проведение дополнительных работ, не учтенных муниципальным контрактом по капитальному ремонту МБОУ «Тобурдановская СОШ им. А. И. Миттова»</t>
  </si>
  <si>
    <t>с. Тобурданово, Канашский район</t>
  </si>
  <si>
    <t>Проведение дополнительных работ, не учтенных муниципальным контрактом по капитальному ремонту МБОУ «Шоркасинская СОШ»</t>
  </si>
  <si>
    <t>с. Шоркасы Канашский район</t>
  </si>
  <si>
    <t>На изготовление ПСД по капитальному ремонту четырех спортивных залов: МБОУ «Хучельская ООШ», МБОУ «Ачакасинская ООШ им. Героя Советского Союза А. П. Петрова», МБОУ «Шакуловская ООШ», МБОУ «Новочелкасинская ООШ».</t>
  </si>
  <si>
    <t>Каншский район</t>
  </si>
  <si>
    <t>Выполние электромонтажных работ в 22 общеобразовательных учреждениях и 17 дошкольных образовательных учреждениях, по замечаниям пожарного надзора, а именно: замена ветхих алюминиевых проводов на медные, замена старых светильников с люминесцентными лампами на светодиодные, замена старых, вышедших из строя выключателей и розеток</t>
  </si>
  <si>
    <t>Капитальный ремонт системы отопления в зданиях 22 общеобразовательных учреждений и 17 дошкольных образовательных учреждений Канашского района, а именно: замене старых трубопроводов отопления и радиаторов на новые, для поддержания требуемого температурного режима в помещениях, согласно нормативам, СанПиН</t>
  </si>
  <si>
    <t>В целях антитеррористической защищенности объектов необходима установка систем видеонаблюдений в 5 дошкольных образовательных учреждениях и 4 общеобразовательных учреждениях</t>
  </si>
  <si>
    <t>В целях антитеррористической защищенности объектов необходимо устройство ограждения вокруг территории образовательных учреждений: 5 дошкольных и 4 общеобразовательных</t>
  </si>
  <si>
    <t>Капитальный ремонт кровли в 14 образовательных учреждениях</t>
  </si>
  <si>
    <t>Замена пожарной сигнализации общеобразовательных учреждений</t>
  </si>
  <si>
    <t>Капитальный ремонт спортивного зала МБОУ «Малокибечская ООШ» (дополнительные средства)</t>
  </si>
  <si>
    <t>Малые Кибечи, Канашский район</t>
  </si>
  <si>
    <t>Капитальный ремонт спортивного зала МБОУ «Большебикшихская СОШ» (дополнительные средства)</t>
  </si>
  <si>
    <t>Большие Бикшихи, Канашский район</t>
  </si>
  <si>
    <t>Капитальный ремонт  помещений под устройство столовой МБОУ "Сеспельская СОШ"</t>
  </si>
  <si>
    <t>Сеспель, Канашский район</t>
  </si>
  <si>
    <t xml:space="preserve">Строительство объекта "Дошкольное образовательное учреждение на 160 мест в г. Козловке Козловского района"
</t>
  </si>
  <si>
    <t>г. Козловка Козловского района</t>
  </si>
  <si>
    <t>160 мест</t>
  </si>
  <si>
    <t>Строительство средней образовательной школы на 165 учащихся с пристроем помещений для дошкольных групп на 40 мест</t>
  </si>
  <si>
    <t>с. Байгулово Козловского района</t>
  </si>
  <si>
    <t>40 мест</t>
  </si>
  <si>
    <t>Капитальный ремонт зданий муниципальных общеобразовательных организаций, имеющих износ 50% и выше МБОУ «Козловская СОШ №3»</t>
  </si>
  <si>
    <t>Капитальный ремонт помещений здания МБДОУ"Детский сад "Радуга" по адресу Чувашская Республика, г.Козловка, ул.  Октябрьская, д.95</t>
  </si>
  <si>
    <t>Капитальный ремонт здания МАОУ"Козловская СОШ№2" по адресу: Чувашская Республика, г.Козловка, ул. Карла Маркса, д.36</t>
  </si>
  <si>
    <t>Замена оконныхрам в 6 общеобразовательных учреждениях   Козловского района</t>
  </si>
  <si>
    <t>Капитальный ремонт МБОУ "Тюрлеминская СОШ" Козловского района Чувашской Республики по адресу: Козловский район, ст. Тюрлема, ул. Пионерская, д.1.</t>
  </si>
  <si>
    <t xml:space="preserve">Капитальный ремонт спортзалов МАОУ"Козловская СОШ№2" </t>
  </si>
  <si>
    <t>Спортивная площадка 770 кв. м (55 м х14 м) из резиновой крошки для МА ДОУ  "Козловский ЦРР - детский сад "Пчёлка"</t>
  </si>
  <si>
    <t xml:space="preserve">Строительство бассейна по адресу:  Чувашская Республика, Красноармейский район, с.Красноармейское, ул. Ленина, дом 39". Как пристрой к МБОУ «Траковская СОШ» </t>
  </si>
  <si>
    <t>Реконструция здания МБОДО "ДЮСШ Красноармейского района" по государственной программе "Доступная среда"</t>
  </si>
  <si>
    <t>с. Красноармейское Красноармейского района</t>
  </si>
  <si>
    <t>Капитальный ремонт кровли МБДОУ «Детский сад «Чебурашка»</t>
  </si>
  <si>
    <t>Капитальный ремонт здания МБДОУ «Детский сад «Сеспель»</t>
  </si>
  <si>
    <t>Капитальный ремонт здания МБОУ «Исаковская ООШ» с.Исаково</t>
  </si>
  <si>
    <t>Капитальный ремонт здания МБОУ «Алманчинская СОШ» с.Алманчино</t>
  </si>
  <si>
    <t>Капитальный ремонт здания МБОУ «Красноармейская СОШ»</t>
  </si>
  <si>
    <t>Замена оконных блоков 6 общеобразовательных учреждений   Красноармейского района: МБОУ "Убеевская СОШ", МБОУ "Большешатьминская СОШ", МБОУ "Караевская ООШ", МБОУ "Пикшикская СОШ", МБОУ "Исаковская ООШ", МБОУ "Чадукасинская ООШ"</t>
  </si>
  <si>
    <t>Капитальный ремонт здания МБОУ «Траковская СОШ» с.Красноармейское</t>
  </si>
  <si>
    <t>2020, 2021</t>
  </si>
  <si>
    <t>Перевод дошкольной группы МБОУ «Большешатьминская СОШ им. В.В. Васильева» в здание школы (реконструкция первого этажа)</t>
  </si>
  <si>
    <t xml:space="preserve">Капитальный ремонт здания МБДОУ «Детский сад «Колосок» с.Красноармейское 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</si>
  <si>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</si>
  <si>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д. Кашмаши Моргаушского района</t>
  </si>
  <si>
    <t>108 мест</t>
  </si>
  <si>
    <t>Строительство объекта «Пристрой с пищеблоком и спортивным залом  к   зданию МБУ «Шомиковская ООШ»</t>
  </si>
  <si>
    <t>д. Шомиково Моргаушского района</t>
  </si>
  <si>
    <t>Строительство объекта «Дошкольное образовательное учреждение на 220 мест в д. Москаксы Моргаушского района Чувашской Республики»</t>
  </si>
  <si>
    <t>д. Москакасы Моргаушского района</t>
  </si>
  <si>
    <t>220 мест</t>
  </si>
  <si>
    <t>Капитальный ремонт МБОУ «Анастасовская СОШ» (I, II и III этапы) с. Анастасово</t>
  </si>
  <si>
    <t>Реализация мероприятий подпрограммы 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государственной программы Чувашской Республики «Развитие образования»;
«Капитальный ремонт зданий государственных общеобразовательных организаций, имеющих износ 50 процентов и выше»</t>
  </si>
  <si>
    <t>РБ, МБ;  проектные работы завершены</t>
  </si>
  <si>
    <t>Капитальный ремонт МБОУ «Напольновская СОШ» с. Напольное</t>
  </si>
  <si>
    <t>РБ, МБ; проектные работы завершены</t>
  </si>
  <si>
    <t>Капитальный ремонт здания МАОУ "Порецкая СОШ" с. Порецкое</t>
  </si>
  <si>
    <t>2020-2021,     2024</t>
  </si>
  <si>
    <t>РБ, МБ; на 2020-2021 гг. проектные работы завершены</t>
  </si>
  <si>
    <t>Капитальный ремонт МБОУ «Кудеихинская СОШ»</t>
  </si>
  <si>
    <t>2020 год - мероприятие
«Укрепление материально-технической базы  муниципальных образовательных организаций»
«Капитальный ремонт муниципальных образовательных организаций» государственной программы Чувашской Республики «Развитие образования»</t>
  </si>
  <si>
    <t>2020,           2022-2023</t>
  </si>
  <si>
    <t>40; 154</t>
  </si>
  <si>
    <t>РБ, МБ; 2020 г. -проектные работы завершены</t>
  </si>
  <si>
    <t>Капитальный ремонт МБДОУ «Порецкий детский сад «Сказка» с. Порецкое</t>
  </si>
  <si>
    <t>2020, 2023</t>
  </si>
  <si>
    <t>Капитальный ремонт МАОУ «Семеновская СОШ» с. Семеновское</t>
  </si>
  <si>
    <t>Капитальный ремонт МБДОУ «Порецкий детский сад «Колокольчик» с. Порецкое</t>
  </si>
  <si>
    <t>Строительство объекта "Блочно-модульная котельная МБОУ «Напольновская СОШ» с. Напольное</t>
  </si>
  <si>
    <t>Строительство объекта "Блочно-модульная котельная МБОУ «Кудеихинская СОШ» с. Кудеиха</t>
  </si>
  <si>
    <t>Строительство объекта "Блочно-модульная котельная МАУ ДО «ДЮСШ "Дельфин"» с. Порецкое</t>
  </si>
  <si>
    <t xml:space="preserve">Строительство пристроя к МБДОУ «Порецкий детский сад «Сказка» с реконструкцией существующего здания. </t>
  </si>
  <si>
    <t xml:space="preserve">РБ, МБ; разработана проектно-сметная документация на 47 363,49 тыс. руб. (в уровне цен II кв. 2017 г. с НДС). </t>
  </si>
  <si>
    <t>Строительство школы на 165 мест с пристроем для помещений дошкольных групп на 40 мест в д. Арабоси</t>
  </si>
  <si>
    <t>205 мест</t>
  </si>
  <si>
    <t>Капитальный ремонт здания МБОУ "Мусирминская СОШ"</t>
  </si>
  <si>
    <t>с. Мусирмы, Урмарского района</t>
  </si>
  <si>
    <t>Капитальный ремонт здания МБОУ "Староурмарская СОШ"</t>
  </si>
  <si>
    <t>с. Старые Урмары, Урмарского района</t>
  </si>
  <si>
    <t>Капитальный ремонт здания МБОУ «Челкасинская ООШ»</t>
  </si>
  <si>
    <t>с. Челкасы, Урмарского района</t>
  </si>
  <si>
    <t>Капитальный ремонт здания МБДОУ "Детский сад № 4 "Ромашка"</t>
  </si>
  <si>
    <t>Разработка проекта и Строительство пристроя на 500 мест к СОШ № 2 г. Цивильск</t>
  </si>
  <si>
    <t>Региональный проект "Образование"</t>
  </si>
  <si>
    <t>500 мест</t>
  </si>
  <si>
    <t>разработка проекта</t>
  </si>
  <si>
    <t>Разработка проекта и Строительство школы на 375 в селе Чурачики</t>
  </si>
  <si>
    <t>разработан проект</t>
  </si>
  <si>
    <t>Строительство объекта "Дошкольное образовательное учреждение на 240 мест в ул. Арцыбашева, г.Цивильск Цивильского района"</t>
  </si>
  <si>
    <t xml:space="preserve">Разработка проекта и Строительство объекта "Школа на 500 мест  с двумя дошкольными группами по 40 мест в г.Цивильск Цивильского района" </t>
  </si>
  <si>
    <t>Строительство объекта "Котлы наружного размещения детского сада МБДОУ "Абашевский детский сад "Хевел" по адресу: ул. Верхняя, д. 34, с. Абашево, Чебоксарского района Чувашской Республики"</t>
  </si>
  <si>
    <t>с. Абашево Чебоксарского района</t>
  </si>
  <si>
    <t>Строительство объекта "Блочно-модульная котельная детского сада МБДОУ "Хыркасинский детский сад "Звездочка" Чебоксарского района Чувашской Республики" по адресу: ул. Школьная, д. 5, 
с. Хыркасы, Чебоксарский район, Чувашская Республика</t>
  </si>
  <si>
    <t>с. Хыркасы Чебоксарского района</t>
  </si>
  <si>
    <t>Капитальный ремонт зданий муниципальных общеобразовательных организаций, имеющих 50% и выше МБОУ "Шемуршинская СОШ" в с.Шемурша</t>
  </si>
  <si>
    <t>с.Шемурша Шемуршинского района</t>
  </si>
  <si>
    <t>Строительство очистных сооружений хозяйственно-бытовых стоков КС(К) ОУ "Саланчикская специальная (коррекционная) общеобразовательная школа-интернат" Минобразования Чувашии</t>
  </si>
  <si>
    <t>пос. Саланчик Шумерлинского района</t>
  </si>
  <si>
    <t>Строительство Персирланской средней общеобразовательной школы на 205 мест</t>
  </si>
  <si>
    <t>Капитальный ремонт муниципальных общеобразовательных организаций Ядринского района, имеющих износ 50 процентов и выше Здание МБОУ «Гимназия №1»</t>
  </si>
  <si>
    <t>269 мест</t>
  </si>
  <si>
    <t>Здание МАОУ «СОШ №3 г. Ядрин»</t>
  </si>
  <si>
    <t>916 мест</t>
  </si>
  <si>
    <t>Реконструкция здания МБОУ «Яльчикская  СОШ» со строительством столовой на 250 мест</t>
  </si>
  <si>
    <t>Капитальный ремонт крыши здания МБОУ «Кильдюшевская  СОШ»</t>
  </si>
  <si>
    <t>Строительство учебного корпуса для начальных классов на 300 мест к МБОУ "Янтиковская СОШ" в с.Янтиково Янтиковского района</t>
  </si>
  <si>
    <t>с.Янтиково Янтиковского района</t>
  </si>
  <si>
    <t>Капитальный ремонт зданий муниципальных общеобразовательных организаций, имеющих износ 50% и выше МБОУ «Турмышская СОШ»в с.Турмыши</t>
  </si>
  <si>
    <t>Капитальный ремонт зданий муниципальных общеобразовательных организаций, имеющих износ 50% и выше МБОУ «Тюмеревская СОШ»в д.Тюмерево</t>
  </si>
  <si>
    <t>465 мест</t>
  </si>
  <si>
    <t>Капитальный ремонт зданий муниципальных общеобразовательных организаций, имеющих износ 50% и выше МБОУ «Шимкусская СОШ»</t>
  </si>
  <si>
    <t>90 мест</t>
  </si>
  <si>
    <t>Капитальный ремонт зданий муниципальных дошкольных образовательных организаций МБДОУ "Турмышский детский сад "в с.Турмыши</t>
  </si>
  <si>
    <t xml:space="preserve">Капитальный ремонт зданий муниципальных дошкольных образовательных организаций МБДОУ "Детский сад №8 "Звездочка" </t>
  </si>
  <si>
    <t>180 мест</t>
  </si>
  <si>
    <t>Капитальный ремонт ДОЛ "Янтарный"</t>
  </si>
  <si>
    <t>200 чел в смену</t>
  </si>
  <si>
    <t>Капитальный ремонт зданий муниципальных общеобразовательных организаций МБОУ «Гимназия №6 имени академика-кораблестроителя А.Н. Крылова"(кровля)</t>
  </si>
  <si>
    <t>1170 мест</t>
  </si>
  <si>
    <t>Капитальный ремонт зданий муниципальных общеобразовательных организаций, имеющих износ 50% и выше МБОУ «Средняя общеобразовательная школа №5 имени Героя Советского Союза А.М. Осипова»</t>
  </si>
  <si>
    <t>320 мест</t>
  </si>
  <si>
    <t>Капитальный ремонт зданий муниципальных общеобразовательных организаций, имеющих износ 50% и выше МБОУ «Средняя общеобразовательная школа №3»</t>
  </si>
  <si>
    <t>2021/2022</t>
  </si>
  <si>
    <t>588 мест</t>
  </si>
  <si>
    <t>Капитальное строительство (реконструкция) зданий муниципальных общеобразовательных организаций МБОУ «Средняя общеобразовательная школа №9 имени Героя Советского Союза П.Г. Макарова»</t>
  </si>
  <si>
    <t>550 мест</t>
  </si>
  <si>
    <t>Капитальное строительство (реконструкция) зданий муниципальных общеобразовательных организаций МБДОУ «Детский сад № 1 "Теремок"»</t>
  </si>
  <si>
    <t>130 мест</t>
  </si>
  <si>
    <t>Строительство объекта "Детский сад на 240 мест", расположенный в мкр. "Восточный"</t>
  </si>
  <si>
    <t xml:space="preserve"> г. Канаш</t>
  </si>
  <si>
    <t>Строительство объекта "Детский сад на 220 мест (поз. 27) в IX микрорайоне Западного жилого района г. Новочебоксарск"</t>
  </si>
  <si>
    <t>Капитальный ремонт здания, расположенного по адресу: г.Новочебоксарск, Ельниковский пр., д. 6а, под начальную школу на 300 учащихся</t>
  </si>
  <si>
    <t>Укрепление материально-технической базы муниципальных образовательных организаций (Средняя школа № 3, износ более 50%)</t>
  </si>
  <si>
    <t>Выполнение капитального ремонта электросетевого хозяйства МАУ ДООЛ «Звездочка»</t>
  </si>
  <si>
    <t>Проведено обследование и составлен сметный расчет</t>
  </si>
  <si>
    <t xml:space="preserve">Строительство СОШ в мкр. "Радужный" </t>
  </si>
  <si>
    <t>1100 мест</t>
  </si>
  <si>
    <t>проектирует ООО "СЗ Отделфинстрой"</t>
  </si>
  <si>
    <t>Строительство СОШ в мкр. "Кувшинка"</t>
  </si>
  <si>
    <t>2024-2026</t>
  </si>
  <si>
    <t>Строительство СОШ в мкр. "Акварель"</t>
  </si>
  <si>
    <t>850 мест</t>
  </si>
  <si>
    <t>Строительство СОШ в мкр. "Финская долина"</t>
  </si>
  <si>
    <t>Строительство СОШ в мкр. "Альгешево"</t>
  </si>
  <si>
    <t>825 мест</t>
  </si>
  <si>
    <t>Строительство СОШ на 1100 мест в мкр. НЮР</t>
  </si>
  <si>
    <t>проектирует МБУ "УКСИР"</t>
  </si>
  <si>
    <t>Строительство СОШ на 1500 мест в мкр. "Университетский-2"</t>
  </si>
  <si>
    <t>1500 мест</t>
  </si>
  <si>
    <t>проектирует ООО "СЗ ТУС"</t>
  </si>
  <si>
    <t>Строительство СОШ на 1100 мест в мкр. "Солнечный"</t>
  </si>
  <si>
    <t>проектирует ООО "Удача"</t>
  </si>
  <si>
    <t>Строительство ДОУ в мкр. "Новый город" на 180 мест</t>
  </si>
  <si>
    <t>проектирует АО "ИСКО-Ч"</t>
  </si>
  <si>
    <t>Строительство ДОУ в мкр. "Садовый" на 240 мест поз. 24</t>
  </si>
  <si>
    <t>Строительство ДОУ в мкр. "Садовый" на 240 мест поз. 39</t>
  </si>
  <si>
    <t>Модернизация пищеблоков в дошкольных образовательных организациях города Чебоксары</t>
  </si>
  <si>
    <t>Муниципальная программа "Развитие образования"</t>
  </si>
  <si>
    <t>Модернизация пищеблоков в общеобразовательных организациях города Чебоксары (в рамках Послания Президента РФ в части организации бесплатного питания учащихся 1-4 классов).</t>
  </si>
  <si>
    <t>Износ зданий образования (требуется капитальный ремонт).</t>
  </si>
  <si>
    <t>Проведение работ в рамках мероприятий по обеспечению антитеррористической защищённости объектов образования, отраженных в паспортах безопасности, согласно требованиям Постановления Правительства РФ от 02.08.2019 № 1006</t>
  </si>
  <si>
    <t>Проведение работ в целях обеспечения противопожарной безопасности (установка АПС)</t>
  </si>
  <si>
    <t>Проведение реконструкции учреждений дополнительного образования и детских оздоровительных лагерей</t>
  </si>
  <si>
    <t>ИТОГО Республике Чувашия:</t>
  </si>
  <si>
    <t>Общие сведения о коммерческих и инфраструктурных проектах, мероприятиях и показателях состояния отрасли Общественная безопасность в Республике Чувашия</t>
  </si>
  <si>
    <t xml:space="preserve">Устройство системы оповещения населения </t>
  </si>
  <si>
    <t>56 точек</t>
  </si>
  <si>
    <t xml:space="preserve">Приобретение 9 помещений для работы участковому уполномоченному полиции </t>
  </si>
  <si>
    <t>Дооснащение системы видеонаблюдения правоохранительного сегмента АПК "Безопасный город"</t>
  </si>
  <si>
    <t>1300 видеокамер</t>
  </si>
  <si>
    <t>Дооснащение подсистемы видеонаблюдения "Безопасный двор"  системы видеонаблюдения АПК "Безопасный город"</t>
  </si>
  <si>
    <t>3240 видекамер</t>
  </si>
  <si>
    <t>Строительство центра обработки данных</t>
  </si>
  <si>
    <t>Общие сведения о коммерческих и инфраструктурных проектах, мероприятиях и показателях состояния отрасли Пожарная безопасность в Республике Чувашия</t>
  </si>
  <si>
    <t>Очистка противопожарного пруда</t>
  </si>
  <si>
    <t xml:space="preserve">Крымзарайкинское сельское поселение </t>
  </si>
  <si>
    <t>Очистка противопожарного пруда между д. Нижние Елыши и д. Верхние Елышы</t>
  </si>
  <si>
    <t>Сувашско-Сорминское сельское поселение</t>
  </si>
  <si>
    <t>5000 кв.м.</t>
  </si>
  <si>
    <t>Ремонт  противопожарного пруда</t>
  </si>
  <si>
    <t>Шумшевашское сельское поселение</t>
  </si>
  <si>
    <t>Решение проблемных вопросов противопожарной безопасности в населенных пунктах района</t>
  </si>
  <si>
    <t>Ефремкасинское сельское поселение</t>
  </si>
  <si>
    <t>Раскильдинское сельское поселение</t>
  </si>
  <si>
    <t>Строительство теплого гаража для пожарной техники в д. Бахтигильдино</t>
  </si>
  <si>
    <t>Бахтигильдинское сельское поселение</t>
  </si>
  <si>
    <t>Строительство теплого гаража для пожарной техники в д. Долгий Остров</t>
  </si>
  <si>
    <t>Долгоостровское сельское поселение</t>
  </si>
  <si>
    <t>Строительство теплого гаража для пожарной техники в с. Новое Ахпердино</t>
  </si>
  <si>
    <t>Новоахпердинское сельское поселение</t>
  </si>
  <si>
    <t>Газоснабжение топочной здания гаража для пожарной техники в с. Норваш-Шигали</t>
  </si>
  <si>
    <t>Норваш-Шигалинское сельское поселение</t>
  </si>
  <si>
    <t>Монтаж системы отопления здания гаража для пожарной техники в с. Сугуты</t>
  </si>
  <si>
    <t>Сугутское сельское поселение</t>
  </si>
  <si>
    <t>Ремон пруда по ул. Заречная в д. Ойкасы</t>
  </si>
  <si>
    <t>Азимсирминское сельское поселение</t>
  </si>
  <si>
    <t>Очистка пруда в с. Кукшум</t>
  </si>
  <si>
    <t>Алгазинское сельское поселение</t>
  </si>
  <si>
    <t>Большеторханское сельское поселение</t>
  </si>
  <si>
    <t>Очистка пруда в д. Пинер Айгиши</t>
  </si>
  <si>
    <t>Буртасинское сельское поселение</t>
  </si>
  <si>
    <t>Ермошинское сельское поселение</t>
  </si>
  <si>
    <t>Очистка пруда по ул. Центральная в д. Старые Шорданы</t>
  </si>
  <si>
    <t>Малояушское сельское поселение</t>
  </si>
  <si>
    <t>Очистка пруда в д. Тузи-Мурат</t>
  </si>
  <si>
    <t>Сявалкасинское сельское поселение</t>
  </si>
  <si>
    <t>Очистка пруда в д. Чириш-Шинеры</t>
  </si>
  <si>
    <t>Шинерское сельское поселение</t>
  </si>
  <si>
    <t>Ремонт здания для хранения пожарной техники</t>
  </si>
  <si>
    <t>Березовское сельское поселение</t>
  </si>
  <si>
    <t>Установка противопожарной емкости</t>
  </si>
  <si>
    <t>Хормалинское сельское поселение</t>
  </si>
  <si>
    <t>Ремонт грунт. дорог, очистка прудов</t>
  </si>
  <si>
    <t>Сеспельское сельское поселение</t>
  </si>
  <si>
    <t xml:space="preserve">На содержание работающих и для восстановления боевой готовности 12 МПО и 1 ДПД Канашского района </t>
  </si>
  <si>
    <t>Отсутствие противопожарного пруда</t>
  </si>
  <si>
    <t>Шераутское сельское поселение</t>
  </si>
  <si>
    <t>Очистка пруда в д. Тябердино-Эткерово</t>
  </si>
  <si>
    <t>Урмаевское сельское поселение</t>
  </si>
  <si>
    <t>Очистка пруда в д. Полевые Инели</t>
  </si>
  <si>
    <t>Полевосундурское сельское поселение</t>
  </si>
  <si>
    <t>Строительство противопожарного водоема</t>
  </si>
  <si>
    <t>Атнарское сельское поселение</t>
  </si>
  <si>
    <t>Очистка пруда в д. Питеркино</t>
  </si>
  <si>
    <t>Питеркасинское сельское поселение</t>
  </si>
  <si>
    <t>Очистка пруда в д. Вишенеры</t>
  </si>
  <si>
    <t>Газификация пожарного депо</t>
  </si>
  <si>
    <t>Эльбарусовское сельское поселение</t>
  </si>
  <si>
    <t>Обустройство противопожарного водоема в с. Сыреси</t>
  </si>
  <si>
    <t>Сыресенское сельское поселение</t>
  </si>
  <si>
    <t>Медикасинское сельское поселение</t>
  </si>
  <si>
    <t>Очистка пруда в д. Байдуши по ул. Гагарина</t>
  </si>
  <si>
    <t>Малоянгоринское сельское поселение</t>
  </si>
  <si>
    <t>Очистка пруда в д. Верхние Анатриялы</t>
  </si>
  <si>
    <t>Очистка пруда (пожарного водоема)</t>
  </si>
  <si>
    <t>Чиричкасинское сельское поселение</t>
  </si>
  <si>
    <t>Ишакское сельское поселение</t>
  </si>
  <si>
    <t>Устройство противопожарного водоема</t>
  </si>
  <si>
    <t>Чепкас-Никольское сельское поселение</t>
  </si>
  <si>
    <t>Строительство депо</t>
  </si>
  <si>
    <t>Малобуяновское сельское поселение</t>
  </si>
  <si>
    <t>Общие сведения о коммерческих и инфраструктурных проектах, мероприятиях и показателях состояния отрасли Туризм в Республике Чувашия</t>
  </si>
  <si>
    <t>ПИР на строительство этнокомплекса «Тигашевское городище» в д. Тигашево Батыревского района Чувашской Республики</t>
  </si>
  <si>
    <t>НП «Культура»</t>
  </si>
  <si>
    <t>Строительство этнокомплекса «Тигашевское городище» в д. Тигашево Батыревского района Чувашской Республики</t>
  </si>
  <si>
    <t>2022-2026</t>
  </si>
  <si>
    <t>Инвестиционный проект «Архитектурное наследие Канашского района» в д. Мокры    изготовление ПСД</t>
  </si>
  <si>
    <t>Общесистемные меры развития туристической отрасли Республики Чувашия</t>
  </si>
  <si>
    <t>ВБ</t>
  </si>
  <si>
    <t>Разработка туристических маршрутов с продвижением их на российский рынок</t>
  </si>
  <si>
    <t>Минэкономразвития Чувашии</t>
  </si>
  <si>
    <t xml:space="preserve">Проведение информационных туров в районах республики и регионах </t>
  </si>
  <si>
    <t>Реставрация Дома-музея Н.И. Лобачевского</t>
  </si>
  <si>
    <t>Администрация Козловского городского поселения Козловского  района</t>
  </si>
  <si>
    <t xml:space="preserve">Создание экспозиции Дома-музея Н.И. Лобачевского </t>
  </si>
  <si>
    <t xml:space="preserve">Строительство автодороги с твердым покрытием к Дому-музею Лобачевского и автостоянки для туристических автобусов  </t>
  </si>
  <si>
    <t>Разработка проектно-сметной документации реконструкции набережной и строительства причальной стенки на р. Волга в г. Козловке</t>
  </si>
  <si>
    <t>Администрация Козловского района</t>
  </si>
  <si>
    <t>Реконструкция набережной и строительство причальной стенки на р. Волга в г. Козловке с проведением берегоукрепительных работ</t>
  </si>
  <si>
    <t>ФБ, РБ, ВБ</t>
  </si>
  <si>
    <t>Строительство церковного подворья на набережной р. Волга в г. Козловке</t>
  </si>
  <si>
    <t>Канашская епархия Русской Православной церкви</t>
  </si>
  <si>
    <t>Реконструкция пляжа на реке Волга в г. Козловке</t>
  </si>
  <si>
    <t>Приобретение катамаранов, лодок для прогулок по реке Волга</t>
  </si>
  <si>
    <t>Предприниматели</t>
  </si>
  <si>
    <t>Реконструкция здания кинотеатра «Октябрь» под детский культурно-досуговый центр</t>
  </si>
  <si>
    <t>ООО «Венеция»</t>
  </si>
  <si>
    <t>Реконструкция здания гостиницы и ресторана «Волна»</t>
  </si>
  <si>
    <t>ООО «Посад»</t>
  </si>
  <si>
    <t xml:space="preserve">Организация подворья «Чувашское национальное подворье» в г. Козловке </t>
  </si>
  <si>
    <t>Администрация Козловского района
КФХ Семенов В.Н.</t>
  </si>
  <si>
    <t>ФБ, РБ, МБ, ВБ</t>
  </si>
  <si>
    <t xml:space="preserve">Кол-во посещений – 25000 ежегодно к 2026 году.
</t>
  </si>
  <si>
    <t xml:space="preserve">Реконструкция здания кафе «Крик» на городском пляже </t>
  </si>
  <si>
    <t>ИП Смирнов А.И.</t>
  </si>
  <si>
    <t>Проектирование и реставрация усадьбы барона Жомини в г. Козловке.
Создание единого музейного комплекса с Домом-музеем Лобачевского</t>
  </si>
  <si>
    <t>Администрация Козловского городского поселения Козловского района</t>
  </si>
  <si>
    <t xml:space="preserve">Развитие спортивно-оздоровительной, туристической базы
 «Птичий полет» </t>
  </si>
  <si>
    <t>ООО «Птичий полет»
Администрация Козловского района</t>
  </si>
  <si>
    <t>3000 чел.</t>
  </si>
  <si>
    <t>Приобретение экскурсионного автобуса</t>
  </si>
  <si>
    <t xml:space="preserve">Строительство гостевого дворика со сценической площадкой «Волжские гостинцы» </t>
  </si>
  <si>
    <t>Установка тематических скульптурных форм на набережной реки Волга в г. Козловке</t>
  </si>
  <si>
    <t>Администрация Козловского района
Предприниматели</t>
  </si>
  <si>
    <t>Приобретение и установка рекламных баннеров, указателей маршрутов туристических зон, знаков туристской навигации</t>
  </si>
  <si>
    <t>Автомобильная дорога "Марпосад-Кушниково" - Нерядово - подъезд к туристическо-оздоровительному комплексу "Жуковское" Мариинско-Посадского района ЧР</t>
  </si>
  <si>
    <t>Ростуризм, ПСД имеется</t>
  </si>
  <si>
    <t>Реставрация объекта культурного наследия «Дом, в котором в 1919 году выступала Н.К.Крупская»,  расположенного по адресу, Чувашская Республика, г.Мариинский Посад, ул. Набережная д. 20*</t>
  </si>
  <si>
    <t>Благоустройство особо-охраняемой природной территории «Государева Гора». Устройство подъездных путей, стоянок для крупногабаритных автобусов, ограждений, освещения, и пешеходных маршрутов (дорожки с тактильным покрытием, лестницы)*</t>
  </si>
  <si>
    <t>ФЦП «Развитие внутреннего и въездного туризма в российской федерации (2019 - 2025 годы)»</t>
  </si>
  <si>
    <t xml:space="preserve">Реставрация подвалов Дома купца Соснина </t>
  </si>
  <si>
    <t>МАУК «ЦКС» Мариинско-Посадского района</t>
  </si>
  <si>
    <t>Туристско-информационный центр в г. Мариинский Посад с включением в реестр турагентов</t>
  </si>
  <si>
    <t>Проект «Веков связующая нить»*</t>
  </si>
  <si>
    <t>Составление сметы на проектно-изыскательские работы</t>
  </si>
  <si>
    <t>ООО УПТР «Гидроспецстрой»</t>
  </si>
  <si>
    <t>Берегоукрепление*</t>
  </si>
  <si>
    <t>Администрация городского поселения</t>
  </si>
  <si>
    <t>Строительство причальной стенки*</t>
  </si>
  <si>
    <t>Обустройство пляжа*</t>
  </si>
  <si>
    <t>Строительство лодочной станции*</t>
  </si>
  <si>
    <t>Комплексное развитие исторического и этнокультурного центра в городе Цивильск с застройкой микрорайона "Северный", постоянно действующая этническая Ярмарка</t>
  </si>
  <si>
    <t>2020- 2024</t>
  </si>
  <si>
    <t xml:space="preserve">разработка проекта </t>
  </si>
  <si>
    <t>Реконструкция Казанской набережной</t>
  </si>
  <si>
    <t>Реконструкция Московской набережной 5 этап</t>
  </si>
  <si>
    <t>Инвестиционный проект "Туристский кластер "Чувашия - сердце Волги"</t>
  </si>
  <si>
    <t>Строительство инженерной инфраструктуры грязелечебницы АО «Санаторий «Чувашиякурорт» по адресу: Чувашская Республика, г. Чебоксары, ул. Мичмана Павлова, д. 29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</si>
  <si>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</si>
  <si>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г.Чебоксары, Заволжье</t>
  </si>
  <si>
    <t>Строительство парковки для Гранд отеля "Мегаполис" по ул. Нижегородской, д. 3, в г. Чебоксары</t>
  </si>
  <si>
    <t>Строительство комплексного подъёмника до Московской набережной</t>
  </si>
  <si>
    <t>Строительство набережной пассажирских причалов на левобережных остановочных пунктах Сосновка и Пляж г. Чебоксары</t>
  </si>
  <si>
    <t>Создание музея воинской славы на базе Погранично-сторожевого корабля «Чебоксары»</t>
  </si>
  <si>
    <t>Строительство музея под открытым небом в исторической части г. Чебоксары</t>
  </si>
  <si>
    <t>Создание зоопарка</t>
  </si>
  <si>
    <t>Ростуризм, ПСД в разработке</t>
  </si>
  <si>
    <t>Общие сведения о коммерческих и инфраструктурных проектах, мероприятиях и показателях состояния отрасли Физическая культура и спорт в Республике Чувашия</t>
  </si>
  <si>
    <t>Строительство объекта "Плавательный бассейн в с. Аликово Аликовского района Чувашской Республики"</t>
  </si>
  <si>
    <t>Региональный проект "Спорт - норма жизни" национального проекта "Демография"</t>
  </si>
  <si>
    <t>Строительство спортивного стадиона в с. Аликово Аликовского района Чувашской Республики</t>
  </si>
  <si>
    <t>ПСД в стадии разработки. ФБ, РБ, МБ</t>
  </si>
  <si>
    <t>Строительство хоккейной коробки в д.Таутово и с.Яндоба Аликовского района Чувашской Республики</t>
  </si>
  <si>
    <t>Капитальный ремонт стадиона "Паттар" в с. Батырево Батыревского района Чувашской Республики</t>
  </si>
  <si>
    <t>Капитальный ремонт стадиона "Олимп" в д. Малое Батырево Батыревского района Чувашской Республики</t>
  </si>
  <si>
    <t>д. Малое Батырево Батыревского района</t>
  </si>
  <si>
    <t>Строительство ФОК в с. Шыгырдан Батыревского района Чувашской Республики</t>
  </si>
  <si>
    <t>с. Шыгырданы Батыревского района</t>
  </si>
  <si>
    <t>Строительство футбольного поля в д. Норваш Шигали Батыревского района Чувашской Республики</t>
  </si>
  <si>
    <t>д. Норваш Шигали Батыревского района</t>
  </si>
  <si>
    <t>Строительство футбольного поля в с. Первомайское Батыревского района Чувашской Республики</t>
  </si>
  <si>
    <t>с. Первомайское Батыревского района</t>
  </si>
  <si>
    <t>Строительство футбольного поля в с. Тарханы Батыревского района Чувашской Республики</t>
  </si>
  <si>
    <t>с. Тарханы Батыревского района</t>
  </si>
  <si>
    <t>Строительство футбольного поля в с. Тойси Батыревского района Чувашской Республики</t>
  </si>
  <si>
    <t>с. Тойси Батыревского района</t>
  </si>
  <si>
    <t>Строительство футбольного поля в д. Новое Котяково Батыревского района Чувашской Республики</t>
  </si>
  <si>
    <t>д. Новое Котяково Батыревского района</t>
  </si>
  <si>
    <t>Строительство футбольного поля в д. Именево Батыревского района Чувашской Республики</t>
  </si>
  <si>
    <t>д. Именево Батыревского района</t>
  </si>
  <si>
    <t>Строительство футбольного поля в с. Полевые Бикшики Батыревкого района Чувашской Республики</t>
  </si>
  <si>
    <t>Строительство плоскостных спортивных сооружений на стадионе «Урожай» д. Асхва,  Канашского района Чувашской Республики</t>
  </si>
  <si>
    <t>Муниципальная программа "Развитие физической культуры и спорта в Канашском районе ЧР"</t>
  </si>
  <si>
    <t>д. Асхва, Канашского района</t>
  </si>
  <si>
    <t>Строительство конноспортивной школы</t>
  </si>
  <si>
    <t xml:space="preserve">Строительство лыжероллерной трассы - 1,5 км в ДОЛ «Космонавт», </t>
  </si>
  <si>
    <t>с. Шихазаны, Канашского района</t>
  </si>
  <si>
    <t>Строительство площадки для мини-футбола в АУ ДО «ДЮСШ им. Г.Н. Смирнова» д. Большие Бикшихи</t>
  </si>
  <si>
    <t xml:space="preserve">д. Большие Бикшихи, Канашского района </t>
  </si>
  <si>
    <t>Строительство футбольного поля</t>
  </si>
  <si>
    <t>Строительство спортивной базы для спорта высших достижений</t>
  </si>
  <si>
    <t>с. Комсомольское Комсомольского района</t>
  </si>
  <si>
    <t>Строительство стадиона-площадки по адресу: ЧР, Красноармейский район, с. Красноармейское, ул. Чапаева</t>
  </si>
  <si>
    <t>Строительство объекта "Открытый стадион широкого профиля с элементами полосы препятствий в г. Мариинский Посад Чувашской Республики"</t>
  </si>
  <si>
    <t>с. Моргауши Моргаушского района</t>
  </si>
  <si>
    <t>Строительство объекта "Стадион-площадка по пер. Школьный в с. Порецкое Порецкого района Чувашской Республики, 2 этап"</t>
  </si>
  <si>
    <t>Муниципальная программа "Развитие физической культуры и спорта в Порецком районе ЧР"</t>
  </si>
  <si>
    <t>с. Порецкое Порецкого района</t>
  </si>
  <si>
    <t>Капитальный ремонт МАУДО "ДЮСШ "Дельфин" Порецкого района Чувашской Республики, расположенного по адресу с. Порецкое, пер. Школьный, д.6</t>
  </si>
  <si>
    <t>Строительство объекта "Стадион-площадка по пер. Школьный в с. Порецкое Порецкого района Чувашской Республики, 1 этап"</t>
  </si>
  <si>
    <t>Строительство футбольного поля с искуственным покрытием в с. Порецкое стадион "Поречье"</t>
  </si>
  <si>
    <t>устройство навеса в каркасном исполнении над трибунами на стадионе "Поречье" в с. Порецкое 1 этап</t>
  </si>
  <si>
    <t>Устройство навеса в каркасном исполнении над трибунами на стадионе "Поречье" в с. Порецкое 2 этап</t>
  </si>
  <si>
    <t>Устройство навеса в каркасном исполнении над трибунами на стадионе "Поречье" в с. Порецкое 3 этап</t>
  </si>
  <si>
    <t>Капитальный ремонт подвального помещения  и чаши бассейна МАУДО "ДЮСШ "Дельфин" Порецкого района Чувашской Республики, расположенного по адресу с. Порецкое, пер. Школьный, д.6</t>
  </si>
  <si>
    <t>Строительство пришкольного стадиона в с. Семеновское Порецкого района</t>
  </si>
  <si>
    <t>с. Семеновское Порецкого района</t>
  </si>
  <si>
    <t>Строительство пришкольного стадиона в с. Анастасово Порецкого района</t>
  </si>
  <si>
    <t>с. Анастасово Порецкого района</t>
  </si>
  <si>
    <t>Строительство пришкольного стадиона в с. Напольное Порецкого района</t>
  </si>
  <si>
    <t>с. Напольное Порецкого района</t>
  </si>
  <si>
    <t>Строительство пришкольного стадиона в с. Кудеиха Порецкого района</t>
  </si>
  <si>
    <t>с. Кудеиха Порецкого района</t>
  </si>
  <si>
    <t>пгт. Урмары Урмарского района</t>
  </si>
  <si>
    <t xml:space="preserve">Разработка проекта и строительство спортивного комплекса с ледоаой ареной  в г. Цивильск </t>
  </si>
  <si>
    <t>Строительство объекта "Физкультурно-оздоровительный комплекс в с. Ишлеи Чебоксарского района Чувашской Республики"</t>
  </si>
  <si>
    <t>с. Ишлеи Чебоксарского района</t>
  </si>
  <si>
    <t>Строительство объекта "Стадион-площадка при муниципальном бюджетном общеобразовательном учреждении "Средняя общеобразовательная школа № 2"
г. Ядрин. Физкультурно-оздоровительный комплекс открытого типа"</t>
  </si>
  <si>
    <t>Капитальный ремонт стадиона «Труд» , расположенного по адресу г. Ядрин, ул. 30 лет Победы, д.11а</t>
  </si>
  <si>
    <t>Строительство стадиона-площадки</t>
  </si>
  <si>
    <t xml:space="preserve"> с. Яльчики Яльчикского района</t>
  </si>
  <si>
    <t xml:space="preserve">Реконструкция стадиона "Труд" по ул. Гончарова в г. Алатырь Чувашской Республики </t>
  </si>
  <si>
    <t>ПСД в стадии разработки (выполнены инженерные изыскания)</t>
  </si>
  <si>
    <t xml:space="preserve">Капитальный ремонт павильона-раздевальни на стадионе "Спутник" по ул. III Интернационала в г. Алатырь Чувашской Республики </t>
  </si>
  <si>
    <t>Капитальный ремонт здания МБОУ ДО "Детско-юношеская спортивная школа №1" в г. Алатырь Чувашской Рспублики</t>
  </si>
  <si>
    <t>Капитальный ремонт металлоконструкций здания АУ  ДОД "Физкультурно-спортивный комплекс" в г. Алатырь Чувашской Республики</t>
  </si>
  <si>
    <t>Реконструкция АУ Чувашской Республики ДОД "СДЮСШОР № 3" Минспорта Чувашии</t>
  </si>
  <si>
    <t xml:space="preserve">Реконструкция компрессорной станции под спортивно-оздоровительный комплекс по адресу: г. Новочебоксарск, ул. Ж. Крутовой, вл. 1А </t>
  </si>
  <si>
    <t>Строительство плоскостного стадиона, расположенного на территории МБОУ "СОШ № 8"</t>
  </si>
  <si>
    <t>Строительство крытого катка с искусственным льдом с трибуной на 250 мест в микрорайоне № 1 жилого района "Новый город" г. Чебоксары, поз. 1.25</t>
  </si>
  <si>
    <t>Реконструкция футбольного поля МБУДО "ДЮСШ "Энергия"</t>
  </si>
  <si>
    <t>Реконструкция стадиона «Волга» (г.Чебоксары, ул. Коллективная, 3)</t>
  </si>
  <si>
    <t>921 120 чел. в год</t>
  </si>
  <si>
    <t>Создание «Заволжского парка» при МБУ «Спортивная школа № 10» г. Чебоксары в поселке Сосновка</t>
  </si>
  <si>
    <t>321 000 чел. в год</t>
  </si>
  <si>
    <t>ФБ, РБ, МБ, И</t>
  </si>
  <si>
    <t>Строительство ФОКа в мкр. "Солнечный"</t>
  </si>
  <si>
    <t>Строительство ФОКа в мкр. "Садовый"</t>
  </si>
  <si>
    <t xml:space="preserve">Строительство спортивных площадок открытого типа (СОШ № 37,  СОШ № 40,  СОШ № 46,  Гиназия № 4,  СОШ № 55, СОШ № 19-СОШ № 36)
</t>
  </si>
  <si>
    <t>Общие сведения о коммерческих и инфраструктурных проектах, мероприятиях и показателях состояния отрасли Экология в Республике Чувашия</t>
  </si>
  <si>
    <t>Рекультивация земель, нарушенных при размещении свалки твердых коммунальных отходов в с.Аликово Аликовского района Чувашской Республики</t>
  </si>
  <si>
    <t>Региольный проект "Чистая страна" национального проекта "Экология"</t>
  </si>
  <si>
    <t>с.Аликово Аликовского района</t>
  </si>
  <si>
    <r>
      <t>Реконструкция очистных сооружений биологической очистки мощностью до 400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 xml:space="preserve">/сут. в с. Аликово Аликовского района </t>
    </r>
  </si>
  <si>
    <t>Региольный проект "Оздоровление Волги" национального проекта "Экология"</t>
  </si>
  <si>
    <t xml:space="preserve"> с. Аликово Аликовского района </t>
  </si>
  <si>
    <r>
      <t>до 400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</t>
    </r>
  </si>
  <si>
    <t xml:space="preserve">Замещение в охотничьих угодьях дикого кабана альтернативными видами копытных животных </t>
  </si>
  <si>
    <t>Государственная программа Чувашской Республики  "Развитие потенциала природно-сырьевых ресурсов и обеспечение экологической безопасности"</t>
  </si>
  <si>
    <t>не требуется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</si>
  <si>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пгт. Вурнары в рамках реализации мероприятий по сокращению доли загрязненных сточных вод</t>
  </si>
  <si>
    <t>пгт. Вурнары Вурнарского района</t>
  </si>
  <si>
    <t>1800 куб. м/сут</t>
  </si>
  <si>
    <t>Капитальный ремонт гидротехнического сооружения, находящегося на реке Санарка в 460 м по направлению на запад от ориентира д. Хирпоси</t>
  </si>
  <si>
    <t>Проектные работы не завершены</t>
  </si>
  <si>
    <t>Создание  семеноводческого центра на базе БУ ЧР "Канашское лесничество" Минприроды Чувашии</t>
  </si>
  <si>
    <t>Рекультивация земель, нарушенных при размещении свалки твердых коммунальных отходов в  г.Канаш</t>
  </si>
  <si>
    <t>г.Канаш</t>
  </si>
  <si>
    <t>8,565 га нарушенных земель</t>
  </si>
  <si>
    <t>1,612  тыс. человек</t>
  </si>
  <si>
    <t xml:space="preserve">Рекультивация свалки твердых бытовых отходов </t>
  </si>
  <si>
    <t>2,6 га</t>
  </si>
  <si>
    <t>18,2 тыс. чел.</t>
  </si>
  <si>
    <t>12,6 га нарушенных земель</t>
  </si>
  <si>
    <t>Реконструкция очистных сооружений АУ «ФОЦ «Белые камни» Минспорта Чувашии</t>
  </si>
  <si>
    <t xml:space="preserve">Строительство биологических очистных сооружений в г. Мариинский Посад </t>
  </si>
  <si>
    <t>Рекультивация полигона твердых бытовых отходов</t>
  </si>
  <si>
    <t>3,8  га нарушенных земель</t>
  </si>
  <si>
    <t>Строительство объекта «Полигон твердых бытовых отходов  близ д. Ивановка  Моргаушского района Чувашской Республики»</t>
  </si>
  <si>
    <t>Региональный проект «Комплексная система обращения с твердыми коммунальными отходами», НП«Экология»</t>
  </si>
  <si>
    <t>Требуется корректировка ПСД</t>
  </si>
  <si>
    <t>Строительство противопожарного пруда в с.Сыреси  Порецкого района Чувашской Республики</t>
  </si>
  <si>
    <t>с.Сыреси Порецкого района Чувашской Республики</t>
  </si>
  <si>
    <t>3000 куб. м</t>
  </si>
  <si>
    <t>Разработка ПСД на капремонт ГТС у с.Сыреси Порецкого района Чувашской Республики</t>
  </si>
  <si>
    <t>Капитальный ремонт ГТС у с.Сыреси Порецкого района Чувашской Республики</t>
  </si>
  <si>
    <t>ФБ,РБ</t>
  </si>
  <si>
    <t xml:space="preserve">Проектирование противооползневых работ берегоукрепительных сооружений на левобережье р. Суры </t>
  </si>
  <si>
    <t>с.Порецкое Порецкого района Чувашской Республики</t>
  </si>
  <si>
    <t xml:space="preserve">Строительство берегоукрепительных сооружений и проведение противооползневых работ на левобережье р. Суры </t>
  </si>
  <si>
    <t xml:space="preserve">Реконструкция действующих очистных сооружений п. Урмары </t>
  </si>
  <si>
    <t xml:space="preserve">Рекультивация Цивильской районной санкционированной свалки </t>
  </si>
  <si>
    <t xml:space="preserve"> федеральный проект "Чистая страна"  (национальный проект "Экология")</t>
  </si>
  <si>
    <t>Подготовка декларации безопасности на гидротехническое сооружение</t>
  </si>
  <si>
    <t>подпрограммы «Развитие водохозяйственного комплекса Чувашской Республики» 
государственной программы Чувашской Республики «Развитие потенциала природно-сырьевых ресурсов и обеспечение 
экологической безопасности»</t>
  </si>
  <si>
    <t>Строительство приюта для животных без владельцев (кошек и собак)</t>
  </si>
  <si>
    <t>Строительство и оборудование площадок для раздельного сбора отходов</t>
  </si>
  <si>
    <t>Региональная програма "Модернизация и развитие сферы жилищно-коммунального хозяйства"</t>
  </si>
  <si>
    <t>1,9  га нарушенных земель</t>
  </si>
  <si>
    <t>Создание всесезонного тепличного комплекса для выращивания стандартного посадочного материала с закрытой корневой системой на базе БУ ЧР "Ядринское лесничество" Минприроды Чувашии</t>
  </si>
  <si>
    <t>типовой проект</t>
  </si>
  <si>
    <t>Реконструкция биологических очистных сооружений в г. Ядрин 4200 куб. м/сут.</t>
  </si>
  <si>
    <t>4200 куб. м/сутки</t>
  </si>
  <si>
    <t>1,833  га нарушенных земель</t>
  </si>
  <si>
    <t>Рекультивация земель, нарушенных при размещении свалки твердых коммунальных отходов в с. Яльчики Яльчикского района Чувашской Республики</t>
  </si>
  <si>
    <t xml:space="preserve">с. Яльчики Яльчикского района </t>
  </si>
  <si>
    <t>0,884   га нарушенных земель</t>
  </si>
  <si>
    <t>Защита территории г. Алатыря от негативного воздействия паводковых вод</t>
  </si>
  <si>
    <t>Строительство станции переработки мусора с рекультивацией полигона твердых бытовых отходов</t>
  </si>
  <si>
    <t>140 куб. м/сутки</t>
  </si>
  <si>
    <t xml:space="preserve">Необходимость ПСД </t>
  </si>
  <si>
    <t>Создание Экотехнопарка -системы глубокой переработки отходов</t>
  </si>
  <si>
    <t>г.Новочебоксарск</t>
  </si>
  <si>
    <t>ПСД отсутствует</t>
  </si>
  <si>
    <t xml:space="preserve">Рекультивация шламонакопителей № 5 и № 10 ГУП «БОС» Минстроя Чувашии (г. Новочебоксарск). </t>
  </si>
  <si>
    <t xml:space="preserve">г. Новочебоксарск </t>
  </si>
  <si>
    <t xml:space="preserve">Строительство ливневых очистных сооружений на нижней Набережной в районе ул. Жени Крутовой г. Новочебоксарск </t>
  </si>
  <si>
    <t xml:space="preserve">Реконструкция ливневых очистных сооружений на нижней Набережной в районе ул. Винокурова г. Новочебоксарск </t>
  </si>
  <si>
    <t>Реконструкция аэротенка-смесителя секции «А» ГУП «БОС» Минстроя Чувашии
 (г. Новочебоксарск)</t>
  </si>
  <si>
    <t>Требуется корректировка
ПСД</t>
  </si>
  <si>
    <t>Строительство объекта «Шламонакопитель №12А ГУП «БОС» Минстроя Чувашии 
(г. Новочебоксарск)</t>
  </si>
  <si>
    <t>Строительство объекта «Выпускной коллектор в р. Волга» 
(г. Новочебоксарск)</t>
  </si>
  <si>
    <r>
      <t>Реконструкция объектов биологических очистных сооружений производительностью 110 тыс.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/сут. 
(II очередь)
 (г. Новочебоксарск)</t>
    </r>
  </si>
  <si>
    <r>
      <t>110 тыс.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/сут.</t>
    </r>
  </si>
  <si>
    <t>Строительство объекта "Ливневые очистные сооружения мкр. "Грязевская стрелка"</t>
  </si>
  <si>
    <t>932 куб. м/сутки</t>
  </si>
  <si>
    <t>Строительство ливневых очистных сооружений в районе ул. Якимовская</t>
  </si>
  <si>
    <t>376 куб. м/сутки</t>
  </si>
  <si>
    <t>Строительство ливневых очистных сооружений в мкр. "Новый город"</t>
  </si>
  <si>
    <t>4320 куб. м/сутки</t>
  </si>
  <si>
    <t>Строительство очистных сооружений ливневых стоков на р. Трусиха в парке "Лакреевский лес" с подключением существующего коллектора</t>
  </si>
  <si>
    <t>Строительство ливневых очистных сооружений в районе Марпосадского шоссе</t>
  </si>
  <si>
    <t xml:space="preserve">Региональный проект "Чистая вода" национального проекта "Оздоровление Волги" </t>
  </si>
  <si>
    <t>Строительство ливневых очистных сооружений в мкр. "Акварель"</t>
  </si>
  <si>
    <t>Строительство снегоплавильной станции в городе Чебоксары</t>
  </si>
  <si>
    <t>3500 л/сут</t>
  </si>
  <si>
    <t>Строительство очистных сооружений водовыпусков на малых реках города Чебоксары</t>
  </si>
  <si>
    <t>Общие сведения о коммерческих и инфраструктурных проектах, мероприятиях и показателях состояния отрасли Энергетика в Республике Чувашия</t>
  </si>
  <si>
    <t>Газификация с. Чуварлеи по ул.Лесная, Семенова, Сосновая, Новая, Мирная, Ягодная, Вишневая, Луговая</t>
  </si>
  <si>
    <t>Ремонт ВЛ-0,4кВ от КТП №503 по ул. 60 лет Октября в с. Аликово (муниципальная собственность).</t>
  </si>
  <si>
    <t>1,511км</t>
  </si>
  <si>
    <t>РБ (3818,297 тыс. руб.),
МБ (200,963 тыс. руб.)</t>
  </si>
  <si>
    <t>Ремонт ВЛ-0,4Кв от КТП №375 «СХТ» по ул. Гагарина и Цветочная в с. Аликово  
(муниципальная собственность).</t>
  </si>
  <si>
    <t>3,270 км</t>
  </si>
  <si>
    <t>РБ (8266,29тыс. руб.),
МБ (431,91 тыс. руб.)</t>
  </si>
  <si>
    <t>Ремонт ВЛ-0,4Кв от ЗТП №316 «Чапаева» по ул. Чапаева в с. Аликово (муниципальная собственность)</t>
  </si>
  <si>
    <t>РБ (3790,5 тыс. руб.),
МБ (199,5 тыс. руб.)</t>
  </si>
  <si>
    <t>Замена ЗТП, ремонт здания ТП №485 «Милиция»</t>
  </si>
  <si>
    <t>400 кВт</t>
  </si>
  <si>
    <t>РБ (1377,5 тыс. руб.),
МБ (72,5 тыс. руб.)</t>
  </si>
  <si>
    <t>Строительство линии электроснабжения, наружного освещения улицы Набережная  в д. Ходяково, где предоставлены земельные участки под строительство жилья многодетным семьям</t>
  </si>
  <si>
    <t>д. Ходяково Аликовского района</t>
  </si>
  <si>
    <t>РБ 3082,94 тыс. руб.),
МБ (162,26 тыс. руб.)</t>
  </si>
  <si>
    <t>Строительство линии электроснабжения, наружного освещения улицы в поселке Дубовский, где предоставлены земельные участки под строительство жилья многодетным семьям</t>
  </si>
  <si>
    <t>п. Дубовский Аликовского района</t>
  </si>
  <si>
    <t>0,6км</t>
  </si>
  <si>
    <t>РБ (1516,2 тыс. руб.),
МБ (79,8 тыс. руб.)</t>
  </si>
  <si>
    <t>Электроснабжение микрорайона "Южный" в с. Батырево Батыревского района</t>
  </si>
  <si>
    <t>«Комплексная компактная застройка микрорайона «Южный» в с. Шыгырдан Батыревского района Чувашской Республики. Электроснабжение, газоснабжение»</t>
  </si>
  <si>
    <t>с. Шыгырдан Батыревского района</t>
  </si>
  <si>
    <t xml:space="preserve">Электроснабжение от пгт. Вурнары до полигона ТБО </t>
  </si>
  <si>
    <t xml:space="preserve">Региональный проект "Модернизация объектов жилищно-коммунальной инфраструктуры" </t>
  </si>
  <si>
    <t>Закупка комплекса учета электроэнергии</t>
  </si>
  <si>
    <t>Прибыль направленная на инвестиции, амортизация</t>
  </si>
  <si>
    <t>Реконструкция линий электроснабжения протяженностью 6,4 км с заменой светильников уличного освещения с существующих на светодиодные с установкой автоматического управления</t>
  </si>
  <si>
    <t>протяженность 6,4 км</t>
  </si>
  <si>
    <t>Реконструкция трансформаторных подстанций в количестве 6 шт.</t>
  </si>
  <si>
    <t>6 шт</t>
  </si>
  <si>
    <t>Замена изношенного оборудования и модернизация</t>
  </si>
  <si>
    <t>Замена счетчиков на интерактивные</t>
  </si>
  <si>
    <t>Реконструкция ВЛ – 0,4 в п.Долгая Поляна</t>
  </si>
  <si>
    <t>Замена основных трансформаторов ТП; ЗТП в с.Порецкое (9 шт.)</t>
  </si>
  <si>
    <t>Строительство линий электропередач для участков, предоставленных многодетным семьям</t>
  </si>
  <si>
    <t>3,7 км</t>
  </si>
  <si>
    <t>Модернизация тепловой сети мкр. Стрелка с устройством блочно-модульных</t>
  </si>
  <si>
    <t>Котельная №1 - 15 МВт, №2 - 8 МВт, протяженность тепловой сети - 9,4 км, сетей ГВС - 3,3 км</t>
  </si>
  <si>
    <t>Модернизация тепловой сети "Центр" с устройством блочно-модульных</t>
  </si>
  <si>
    <t>Котельная №1 - 12 МВт, №2 - 10 МВт, протяженность тепловой сети - 13,25 км, сетей ГВС - 3,15 км</t>
  </si>
  <si>
    <t>Модернизация оборудования котельной №12</t>
  </si>
  <si>
    <t>3,6 МВт, реконструкция тепловых сетей 1,4 км</t>
  </si>
  <si>
    <t>Модернизация оборудования котельной №7</t>
  </si>
  <si>
    <t>2,0 МВт, реконструкция тепловых сетей 1,6 км</t>
  </si>
  <si>
    <t>Модернизация оборудования котельной №3</t>
  </si>
  <si>
    <t>3,0 МВт, реконструкция тепловых сетей 1,37 км</t>
  </si>
  <si>
    <t>Проектирование и строительство БМК с заменой сетей теплоснабжения и ГВС</t>
  </si>
  <si>
    <t>31,2 МВт</t>
  </si>
  <si>
    <t xml:space="preserve">РБ+МБ </t>
  </si>
  <si>
    <t>Проектирование и строительство водоводов от Сурского водозабора до ВОС, реконструкция водозаборных сооружений и сетей водоснабжения</t>
  </si>
  <si>
    <t>Проектирование и реконструкция очистных сооружений канализации и водоочистной станции, сетей водоотведения</t>
  </si>
  <si>
    <t>Обустройство уличного освещения</t>
  </si>
  <si>
    <t>5,1 км</t>
  </si>
  <si>
    <t>Общие сведения о коммерческих и инфраструктурных проектах, мероприятиях и показателях состояния прочих отраслей в Республике Чувашия</t>
  </si>
  <si>
    <t>Региональная програма «Переселение граждан из аварийного жилищного фонда, расположенного на территории Чувашской Республики»</t>
  </si>
  <si>
    <t>Канашский район, д. Кармамеи</t>
  </si>
  <si>
    <t xml:space="preserve">Улучшение жилищных условий малоимущих семей </t>
  </si>
  <si>
    <t>Переселение граждан из аварийного жилищного фонда, расположенного на территории Козловского района Чувашской Республики, признанного таковым после  01.01.2017 года</t>
  </si>
  <si>
    <t>Общая площадь МКД подлежащая расселению - 9098,3 кв. м</t>
  </si>
  <si>
    <t>Реализация программы «Формирование современной городской среды Козловского района Чувашской Республики»</t>
  </si>
  <si>
    <t>Строительство стационарной причальной стенки для приема туристических теплоходов на реке Волга</t>
  </si>
  <si>
    <t>Расширение кладбища</t>
  </si>
  <si>
    <t>5,4 га</t>
  </si>
  <si>
    <t>Содержание городской санкционированной свалки</t>
  </si>
  <si>
    <t>5,6 га</t>
  </si>
  <si>
    <t>Строительство гидротехнического сооружения на реке Бюрженерка в д. Новые Бюрженеры Канашского района Чувашской Республики</t>
  </si>
  <si>
    <t>д. Новые Бюрженеры Канашского района</t>
  </si>
  <si>
    <t>Проектные работы на начальной стадии (цена ПСД 1,5 млн.руб. + экспертиза 400 тыс.руб.)</t>
  </si>
  <si>
    <t>Капитальный ремонт автомобильной дороги «Шихазаны-Калинино»-Малое Тугаево-выс. Чинквары с км 3+100 по км 7+600</t>
  </si>
  <si>
    <t>4,500 км</t>
  </si>
  <si>
    <t>Строительство автомобильной дороги от ул. Гагарина в д. Каликово – д. Сядорга Сирмы  ул. Карла Маркса Канашского района Чувашской  Республики</t>
  </si>
  <si>
    <t>1,500 км</t>
  </si>
  <si>
    <t>Газоснабжение микрорайона "Южный" с. Батырево</t>
  </si>
  <si>
    <t>8,4 км</t>
  </si>
  <si>
    <t>Строительство поликлиники по адресу ***</t>
  </si>
  <si>
    <t>Водоснабжение микрорайона "Южный" с. Батырево</t>
  </si>
  <si>
    <t>Водоотведение микрорайона "Южный"       с. Батырево</t>
  </si>
  <si>
    <t>8,5 км</t>
  </si>
  <si>
    <t>Электроснабжение микрорайона "Южный" с. Батырево</t>
  </si>
  <si>
    <t>Улично-дорожная сеть микрорайона "Южный" с. Батырево</t>
  </si>
  <si>
    <t>Газификация населенного пункта Выселок Кибечи в Чагасьском сельском поселении Канашского района</t>
  </si>
  <si>
    <t>РБ, на изготовление ПСД</t>
  </si>
  <si>
    <t>Разработка проекта и строительство врачебной  амбулатории в с. Чурачики</t>
  </si>
  <si>
    <t>Национальный проект "Здравоохранение", региональный проект "Развитие системы оказания первичной медико-санитарной помощи"</t>
  </si>
  <si>
    <t>Строительство ФАПов (Ст.Тугаево, Елюккасы, Елаши, Липсеры)</t>
  </si>
  <si>
    <t>4 объекта
на 90 пос. в смену</t>
  </si>
  <si>
    <t>Строительство центра трассовой медицины и оперативной медицинской помощи в г. Цивильск (с вертолетной площадкой)</t>
  </si>
  <si>
    <t>Строительство сельского Дома культуры на 100 мест в с. Старые Айбеси</t>
  </si>
  <si>
    <t>Капитальный ремонт СДК выселок Кармамеи Чагасьского сельского поселения Канашского района</t>
  </si>
  <si>
    <t>Строительство комплекса Яльчикского районного историко-краеведческого музея в с. Яльчики</t>
  </si>
  <si>
    <t>с. Яльчики Яльчикского района</t>
  </si>
  <si>
    <t>Капитальный ремонт Тюмеревского дома культуры МБУК «ЦКС Янтиковского района Чувашской Республики</t>
  </si>
  <si>
    <t>Государственная программа Чувашской Республики "Развитие культуры и туризма"</t>
  </si>
  <si>
    <t>д. Тюмерево</t>
  </si>
  <si>
    <t xml:space="preserve">Строительство средней школы в селе Чуварлей на 300 мест </t>
  </si>
  <si>
    <t xml:space="preserve">300 мест </t>
  </si>
  <si>
    <t>Строительство детского сада в                     мкр. "Радужный"</t>
  </si>
  <si>
    <t>Строительство детского сада в                     мкр. "Альгешево"</t>
  </si>
  <si>
    <t>Строительство детского сада в мкр. "Благовещенский"</t>
  </si>
  <si>
    <t>Строительство детского сада в мкр. "Лента"</t>
  </si>
  <si>
    <t>110 мест</t>
  </si>
  <si>
    <t>Строительство детского сада в мкр. "Университетский-2"</t>
  </si>
  <si>
    <t>Строительство детского сада в мкр. "Солнечный"</t>
  </si>
  <si>
    <t>Строительство школы в мкр. "Садовый"</t>
  </si>
  <si>
    <t>Строительство стадиона МБОУ 
«Лащ-Таябинская СОШ им. В.В.Андреева» с. Лащ-Таяба</t>
  </si>
  <si>
    <t>Строительство ледового дворца 
с. Яльчики</t>
  </si>
  <si>
    <t>Капитальный ремонт здания МАУ ДО "ДЮСШ-ФСК "Аль" по улице Чапаева, д.20 в с. Янтиково Янтиковского района Чувашской Республики</t>
  </si>
  <si>
    <t>Государственная программа Чувашской Республики «Развитие физической культуры и спорта»</t>
  </si>
  <si>
    <t>Строительство футбольного поля по ул.Чапаева д.20 с. Янтиково Янтиковского района Чувашской Республики</t>
  </si>
  <si>
    <t>Проектирование и строительство противооползневых и берегоукрепительных сооружений Московской набережной города Чебоксары</t>
  </si>
  <si>
    <t xml:space="preserve"> Необходима разработка ПСД</t>
  </si>
  <si>
    <t>Реконструкция тепловых сетей от котельной 4-С с целью перехода с открытой системы теплоснабжения на закрытую</t>
  </si>
  <si>
    <t>Реконструкция тепловых сетей от ТЭЦ-2 с целью перехода с открытой системы теплоснабжения на закрытую</t>
  </si>
  <si>
    <t>Реконструкция тепловых сетей с целью переключения потребителей от котельных 33-М, 34-М на котельную 4-С</t>
  </si>
  <si>
    <t>Реконструкция тепловых сетей от котельной 1-З</t>
  </si>
  <si>
    <t>Реконструкция я тепловых сетей от котельной 2-З</t>
  </si>
  <si>
    <t>Реконструкция тепловых сетей от котельной 3-З</t>
  </si>
  <si>
    <t>Реконструкция тепловых сетей от котельной 4-З</t>
  </si>
  <si>
    <t>Строительство блочно-модульной котельной Б, Карачуры</t>
  </si>
  <si>
    <t>0,4 МВт</t>
  </si>
  <si>
    <t>Строительство блочно модульной котельной Опытный Лесхоз</t>
  </si>
  <si>
    <t>0,5 мВт</t>
  </si>
  <si>
    <t>Строительство блочно-модульной котельной РЖД</t>
  </si>
  <si>
    <t>0,62 мВт</t>
  </si>
  <si>
    <t>Реконструкция котельной 25-Ю</t>
  </si>
  <si>
    <t>14 мВт</t>
  </si>
  <si>
    <t>Реконструкция котельной 1-К</t>
  </si>
  <si>
    <t>34,98 мВт</t>
  </si>
  <si>
    <t>Реконструкция котельной 7-К</t>
  </si>
  <si>
    <t>69,78 мВт</t>
  </si>
  <si>
    <t>Реконструкция котельной 86-К</t>
  </si>
  <si>
    <t>33,29 мВт</t>
  </si>
  <si>
    <t>Реконструкция котельной 7-М</t>
  </si>
  <si>
    <t>5,8 мВт</t>
  </si>
  <si>
    <t>Реконструкция котельной 1-З</t>
  </si>
  <si>
    <t>2 мВт</t>
  </si>
  <si>
    <t>Реконструкция котельной 2-З</t>
  </si>
  <si>
    <t>6 мВт</t>
  </si>
  <si>
    <t>Реконструкция котельной 4-З</t>
  </si>
  <si>
    <t>Реконструкция котельной 28-Ц с установкой БМК</t>
  </si>
  <si>
    <t>0,6 мВт</t>
  </si>
  <si>
    <t>Реконструкция котельной 12-К с установкой БМК</t>
  </si>
  <si>
    <t>1,2 мВт</t>
  </si>
  <si>
    <t>Реконструкция котельной 25-М с установкой БМК</t>
  </si>
  <si>
    <t>3,5 мВт</t>
  </si>
  <si>
    <t>Реконструкция тепловой сети от ТК 26-Г до ТК-10К г. Чебоксары ул. Унивеситетская</t>
  </si>
  <si>
    <t>Реконструкция тепловых сетей от ТК-4Г до ТК-5Г г. Чебоксары, ул. М. Горького</t>
  </si>
  <si>
    <t>Реконструкция тепловых сетей от ТК-5Г до ТК-7Г г. Чебоксары, ул. М. Горького</t>
  </si>
  <si>
    <t>Реконструкция тепловых сетей от ТК-6М  до ТК-7М г. Чебоксары, ул. М. Павлова</t>
  </si>
  <si>
    <t>Реконструкция тепловых сетей от ТК-7а до ТК-9а г. Чебоксары, М. Горького</t>
  </si>
  <si>
    <t>Реконструкция и модернизация существующих тепловых сетей с целью перехода с 4-х трубной и открытой системы теплоснабжения на 2-х трубную закрытую независимую схему с заменых узлов учета тепловой энергии и установкой пластинчатых теплообменных аппаратов на систему отопления и ГВС у потребителей тепловой энергии</t>
  </si>
  <si>
    <t>Разработка ПСД</t>
  </si>
  <si>
    <t>Реконструкция мазутохранилища на котельной 5-С, с переводом на дизельное топливо</t>
  </si>
  <si>
    <t>Капитальный ремонт водовода 2d=1000 мм от  ул.Лебедева, 64 до б-р Юности (клиника "Северная") г.Чебоксары</t>
  </si>
  <si>
    <t>100 тыс. куб.м. в сутки</t>
  </si>
  <si>
    <t>Капитальный ремонт водовода d=900 мм от ул.Пирогова до ул. Петрова г.Чебоксары</t>
  </si>
  <si>
    <t>60 тыс. куб.м. в сутки</t>
  </si>
  <si>
    <t>Капитальный ремонт водовода диаметром 600 мм от Монолитстроя до Марпосадского шоссе г. Чебоксары.</t>
  </si>
  <si>
    <t>40 тыс. куб.м. в сутки</t>
  </si>
  <si>
    <t>Реконструкция водовода диаметром 800 мм от ТРЦ Мадагаскара до пр.Машиностроителей г. Чебоксары.</t>
  </si>
  <si>
    <t>Строительство сетей  водоснабжения в районах индивидуальной застройки города Чебоксары</t>
  </si>
  <si>
    <t>2019-2025</t>
  </si>
  <si>
    <t>Капитальный ремонт «Главного» канализационного коллектора   в г.Чебоксары</t>
  </si>
  <si>
    <t>120 тыс. куб.м. в сутки</t>
  </si>
  <si>
    <t>Капитальный ремонт канализационного промколлектора №1А в г.Чебоксары</t>
  </si>
  <si>
    <t>Капитальный ремонт канализационных коллекторов</t>
  </si>
  <si>
    <t>240 тыс. куб.м. в сутки</t>
  </si>
  <si>
    <t>Строительство сетей  водоотведения в районах индивидуальной застройки города Чебоксары</t>
  </si>
  <si>
    <t>Реконструкция и модернизация электросетевого хозяйства города Чебоксары</t>
  </si>
  <si>
    <t xml:space="preserve">Строительство многофункционального центра культуры и досуга в новом микрорайоне «Заволжье» 
</t>
  </si>
  <si>
    <t>площадь 4 000 кв. м. на 300 мест</t>
  </si>
  <si>
    <t xml:space="preserve">Строительство многофункционального центра культуры и досуга в новом микрорайоне «Садовый» 
</t>
  </si>
  <si>
    <t>площадь 7 000 кв. м. на мест 500</t>
  </si>
  <si>
    <t>площадь не менее 1 000 кв. м. на 500 мест</t>
  </si>
  <si>
    <t>площадь не менее 1 000 кв. м. на 600 мест</t>
  </si>
  <si>
    <t xml:space="preserve">Строительство планетария-кванториума
</t>
  </si>
  <si>
    <t xml:space="preserve">площадь примерно 4 000 кв. м. </t>
  </si>
  <si>
    <t>Капитальный рмонт 17  филиалов библиотечной сети по созданию модельных библиотек г.Чебоксары</t>
  </si>
  <si>
    <t xml:space="preserve">требуется разработка ПСД, смет </t>
  </si>
  <si>
    <t xml:space="preserve"> Капитальный ремонт здания ДК им. П.Хузангая МБУК "МК "Победа"</t>
  </si>
  <si>
    <t xml:space="preserve"> Капитальный ремонт здания МБУК "ДК "Салют"</t>
  </si>
  <si>
    <t>ПСД имеется на 16330,8, Требуется разработка ПСД на сумму 156050,0</t>
  </si>
  <si>
    <t>Капитальный ремонт ДК "Ровесник"</t>
  </si>
  <si>
    <t xml:space="preserve"> Капитальный ремонт здания МБУК "ДК "Акация"</t>
  </si>
  <si>
    <t>ПСД имеется на 2246,0 т.р., требуется разработка на 43368,0 т.р.</t>
  </si>
  <si>
    <t>МБУДО "ЧДМШ №1" Капитальный ремонт внутренних помещений</t>
  </si>
  <si>
    <t>ПСД имеется на 3651,7</t>
  </si>
  <si>
    <t>МБУДО "ЧДМШ №2" Капитальный ремонт внутренних помещений</t>
  </si>
  <si>
    <t>МБУДО "ЧДМШ №3" Капитальный ремонт внутренних помещений и ремонт фасада</t>
  </si>
  <si>
    <t xml:space="preserve">Капитальный ремонт МБУДО "ЧДМШ №5" </t>
  </si>
  <si>
    <t xml:space="preserve">Капитальный ремонт МБУДО "ЧДХШ №4" </t>
  </si>
  <si>
    <t xml:space="preserve">Капитальный ремонт МБУДО "ЧДХШ №6" </t>
  </si>
  <si>
    <t>2021; 2024</t>
  </si>
  <si>
    <t>ПСД имеется на 2362,4т.р.</t>
  </si>
  <si>
    <t>МБУДО "ЧДХШИ" Разработка ПСД и текущий ремонт помещений школы</t>
  </si>
  <si>
    <t>требуется разработка ПСД - 1000,0т.р.</t>
  </si>
  <si>
    <t>МБУДО "ЧДШИ №1" облицовка фасада</t>
  </si>
  <si>
    <t>2021;2023</t>
  </si>
  <si>
    <t xml:space="preserve">Реконструкция МБУДО "ЧДШИ №3" </t>
  </si>
  <si>
    <t>Капитальный ремонт МБУДО "ЧДШИ №4"</t>
  </si>
  <si>
    <t>2022;2024</t>
  </si>
  <si>
    <t>разработка ПСД требуется</t>
  </si>
  <si>
    <t xml:space="preserve">Реконструкция МБУДО "ШИ п.Н.Лапсары" </t>
  </si>
  <si>
    <t>2022;2024-2025</t>
  </si>
  <si>
    <t>требуется разработка ПСД - 500,0т.р.</t>
  </si>
  <si>
    <t>Строительство СОШ в мкр."Благовещенский"</t>
  </si>
  <si>
    <t>Приложение 5.</t>
  </si>
  <si>
    <t>Объемы и источники финансирования инфраструктурных и социальных проектов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</si>
</sst>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0.000"/>
    <numFmt numFmtId="168" formatCode="#,##0.0"/>
    <numFmt numFmtId="169" formatCode="#,##0.000"/>
    <numFmt numFmtId="170" formatCode="[$-419]General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9" fillId="20" borderId="5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164" fontId="5" fillId="0" borderId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6" fillId="26" borderId="0" applyNumberFormat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vertical="center"/>
    </xf>
    <xf numFmtId="2" fontId="25" fillId="0" borderId="1" xfId="0" applyNumberFormat="1" applyFont="1" applyBorder="1" applyAlignment="1">
      <alignment horizontal="right" vertical="center"/>
    </xf>
    <xf numFmtId="2" fontId="3" fillId="0" borderId="0" xfId="0" applyNumberFormat="1" applyFont="1"/>
    <xf numFmtId="2" fontId="4" fillId="24" borderId="1" xfId="0" applyNumberFormat="1" applyFont="1" applyFill="1" applyBorder="1" applyAlignment="1">
      <alignment horizontal="right" vertical="center"/>
    </xf>
    <xf numFmtId="0" fontId="24" fillId="24" borderId="1" xfId="0" applyFont="1" applyFill="1" applyBorder="1" applyAlignment="1">
      <alignment horizontal="center" wrapText="1"/>
    </xf>
    <xf numFmtId="2" fontId="25" fillId="24" borderId="1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4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3" fillId="25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7" fontId="3" fillId="0" borderId="0" xfId="0" applyNumberFormat="1" applyFont="1"/>
    <xf numFmtId="0" fontId="35" fillId="0" borderId="1" xfId="0" applyFont="1" applyBorder="1" applyAlignment="1">
      <alignment horizontal="center" vertical="center" wrapText="1"/>
    </xf>
    <xf numFmtId="168" fontId="36" fillId="0" borderId="1" xfId="0" applyNumberFormat="1" applyFont="1" applyBorder="1" applyAlignment="1">
      <alignment horizontal="center" vertical="center" wrapText="1"/>
    </xf>
    <xf numFmtId="0" fontId="36" fillId="0" borderId="0" xfId="0" applyFont="1"/>
    <xf numFmtId="168" fontId="31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168" fontId="36" fillId="0" borderId="13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168" fontId="37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6" fillId="0" borderId="1" xfId="0" applyNumberFormat="1" applyFont="1" applyBorder="1" applyAlignment="1">
      <alignment horizontal="center" vertical="center" wrapText="1"/>
    </xf>
    <xf numFmtId="169" fontId="31" fillId="0" borderId="1" xfId="0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169" fontId="36" fillId="0" borderId="0" xfId="0" applyNumberFormat="1" applyFont="1" applyAlignment="1">
      <alignment horizontal="center" vertical="center" wrapText="1"/>
    </xf>
    <xf numFmtId="168" fontId="36" fillId="0" borderId="0" xfId="0" applyNumberFormat="1" applyFont="1" applyAlignment="1">
      <alignment horizontal="center" vertical="center" wrapText="1"/>
    </xf>
    <xf numFmtId="169" fontId="36" fillId="0" borderId="1" xfId="0" applyNumberFormat="1" applyFont="1" applyBorder="1" applyAlignment="1">
      <alignment horizontal="center" vertical="center" wrapText="1"/>
    </xf>
    <xf numFmtId="2" fontId="36" fillId="0" borderId="0" xfId="0" applyNumberFormat="1" applyFont="1"/>
    <xf numFmtId="0" fontId="3" fillId="0" borderId="1" xfId="0" applyFont="1" applyBorder="1" applyAlignment="1">
      <alignment horizontal="center"/>
    </xf>
    <xf numFmtId="168" fontId="3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6" fillId="25" borderId="18" xfId="0" applyNumberFormat="1" applyFont="1" applyFill="1" applyBorder="1" applyAlignment="1">
      <alignment horizontal="center" vertical="center" wrapText="1"/>
    </xf>
    <xf numFmtId="166" fontId="36" fillId="25" borderId="18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0" fontId="39" fillId="0" borderId="22" xfId="0" applyNumberFormat="1" applyFont="1" applyBorder="1" applyAlignment="1">
      <alignment horizontal="center"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70" fontId="31" fillId="0" borderId="22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1" fillId="0" borderId="0" xfId="0" applyFont="1"/>
    <xf numFmtId="0" fontId="40" fillId="0" borderId="1" xfId="0" applyFont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/>
    </xf>
    <xf numFmtId="2" fontId="3" fillId="25" borderId="1" xfId="0" applyNumberFormat="1" applyFont="1" applyFill="1" applyBorder="1" applyAlignment="1">
      <alignment horizontal="center" vertical="center" wrapText="1"/>
    </xf>
    <xf numFmtId="168" fontId="3" fillId="25" borderId="1" xfId="0" applyNumberFormat="1" applyFont="1" applyFill="1" applyBorder="1" applyAlignment="1">
      <alignment horizontal="center" vertical="center" wrapText="1"/>
    </xf>
    <xf numFmtId="3" fontId="3" fillId="25" borderId="1" xfId="0" applyNumberFormat="1" applyFont="1" applyFill="1" applyBorder="1" applyAlignment="1">
      <alignment horizontal="center" vertical="top"/>
    </xf>
    <xf numFmtId="3" fontId="3" fillId="25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166" fontId="39" fillId="0" borderId="14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31" fillId="25" borderId="1" xfId="0" applyFont="1" applyFill="1" applyBorder="1" applyAlignment="1">
      <alignment horizontal="center" vertical="center"/>
    </xf>
    <xf numFmtId="166" fontId="31" fillId="25" borderId="1" xfId="0" applyNumberFormat="1" applyFont="1" applyFill="1" applyBorder="1" applyAlignment="1">
      <alignment horizontal="center" vertical="center" wrapText="1"/>
    </xf>
    <xf numFmtId="2" fontId="31" fillId="25" borderId="1" xfId="0" applyNumberFormat="1" applyFont="1" applyFill="1" applyBorder="1" applyAlignment="1">
      <alignment horizontal="center" vertical="center" wrapText="1"/>
    </xf>
    <xf numFmtId="166" fontId="31" fillId="25" borderId="1" xfId="0" applyNumberFormat="1" applyFont="1" applyFill="1" applyBorder="1" applyAlignment="1">
      <alignment horizontal="center" vertical="center"/>
    </xf>
    <xf numFmtId="2" fontId="31" fillId="25" borderId="1" xfId="0" applyNumberFormat="1" applyFont="1" applyFill="1" applyBorder="1" applyAlignment="1">
      <alignment horizontal="center" vertical="center"/>
    </xf>
    <xf numFmtId="166" fontId="3" fillId="25" borderId="1" xfId="0" applyNumberFormat="1" applyFont="1" applyFill="1" applyBorder="1" applyAlignment="1">
      <alignment horizontal="center" vertical="center"/>
    </xf>
    <xf numFmtId="2" fontId="3" fillId="2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6" fillId="25" borderId="19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6" fillId="25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1" fillId="0" borderId="1" xfId="183" applyNumberFormat="1" applyFont="1" applyFill="1" applyBorder="1" applyAlignment="1">
      <alignment horizontal="center" vertical="center" wrapText="1"/>
    </xf>
    <xf numFmtId="4" fontId="31" fillId="0" borderId="1" xfId="183" applyNumberFormat="1" applyFont="1" applyFill="1" applyBorder="1" applyAlignment="1">
      <alignment vertical="center" wrapText="1"/>
    </xf>
    <xf numFmtId="4" fontId="47" fillId="0" borderId="1" xfId="0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right" vertical="top" wrapText="1"/>
    </xf>
    <xf numFmtId="0" fontId="48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13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5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5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1" fillId="25" borderId="16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6" fillId="25" borderId="18" xfId="0" applyFont="1" applyFill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0" fontId="42" fillId="25" borderId="16" xfId="0" applyFont="1" applyFill="1" applyBorder="1" applyAlignment="1">
      <alignment horizontal="center" vertical="center" wrapText="1"/>
    </xf>
    <xf numFmtId="0" fontId="42" fillId="2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184">
    <cellStyle name="20% - Акцент1 2" xfId="3" xr:uid="{00000000-0005-0000-0000-000000000000}"/>
    <cellStyle name="20% - Акцент1 3" xfId="4" xr:uid="{00000000-0005-0000-0000-000001000000}"/>
    <cellStyle name="20% - Акцент1 4" xfId="2" xr:uid="{00000000-0005-0000-0000-000002000000}"/>
    <cellStyle name="20% - Акцент2 2" xfId="6" xr:uid="{00000000-0005-0000-0000-000003000000}"/>
    <cellStyle name="20% - Акцент2 3" xfId="7" xr:uid="{00000000-0005-0000-0000-000004000000}"/>
    <cellStyle name="20% - Акцент2 4" xfId="5" xr:uid="{00000000-0005-0000-0000-000005000000}"/>
    <cellStyle name="20% - Акцент3 2" xfId="9" xr:uid="{00000000-0005-0000-0000-000006000000}"/>
    <cellStyle name="20% - Акцент3 3" xfId="10" xr:uid="{00000000-0005-0000-0000-000007000000}"/>
    <cellStyle name="20% - Акцент3 4" xfId="8" xr:uid="{00000000-0005-0000-0000-000008000000}"/>
    <cellStyle name="20% - Акцент4 2" xfId="12" xr:uid="{00000000-0005-0000-0000-000009000000}"/>
    <cellStyle name="20% - Акцент4 3" xfId="13" xr:uid="{00000000-0005-0000-0000-00000A000000}"/>
    <cellStyle name="20% - Акцент4 4" xfId="11" xr:uid="{00000000-0005-0000-0000-00000B000000}"/>
    <cellStyle name="20% - Акцент5 2" xfId="15" xr:uid="{00000000-0005-0000-0000-00000C000000}"/>
    <cellStyle name="20% - Акцент5 3" xfId="16" xr:uid="{00000000-0005-0000-0000-00000D000000}"/>
    <cellStyle name="20% - Акцент5 4" xfId="14" xr:uid="{00000000-0005-0000-0000-00000E000000}"/>
    <cellStyle name="20% - Акцент6 2" xfId="18" xr:uid="{00000000-0005-0000-0000-00000F000000}"/>
    <cellStyle name="20% - Акцент6 3" xfId="19" xr:uid="{00000000-0005-0000-0000-000010000000}"/>
    <cellStyle name="20% - Акцент6 4" xfId="17" xr:uid="{00000000-0005-0000-0000-000011000000}"/>
    <cellStyle name="40% - Акцент1 2" xfId="21" xr:uid="{00000000-0005-0000-0000-000012000000}"/>
    <cellStyle name="40% - Акцент1 3" xfId="22" xr:uid="{00000000-0005-0000-0000-000013000000}"/>
    <cellStyle name="40% - Акцент1 4" xfId="20" xr:uid="{00000000-0005-0000-0000-000014000000}"/>
    <cellStyle name="40% - Акцент2 2" xfId="24" xr:uid="{00000000-0005-0000-0000-000015000000}"/>
    <cellStyle name="40% - Акцент2 3" xfId="25" xr:uid="{00000000-0005-0000-0000-000016000000}"/>
    <cellStyle name="40% - Акцент2 4" xfId="23" xr:uid="{00000000-0005-0000-0000-000017000000}"/>
    <cellStyle name="40% - Акцент3 2" xfId="27" xr:uid="{00000000-0005-0000-0000-000018000000}"/>
    <cellStyle name="40% - Акцент3 3" xfId="28" xr:uid="{00000000-0005-0000-0000-000019000000}"/>
    <cellStyle name="40% - Акцент3 4" xfId="26" xr:uid="{00000000-0005-0000-0000-00001A000000}"/>
    <cellStyle name="40% - Акцент4 2" xfId="30" xr:uid="{00000000-0005-0000-0000-00001B000000}"/>
    <cellStyle name="40% - Акцент4 3" xfId="31" xr:uid="{00000000-0005-0000-0000-00001C000000}"/>
    <cellStyle name="40% - Акцент4 4" xfId="29" xr:uid="{00000000-0005-0000-0000-00001D000000}"/>
    <cellStyle name="40% - Акцент5 2" xfId="33" xr:uid="{00000000-0005-0000-0000-00001E000000}"/>
    <cellStyle name="40% - Акцент5 3" xfId="34" xr:uid="{00000000-0005-0000-0000-00001F000000}"/>
    <cellStyle name="40% - Акцент5 4" xfId="32" xr:uid="{00000000-0005-0000-0000-000020000000}"/>
    <cellStyle name="40% - Акцент6 2" xfId="36" xr:uid="{00000000-0005-0000-0000-000021000000}"/>
    <cellStyle name="40% - Акцент6 3" xfId="37" xr:uid="{00000000-0005-0000-0000-000022000000}"/>
    <cellStyle name="40% - Акцент6 4" xfId="35" xr:uid="{00000000-0005-0000-0000-000023000000}"/>
    <cellStyle name="60% - Акцент1 2" xfId="39" xr:uid="{00000000-0005-0000-0000-000024000000}"/>
    <cellStyle name="60% - Акцент1 3" xfId="40" xr:uid="{00000000-0005-0000-0000-000025000000}"/>
    <cellStyle name="60% - Акцент1 4" xfId="38" xr:uid="{00000000-0005-0000-0000-000026000000}"/>
    <cellStyle name="60% - Акцент2 2" xfId="42" xr:uid="{00000000-0005-0000-0000-000027000000}"/>
    <cellStyle name="60% - Акцент2 3" xfId="43" xr:uid="{00000000-0005-0000-0000-000028000000}"/>
    <cellStyle name="60% - Акцент2 4" xfId="41" xr:uid="{00000000-0005-0000-0000-000029000000}"/>
    <cellStyle name="60% - Акцент3 2" xfId="45" xr:uid="{00000000-0005-0000-0000-00002A000000}"/>
    <cellStyle name="60% - Акцент3 3" xfId="46" xr:uid="{00000000-0005-0000-0000-00002B000000}"/>
    <cellStyle name="60% - Акцент3 4" xfId="44" xr:uid="{00000000-0005-0000-0000-00002C000000}"/>
    <cellStyle name="60% - Акцент4 2" xfId="48" xr:uid="{00000000-0005-0000-0000-00002D000000}"/>
    <cellStyle name="60% - Акцент4 3" xfId="49" xr:uid="{00000000-0005-0000-0000-00002E000000}"/>
    <cellStyle name="60% - Акцент4 4" xfId="47" xr:uid="{00000000-0005-0000-0000-00002F000000}"/>
    <cellStyle name="60% - Акцент5 2" xfId="51" xr:uid="{00000000-0005-0000-0000-000030000000}"/>
    <cellStyle name="60% - Акцент5 3" xfId="52" xr:uid="{00000000-0005-0000-0000-000031000000}"/>
    <cellStyle name="60% - Акцент5 4" xfId="50" xr:uid="{00000000-0005-0000-0000-000032000000}"/>
    <cellStyle name="60% - Акцент6 2" xfId="54" xr:uid="{00000000-0005-0000-0000-000033000000}"/>
    <cellStyle name="60% - Акцент6 3" xfId="55" xr:uid="{00000000-0005-0000-0000-000034000000}"/>
    <cellStyle name="60% - Акцент6 4" xfId="53" xr:uid="{00000000-0005-0000-0000-000035000000}"/>
    <cellStyle name="Акцент1 2" xfId="57" xr:uid="{00000000-0005-0000-0000-000036000000}"/>
    <cellStyle name="Акцент1 3" xfId="58" xr:uid="{00000000-0005-0000-0000-000037000000}"/>
    <cellStyle name="Акцент1 4" xfId="56" xr:uid="{00000000-0005-0000-0000-000038000000}"/>
    <cellStyle name="Акцент2 2" xfId="60" xr:uid="{00000000-0005-0000-0000-000039000000}"/>
    <cellStyle name="Акцент2 3" xfId="61" xr:uid="{00000000-0005-0000-0000-00003A000000}"/>
    <cellStyle name="Акцент2 4" xfId="59" xr:uid="{00000000-0005-0000-0000-00003B000000}"/>
    <cellStyle name="Акцент3 2" xfId="63" xr:uid="{00000000-0005-0000-0000-00003C000000}"/>
    <cellStyle name="Акцент3 3" xfId="64" xr:uid="{00000000-0005-0000-0000-00003D000000}"/>
    <cellStyle name="Акцент3 4" xfId="62" xr:uid="{00000000-0005-0000-0000-00003E000000}"/>
    <cellStyle name="Акцент4 2" xfId="66" xr:uid="{00000000-0005-0000-0000-00003F000000}"/>
    <cellStyle name="Акцент4 3" xfId="67" xr:uid="{00000000-0005-0000-0000-000040000000}"/>
    <cellStyle name="Акцент4 4" xfId="65" xr:uid="{00000000-0005-0000-0000-000041000000}"/>
    <cellStyle name="Акцент5 2" xfId="69" xr:uid="{00000000-0005-0000-0000-000042000000}"/>
    <cellStyle name="Акцент5 3" xfId="70" xr:uid="{00000000-0005-0000-0000-000043000000}"/>
    <cellStyle name="Акцент5 4" xfId="68" xr:uid="{00000000-0005-0000-0000-000044000000}"/>
    <cellStyle name="Акцент6 2" xfId="72" xr:uid="{00000000-0005-0000-0000-000045000000}"/>
    <cellStyle name="Акцент6 3" xfId="73" xr:uid="{00000000-0005-0000-0000-000046000000}"/>
    <cellStyle name="Акцент6 4" xfId="71" xr:uid="{00000000-0005-0000-0000-000047000000}"/>
    <cellStyle name="Ввод  2" xfId="75" xr:uid="{00000000-0005-0000-0000-000048000000}"/>
    <cellStyle name="Ввод  3" xfId="76" xr:uid="{00000000-0005-0000-0000-000049000000}"/>
    <cellStyle name="Ввод  4" xfId="74" xr:uid="{00000000-0005-0000-0000-00004A000000}"/>
    <cellStyle name="Вывод 2" xfId="78" xr:uid="{00000000-0005-0000-0000-00004B000000}"/>
    <cellStyle name="Вывод 3" xfId="79" xr:uid="{00000000-0005-0000-0000-00004C000000}"/>
    <cellStyle name="Вывод 4" xfId="77" xr:uid="{00000000-0005-0000-0000-00004D000000}"/>
    <cellStyle name="Вычисление 2" xfId="81" xr:uid="{00000000-0005-0000-0000-00004E000000}"/>
    <cellStyle name="Вычисление 3" xfId="82" xr:uid="{00000000-0005-0000-0000-00004F000000}"/>
    <cellStyle name="Вычисление 4" xfId="80" xr:uid="{00000000-0005-0000-0000-000050000000}"/>
    <cellStyle name="Денежный 2" xfId="83" xr:uid="{00000000-0005-0000-0000-000051000000}"/>
    <cellStyle name="Заголовок 1 2" xfId="85" xr:uid="{00000000-0005-0000-0000-000052000000}"/>
    <cellStyle name="Заголовок 1 3" xfId="86" xr:uid="{00000000-0005-0000-0000-000053000000}"/>
    <cellStyle name="Заголовок 1 4" xfId="84" xr:uid="{00000000-0005-0000-0000-000054000000}"/>
    <cellStyle name="Заголовок 2 2" xfId="88" xr:uid="{00000000-0005-0000-0000-000055000000}"/>
    <cellStyle name="Заголовок 2 3" xfId="89" xr:uid="{00000000-0005-0000-0000-000056000000}"/>
    <cellStyle name="Заголовок 2 4" xfId="87" xr:uid="{00000000-0005-0000-0000-000057000000}"/>
    <cellStyle name="Заголовок 3 2" xfId="91" xr:uid="{00000000-0005-0000-0000-000058000000}"/>
    <cellStyle name="Заголовок 3 3" xfId="92" xr:uid="{00000000-0005-0000-0000-000059000000}"/>
    <cellStyle name="Заголовок 3 4" xfId="90" xr:uid="{00000000-0005-0000-0000-00005A000000}"/>
    <cellStyle name="Заголовок 4 2" xfId="94" xr:uid="{00000000-0005-0000-0000-00005B000000}"/>
    <cellStyle name="Заголовок 4 3" xfId="95" xr:uid="{00000000-0005-0000-0000-00005C000000}"/>
    <cellStyle name="Заголовок 4 4" xfId="93" xr:uid="{00000000-0005-0000-0000-00005D000000}"/>
    <cellStyle name="Итог 2" xfId="97" xr:uid="{00000000-0005-0000-0000-00005E000000}"/>
    <cellStyle name="Итог 3" xfId="98" xr:uid="{00000000-0005-0000-0000-00005F000000}"/>
    <cellStyle name="Итог 4" xfId="96" xr:uid="{00000000-0005-0000-0000-000060000000}"/>
    <cellStyle name="Контрольная ячейка 2" xfId="100" xr:uid="{00000000-0005-0000-0000-000061000000}"/>
    <cellStyle name="Контрольная ячейка 3" xfId="101" xr:uid="{00000000-0005-0000-0000-000062000000}"/>
    <cellStyle name="Контрольная ячейка 4" xfId="99" xr:uid="{00000000-0005-0000-0000-000063000000}"/>
    <cellStyle name="Название 2" xfId="103" xr:uid="{00000000-0005-0000-0000-000064000000}"/>
    <cellStyle name="Название 3" xfId="104" xr:uid="{00000000-0005-0000-0000-000065000000}"/>
    <cellStyle name="Название 4" xfId="102" xr:uid="{00000000-0005-0000-0000-000066000000}"/>
    <cellStyle name="Нейтральный 2" xfId="106" xr:uid="{00000000-0005-0000-0000-000067000000}"/>
    <cellStyle name="Нейтральный 3" xfId="107" xr:uid="{00000000-0005-0000-0000-000068000000}"/>
    <cellStyle name="Нейтральный 4" xfId="105" xr:uid="{00000000-0005-0000-0000-000069000000}"/>
    <cellStyle name="Обычный" xfId="0" builtinId="0"/>
    <cellStyle name="Обычный 10" xfId="1" xr:uid="{00000000-0005-0000-0000-00006B000000}"/>
    <cellStyle name="Обычный 2" xfId="108" xr:uid="{00000000-0005-0000-0000-00006C000000}"/>
    <cellStyle name="Обычный 2 2" xfId="109" xr:uid="{00000000-0005-0000-0000-00006D000000}"/>
    <cellStyle name="Обычный 2 2 2" xfId="110" xr:uid="{00000000-0005-0000-0000-00006E000000}"/>
    <cellStyle name="Обычный 2 3" xfId="111" xr:uid="{00000000-0005-0000-0000-00006F000000}"/>
    <cellStyle name="Обычный 2 3 2" xfId="112" xr:uid="{00000000-0005-0000-0000-000070000000}"/>
    <cellStyle name="Обычный 2 4" xfId="113" xr:uid="{00000000-0005-0000-0000-000071000000}"/>
    <cellStyle name="Обычный 2 4 2" xfId="114" xr:uid="{00000000-0005-0000-0000-000072000000}"/>
    <cellStyle name="Обычный 2 5" xfId="115" xr:uid="{00000000-0005-0000-0000-000073000000}"/>
    <cellStyle name="Обычный 2 5 2" xfId="116" xr:uid="{00000000-0005-0000-0000-000074000000}"/>
    <cellStyle name="Обычный 3" xfId="117" xr:uid="{00000000-0005-0000-0000-000075000000}"/>
    <cellStyle name="Обычный 4" xfId="118" xr:uid="{00000000-0005-0000-0000-000076000000}"/>
    <cellStyle name="Обычный 5" xfId="119" xr:uid="{00000000-0005-0000-0000-000077000000}"/>
    <cellStyle name="Обычный 6" xfId="120" xr:uid="{00000000-0005-0000-0000-000078000000}"/>
    <cellStyle name="Обычный 7" xfId="121" xr:uid="{00000000-0005-0000-0000-000079000000}"/>
    <cellStyle name="Обычный 8" xfId="122" xr:uid="{00000000-0005-0000-0000-00007A000000}"/>
    <cellStyle name="Обычный 9" xfId="123" xr:uid="{00000000-0005-0000-0000-00007B000000}"/>
    <cellStyle name="Плохой" xfId="183" builtinId="27"/>
    <cellStyle name="Плохой 2" xfId="125" xr:uid="{00000000-0005-0000-0000-00007C000000}"/>
    <cellStyle name="Плохой 3" xfId="126" xr:uid="{00000000-0005-0000-0000-00007D000000}"/>
    <cellStyle name="Плохой 4" xfId="124" xr:uid="{00000000-0005-0000-0000-00007E000000}"/>
    <cellStyle name="Пояснение 2" xfId="128" xr:uid="{00000000-0005-0000-0000-00007F000000}"/>
    <cellStyle name="Пояснение 3" xfId="129" xr:uid="{00000000-0005-0000-0000-000080000000}"/>
    <cellStyle name="Пояснение 4" xfId="127" xr:uid="{00000000-0005-0000-0000-000081000000}"/>
    <cellStyle name="Примечание 2" xfId="131" xr:uid="{00000000-0005-0000-0000-000082000000}"/>
    <cellStyle name="Примечание 3" xfId="132" xr:uid="{00000000-0005-0000-0000-000083000000}"/>
    <cellStyle name="Примечание 4" xfId="130" xr:uid="{00000000-0005-0000-0000-000084000000}"/>
    <cellStyle name="Процентный 2" xfId="133" xr:uid="{00000000-0005-0000-0000-000085000000}"/>
    <cellStyle name="Процентный 2 2" xfId="134" xr:uid="{00000000-0005-0000-0000-000086000000}"/>
    <cellStyle name="Процентный 2 2 2" xfId="135" xr:uid="{00000000-0005-0000-0000-000087000000}"/>
    <cellStyle name="Процентный 2 2 2 2" xfId="136" xr:uid="{00000000-0005-0000-0000-000088000000}"/>
    <cellStyle name="Процентный 2 2 3" xfId="137" xr:uid="{00000000-0005-0000-0000-000089000000}"/>
    <cellStyle name="Процентный 2 2 3 2" xfId="138" xr:uid="{00000000-0005-0000-0000-00008A000000}"/>
    <cellStyle name="Процентный 2 2 4" xfId="139" xr:uid="{00000000-0005-0000-0000-00008B000000}"/>
    <cellStyle name="Процентный 2 2 4 2" xfId="140" xr:uid="{00000000-0005-0000-0000-00008C000000}"/>
    <cellStyle name="Процентный 2 2 5" xfId="141" xr:uid="{00000000-0005-0000-0000-00008D000000}"/>
    <cellStyle name="Процентный 2 2 5 2" xfId="142" xr:uid="{00000000-0005-0000-0000-00008E000000}"/>
    <cellStyle name="Процентный 2 3" xfId="143" xr:uid="{00000000-0005-0000-0000-00008F000000}"/>
    <cellStyle name="Процентный 2 3 2" xfId="144" xr:uid="{00000000-0005-0000-0000-000090000000}"/>
    <cellStyle name="Процентный 2 4" xfId="145" xr:uid="{00000000-0005-0000-0000-000091000000}"/>
    <cellStyle name="Процентный 2 4 2" xfId="146" xr:uid="{00000000-0005-0000-0000-000092000000}"/>
    <cellStyle name="Процентный 2 5" xfId="147" xr:uid="{00000000-0005-0000-0000-000093000000}"/>
    <cellStyle name="Процентный 2 5 2" xfId="148" xr:uid="{00000000-0005-0000-0000-000094000000}"/>
    <cellStyle name="Процентный 2 6" xfId="149" xr:uid="{00000000-0005-0000-0000-000095000000}"/>
    <cellStyle name="Процентный 2 6 2" xfId="150" xr:uid="{00000000-0005-0000-0000-000096000000}"/>
    <cellStyle name="Связанная ячейка 2" xfId="152" xr:uid="{00000000-0005-0000-0000-000097000000}"/>
    <cellStyle name="Связанная ячейка 3" xfId="153" xr:uid="{00000000-0005-0000-0000-000098000000}"/>
    <cellStyle name="Связанная ячейка 4" xfId="151" xr:uid="{00000000-0005-0000-0000-000099000000}"/>
    <cellStyle name="Стиль 1" xfId="154" xr:uid="{00000000-0005-0000-0000-00009A000000}"/>
    <cellStyle name="Текст предупреждения 2" xfId="156" xr:uid="{00000000-0005-0000-0000-00009B000000}"/>
    <cellStyle name="Текст предупреждения 3" xfId="157" xr:uid="{00000000-0005-0000-0000-00009C000000}"/>
    <cellStyle name="Текст предупреждения 4" xfId="155" xr:uid="{00000000-0005-0000-0000-00009D000000}"/>
    <cellStyle name="Финансовый 2" xfId="159" xr:uid="{00000000-0005-0000-0000-00009E000000}"/>
    <cellStyle name="Финансовый 2 2" xfId="160" xr:uid="{00000000-0005-0000-0000-00009F000000}"/>
    <cellStyle name="Финансовый 2 2 2" xfId="161" xr:uid="{00000000-0005-0000-0000-0000A0000000}"/>
    <cellStyle name="Финансовый 2 2 2 2" xfId="162" xr:uid="{00000000-0005-0000-0000-0000A1000000}"/>
    <cellStyle name="Финансовый 2 2 3" xfId="163" xr:uid="{00000000-0005-0000-0000-0000A2000000}"/>
    <cellStyle name="Финансовый 2 2 3 2" xfId="164" xr:uid="{00000000-0005-0000-0000-0000A3000000}"/>
    <cellStyle name="Финансовый 2 2 4" xfId="165" xr:uid="{00000000-0005-0000-0000-0000A4000000}"/>
    <cellStyle name="Финансовый 2 2 4 2" xfId="166" xr:uid="{00000000-0005-0000-0000-0000A5000000}"/>
    <cellStyle name="Финансовый 2 2 5" xfId="167" xr:uid="{00000000-0005-0000-0000-0000A6000000}"/>
    <cellStyle name="Финансовый 2 2 5 2" xfId="168" xr:uid="{00000000-0005-0000-0000-0000A7000000}"/>
    <cellStyle name="Финансовый 2 3" xfId="169" xr:uid="{00000000-0005-0000-0000-0000A8000000}"/>
    <cellStyle name="Финансовый 2 3 2" xfId="170" xr:uid="{00000000-0005-0000-0000-0000A9000000}"/>
    <cellStyle name="Финансовый 2 4" xfId="171" xr:uid="{00000000-0005-0000-0000-0000AA000000}"/>
    <cellStyle name="Финансовый 2 4 2" xfId="172" xr:uid="{00000000-0005-0000-0000-0000AB000000}"/>
    <cellStyle name="Финансовый 2 5" xfId="173" xr:uid="{00000000-0005-0000-0000-0000AC000000}"/>
    <cellStyle name="Финансовый 2 5 2" xfId="174" xr:uid="{00000000-0005-0000-0000-0000AD000000}"/>
    <cellStyle name="Финансовый 2 6" xfId="175" xr:uid="{00000000-0005-0000-0000-0000AE000000}"/>
    <cellStyle name="Финансовый 2 6 2" xfId="176" xr:uid="{00000000-0005-0000-0000-0000AF000000}"/>
    <cellStyle name="Финансовый 3" xfId="177" xr:uid="{00000000-0005-0000-0000-0000B0000000}"/>
    <cellStyle name="Финансовый 4" xfId="178" xr:uid="{00000000-0005-0000-0000-0000B1000000}"/>
    <cellStyle name="Финансовый 5" xfId="179" xr:uid="{00000000-0005-0000-0000-0000B2000000}"/>
    <cellStyle name="Финансовый 6" xfId="158" xr:uid="{00000000-0005-0000-0000-0000B3000000}"/>
    <cellStyle name="Хороший 2" xfId="181" xr:uid="{00000000-0005-0000-0000-0000B4000000}"/>
    <cellStyle name="Хороший 3" xfId="182" xr:uid="{00000000-0005-0000-0000-0000B5000000}"/>
    <cellStyle name="Хороший 4" xfId="180" xr:uid="{00000000-0005-0000-0000-0000B6000000}"/>
  </cellStyles>
  <dxfs count="29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02486-C7B2-4B3F-A312-386196261793}">
  <sheetPr>
    <pageSetUpPr fitToPage="1"/>
  </sheetPr>
  <dimension ref="A1:K66"/>
  <sheetViews>
    <sheetView showZero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4" sqref="A4:A5"/>
    </sheetView>
  </sheetViews>
  <sheetFormatPr defaultRowHeight="15" x14ac:dyDescent="0.2"/>
  <cols>
    <col min="1" max="1" width="35.28515625" style="3" bestFit="1" customWidth="1"/>
    <col min="2" max="2" width="18.7109375" style="1" customWidth="1"/>
    <col min="3" max="9" width="12.7109375" style="2" customWidth="1"/>
    <col min="10" max="11" width="12.140625" style="2" bestFit="1" customWidth="1"/>
    <col min="12" max="16384" width="9.140625" style="2"/>
  </cols>
  <sheetData>
    <row r="1" spans="1:11" x14ac:dyDescent="0.2">
      <c r="I1" s="211" t="s">
        <v>1995</v>
      </c>
    </row>
    <row r="2" spans="1:11" x14ac:dyDescent="0.2">
      <c r="A2" s="212" t="s">
        <v>1996</v>
      </c>
      <c r="B2" s="212"/>
      <c r="C2" s="212"/>
      <c r="D2" s="212"/>
      <c r="E2" s="212"/>
      <c r="F2" s="212"/>
      <c r="G2" s="212"/>
      <c r="H2" s="212"/>
      <c r="I2" s="212"/>
    </row>
    <row r="4" spans="1:11" ht="15.75" customHeight="1" x14ac:dyDescent="0.2">
      <c r="A4" s="213" t="s">
        <v>7</v>
      </c>
      <c r="B4" s="109" t="s">
        <v>2</v>
      </c>
      <c r="C4" s="110"/>
      <c r="D4" s="110"/>
      <c r="E4" s="110"/>
      <c r="F4" s="110"/>
      <c r="G4" s="110"/>
      <c r="H4" s="110"/>
      <c r="I4" s="110"/>
    </row>
    <row r="5" spans="1:11" ht="71.25" customHeight="1" x14ac:dyDescent="0.2">
      <c r="A5" s="214"/>
      <c r="B5" s="11" t="s">
        <v>0</v>
      </c>
      <c r="C5" s="11" t="s">
        <v>1</v>
      </c>
      <c r="D5" s="11">
        <v>2020</v>
      </c>
      <c r="E5" s="11">
        <v>2021</v>
      </c>
      <c r="F5" s="11">
        <v>2022</v>
      </c>
      <c r="G5" s="11">
        <v>2023</v>
      </c>
      <c r="H5" s="11">
        <v>2024</v>
      </c>
      <c r="I5" s="11">
        <v>2025</v>
      </c>
    </row>
    <row r="6" spans="1:11" ht="42.75" x14ac:dyDescent="0.2">
      <c r="A6" s="106" t="s">
        <v>9</v>
      </c>
      <c r="B6" s="9" t="s">
        <v>3</v>
      </c>
      <c r="C6" s="8">
        <v>3968.6570000000002</v>
      </c>
      <c r="D6" s="8">
        <v>0</v>
      </c>
      <c r="E6" s="8">
        <v>372.08199999999999</v>
      </c>
      <c r="F6" s="8">
        <v>831.28200000000004</v>
      </c>
      <c r="G6" s="8">
        <v>1324.2929999999999</v>
      </c>
      <c r="H6" s="8">
        <v>1131</v>
      </c>
      <c r="I6" s="8">
        <v>310</v>
      </c>
      <c r="J6" s="7"/>
      <c r="K6" s="7"/>
    </row>
    <row r="7" spans="1:11" ht="15.75" x14ac:dyDescent="0.2">
      <c r="A7" s="106"/>
      <c r="B7" s="4" t="s">
        <v>4</v>
      </c>
      <c r="C7" s="5">
        <v>2306.9499999999998</v>
      </c>
      <c r="D7" s="5">
        <v>0</v>
      </c>
      <c r="E7" s="5">
        <v>0</v>
      </c>
      <c r="F7" s="5">
        <v>509.16</v>
      </c>
      <c r="G7" s="5">
        <v>985.05</v>
      </c>
      <c r="H7" s="5">
        <v>812.74</v>
      </c>
      <c r="I7" s="5">
        <v>0</v>
      </c>
      <c r="J7" s="7"/>
    </row>
    <row r="8" spans="1:11" ht="15.75" x14ac:dyDescent="0.2">
      <c r="A8" s="106"/>
      <c r="B8" s="4" t="s">
        <v>6</v>
      </c>
      <c r="C8" s="5">
        <v>1661.7069999999999</v>
      </c>
      <c r="D8" s="5">
        <v>0</v>
      </c>
      <c r="E8" s="5">
        <v>372.08199999999999</v>
      </c>
      <c r="F8" s="5">
        <v>322.12199999999996</v>
      </c>
      <c r="G8" s="5">
        <v>339.24300000000005</v>
      </c>
      <c r="H8" s="5">
        <v>318.26</v>
      </c>
      <c r="I8" s="5">
        <v>310</v>
      </c>
      <c r="J8" s="7"/>
    </row>
    <row r="9" spans="1:11" ht="15.75" x14ac:dyDescent="0.2">
      <c r="A9" s="106"/>
      <c r="B9" s="4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7"/>
    </row>
    <row r="10" spans="1:11" ht="42.75" x14ac:dyDescent="0.2">
      <c r="A10" s="106" t="s">
        <v>10</v>
      </c>
      <c r="B10" s="9" t="s">
        <v>3</v>
      </c>
      <c r="C10" s="8">
        <v>31409.569200000005</v>
      </c>
      <c r="D10" s="8">
        <v>2053.4812000000002</v>
      </c>
      <c r="E10" s="8">
        <v>4429.2920000000004</v>
      </c>
      <c r="F10" s="8">
        <v>4785.067</v>
      </c>
      <c r="G10" s="8">
        <v>6209.8289999999997</v>
      </c>
      <c r="H10" s="8">
        <v>7336.1500000000005</v>
      </c>
      <c r="I10" s="8">
        <v>6595.75</v>
      </c>
      <c r="J10" s="7"/>
      <c r="K10" s="7"/>
    </row>
    <row r="11" spans="1:11" ht="15.75" x14ac:dyDescent="0.2">
      <c r="A11" s="106"/>
      <c r="B11" s="4" t="s">
        <v>4</v>
      </c>
      <c r="C11" s="5">
        <v>18266.509100000003</v>
      </c>
      <c r="D11" s="5">
        <v>621.58410000000003</v>
      </c>
      <c r="E11" s="5">
        <v>1901.27</v>
      </c>
      <c r="F11" s="5">
        <v>1648.8300000000002</v>
      </c>
      <c r="G11" s="5">
        <v>3445.7750000000001</v>
      </c>
      <c r="H11" s="5">
        <v>5496.41</v>
      </c>
      <c r="I11" s="5">
        <v>5152.6399999999994</v>
      </c>
      <c r="J11" s="7"/>
    </row>
    <row r="12" spans="1:11" ht="15.75" x14ac:dyDescent="0.2">
      <c r="A12" s="106"/>
      <c r="B12" s="4" t="s">
        <v>6</v>
      </c>
      <c r="C12" s="5">
        <v>13143.060100000001</v>
      </c>
      <c r="D12" s="5">
        <v>1431.8970999999999</v>
      </c>
      <c r="E12" s="5">
        <v>2528.0219999999999</v>
      </c>
      <c r="F12" s="5">
        <v>3136.2370000000001</v>
      </c>
      <c r="G12" s="5">
        <v>2764.0540000000001</v>
      </c>
      <c r="H12" s="5">
        <v>1839.74</v>
      </c>
      <c r="I12" s="5">
        <v>1443.11</v>
      </c>
      <c r="J12" s="7"/>
    </row>
    <row r="13" spans="1:11" ht="15.75" x14ac:dyDescent="0.2">
      <c r="A13" s="106"/>
      <c r="B13" s="4" t="s">
        <v>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7"/>
    </row>
    <row r="14" spans="1:11" ht="42.75" x14ac:dyDescent="0.2">
      <c r="A14" s="106" t="s">
        <v>11</v>
      </c>
      <c r="B14" s="9" t="s">
        <v>3</v>
      </c>
      <c r="C14" s="8">
        <v>28315.156390000004</v>
      </c>
      <c r="D14" s="8">
        <v>850.13900000000001</v>
      </c>
      <c r="E14" s="8">
        <v>6010.7254000000003</v>
      </c>
      <c r="F14" s="8">
        <v>5523.2116900000001</v>
      </c>
      <c r="G14" s="8">
        <v>6226.3302999999996</v>
      </c>
      <c r="H14" s="8">
        <v>5490.25</v>
      </c>
      <c r="I14" s="8">
        <v>4214.5</v>
      </c>
      <c r="J14" s="7"/>
      <c r="K14" s="7"/>
    </row>
    <row r="15" spans="1:11" ht="15.75" x14ac:dyDescent="0.2">
      <c r="A15" s="106"/>
      <c r="B15" s="4" t="s">
        <v>4</v>
      </c>
      <c r="C15" s="5">
        <v>15662.410634000002</v>
      </c>
      <c r="D15" s="5">
        <v>288.39499999999998</v>
      </c>
      <c r="E15" s="5">
        <v>2310.19884</v>
      </c>
      <c r="F15" s="5">
        <v>3747.457214</v>
      </c>
      <c r="G15" s="5">
        <v>4042.39858</v>
      </c>
      <c r="H15" s="5">
        <v>3402.8809999999999</v>
      </c>
      <c r="I15" s="5">
        <v>1871.08</v>
      </c>
      <c r="J15" s="7"/>
    </row>
    <row r="16" spans="1:11" ht="15.75" x14ac:dyDescent="0.2">
      <c r="A16" s="106"/>
      <c r="B16" s="4" t="s">
        <v>6</v>
      </c>
      <c r="C16" s="5">
        <v>9451.7167574999985</v>
      </c>
      <c r="D16" s="5">
        <v>539.04700000000003</v>
      </c>
      <c r="E16" s="5">
        <v>3202.0920493999993</v>
      </c>
      <c r="F16" s="5">
        <v>1351.5919911000001</v>
      </c>
      <c r="G16" s="5">
        <v>1392.8587170000001</v>
      </c>
      <c r="H16" s="5">
        <v>1336.6210000000003</v>
      </c>
      <c r="I16" s="5">
        <v>1629.5060000000003</v>
      </c>
      <c r="J16" s="7"/>
    </row>
    <row r="17" spans="1:11" ht="15.75" x14ac:dyDescent="0.2">
      <c r="A17" s="106"/>
      <c r="B17" s="4" t="s">
        <v>5</v>
      </c>
      <c r="C17" s="5">
        <v>3201.0289984999999</v>
      </c>
      <c r="D17" s="5">
        <v>22.697000000000003</v>
      </c>
      <c r="E17" s="5">
        <v>498.43451059999995</v>
      </c>
      <c r="F17" s="5">
        <v>424.16248489999992</v>
      </c>
      <c r="G17" s="5">
        <v>791.07300299999997</v>
      </c>
      <c r="H17" s="5">
        <v>750.74800000000005</v>
      </c>
      <c r="I17" s="5">
        <v>713.91399999999999</v>
      </c>
      <c r="J17" s="7"/>
    </row>
    <row r="18" spans="1:11" ht="42.75" x14ac:dyDescent="0.2">
      <c r="A18" s="106" t="s">
        <v>21</v>
      </c>
      <c r="B18" s="9" t="s">
        <v>3</v>
      </c>
      <c r="C18" s="8">
        <v>10041.590000000002</v>
      </c>
      <c r="D18" s="8">
        <v>35.839999999999996</v>
      </c>
      <c r="E18" s="8">
        <v>334.56</v>
      </c>
      <c r="F18" s="8">
        <v>3060.82</v>
      </c>
      <c r="G18" s="8">
        <v>3172.84</v>
      </c>
      <c r="H18" s="8">
        <v>3432.31</v>
      </c>
      <c r="I18" s="8">
        <v>5.22</v>
      </c>
      <c r="J18" s="7"/>
      <c r="K18" s="7"/>
    </row>
    <row r="19" spans="1:11" ht="15.75" x14ac:dyDescent="0.2">
      <c r="A19" s="106"/>
      <c r="B19" s="4" t="s">
        <v>4</v>
      </c>
      <c r="C19" s="5">
        <v>9378.11</v>
      </c>
      <c r="D19" s="5">
        <v>32.33</v>
      </c>
      <c r="E19" s="5">
        <v>207.43</v>
      </c>
      <c r="F19" s="5">
        <v>2916.7</v>
      </c>
      <c r="G19" s="5">
        <v>3025.96</v>
      </c>
      <c r="H19" s="5">
        <v>3190.73</v>
      </c>
      <c r="I19" s="5">
        <v>4.96</v>
      </c>
      <c r="J19" s="7"/>
    </row>
    <row r="20" spans="1:11" ht="15.75" x14ac:dyDescent="0.2">
      <c r="A20" s="106"/>
      <c r="B20" s="4" t="s">
        <v>6</v>
      </c>
      <c r="C20" s="5">
        <v>663.48</v>
      </c>
      <c r="D20" s="5">
        <v>3.51</v>
      </c>
      <c r="E20" s="5">
        <v>127.13</v>
      </c>
      <c r="F20" s="5">
        <v>144.11999999999998</v>
      </c>
      <c r="G20" s="5">
        <v>146.88000000000005</v>
      </c>
      <c r="H20" s="5">
        <v>241.5800000000001</v>
      </c>
      <c r="I20" s="5">
        <v>0.26</v>
      </c>
      <c r="J20" s="7"/>
    </row>
    <row r="21" spans="1:11" ht="15.75" x14ac:dyDescent="0.2">
      <c r="A21" s="106"/>
      <c r="B21" s="4" t="s">
        <v>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7"/>
    </row>
    <row r="22" spans="1:11" ht="42.75" x14ac:dyDescent="0.2">
      <c r="A22" s="106" t="s">
        <v>12</v>
      </c>
      <c r="B22" s="9" t="s">
        <v>3</v>
      </c>
      <c r="C22" s="8">
        <v>5730.9099999999989</v>
      </c>
      <c r="D22" s="8">
        <v>212.48999999999998</v>
      </c>
      <c r="E22" s="8">
        <v>565.5</v>
      </c>
      <c r="F22" s="8">
        <v>1626.66</v>
      </c>
      <c r="G22" s="8">
        <v>1428.36</v>
      </c>
      <c r="H22" s="8">
        <v>1257.5999999999999</v>
      </c>
      <c r="I22" s="8">
        <v>640.29999999999995</v>
      </c>
      <c r="J22" s="7"/>
      <c r="K22" s="7"/>
    </row>
    <row r="23" spans="1:11" ht="15.75" x14ac:dyDescent="0.2">
      <c r="A23" s="106"/>
      <c r="B23" s="4" t="s">
        <v>4</v>
      </c>
      <c r="C23" s="5">
        <v>2327.19</v>
      </c>
      <c r="D23" s="5">
        <v>88.399999999999991</v>
      </c>
      <c r="E23" s="5">
        <v>155.25</v>
      </c>
      <c r="F23" s="5">
        <v>687.71000000000015</v>
      </c>
      <c r="G23" s="5">
        <v>586.13</v>
      </c>
      <c r="H23" s="5">
        <v>530.20000000000005</v>
      </c>
      <c r="I23" s="5">
        <v>279.5</v>
      </c>
      <c r="J23" s="7"/>
    </row>
    <row r="24" spans="1:11" ht="15.75" x14ac:dyDescent="0.2">
      <c r="A24" s="106"/>
      <c r="B24" s="4" t="s">
        <v>6</v>
      </c>
      <c r="C24" s="5">
        <v>3402.5199999999995</v>
      </c>
      <c r="D24" s="5">
        <v>124.09</v>
      </c>
      <c r="E24" s="5">
        <v>410.25</v>
      </c>
      <c r="F24" s="5">
        <v>938.95</v>
      </c>
      <c r="G24" s="5">
        <v>841.63</v>
      </c>
      <c r="H24" s="5">
        <v>726.8</v>
      </c>
      <c r="I24" s="5">
        <v>360.8</v>
      </c>
      <c r="J24" s="7"/>
    </row>
    <row r="25" spans="1:11" ht="15.75" x14ac:dyDescent="0.2">
      <c r="A25" s="106"/>
      <c r="B25" s="4" t="s">
        <v>5</v>
      </c>
      <c r="C25" s="5">
        <v>1.2</v>
      </c>
      <c r="D25" s="5">
        <v>0</v>
      </c>
      <c r="E25" s="5">
        <v>0</v>
      </c>
      <c r="F25" s="5">
        <v>0</v>
      </c>
      <c r="G25" s="5">
        <v>0.6</v>
      </c>
      <c r="H25" s="5">
        <v>0.6</v>
      </c>
      <c r="I25" s="5">
        <v>0</v>
      </c>
      <c r="J25" s="7"/>
    </row>
    <row r="26" spans="1:11" ht="42.75" x14ac:dyDescent="0.2">
      <c r="A26" s="106" t="s">
        <v>13</v>
      </c>
      <c r="B26" s="9" t="s">
        <v>3</v>
      </c>
      <c r="C26" s="8">
        <v>18948.497950000001</v>
      </c>
      <c r="D26" s="8">
        <v>1638.8158000000001</v>
      </c>
      <c r="E26" s="8">
        <v>4504.533449999999</v>
      </c>
      <c r="F26" s="8">
        <v>4442.84</v>
      </c>
      <c r="G26" s="8">
        <v>2901.5543499999999</v>
      </c>
      <c r="H26" s="8">
        <v>2656.2</v>
      </c>
      <c r="I26" s="8">
        <v>2804.5543499999999</v>
      </c>
      <c r="J26" s="7"/>
      <c r="K26" s="7"/>
    </row>
    <row r="27" spans="1:11" ht="15.75" x14ac:dyDescent="0.2">
      <c r="A27" s="106"/>
      <c r="B27" s="4" t="s">
        <v>4</v>
      </c>
      <c r="C27" s="5">
        <v>11926.300000000001</v>
      </c>
      <c r="D27" s="5">
        <v>749.5</v>
      </c>
      <c r="E27" s="5">
        <v>2206.4</v>
      </c>
      <c r="F27" s="5">
        <v>2551.9</v>
      </c>
      <c r="G27" s="5">
        <v>1881.6999999999998</v>
      </c>
      <c r="H27" s="5">
        <v>2177.7999999999997</v>
      </c>
      <c r="I27" s="5">
        <v>2359</v>
      </c>
      <c r="J27" s="7"/>
    </row>
    <row r="28" spans="1:11" ht="15.75" x14ac:dyDescent="0.2">
      <c r="A28" s="106"/>
      <c r="B28" s="4" t="s">
        <v>6</v>
      </c>
      <c r="C28" s="5">
        <v>7022.1979499999998</v>
      </c>
      <c r="D28" s="5">
        <v>889.31579999999997</v>
      </c>
      <c r="E28" s="5">
        <v>2298.1334499999994</v>
      </c>
      <c r="F28" s="5">
        <v>1890.9399999999998</v>
      </c>
      <c r="G28" s="5">
        <v>1019.85435</v>
      </c>
      <c r="H28" s="5">
        <v>478.4</v>
      </c>
      <c r="I28" s="5">
        <v>445.55435</v>
      </c>
      <c r="J28" s="7"/>
    </row>
    <row r="29" spans="1:11" ht="15.75" x14ac:dyDescent="0.2">
      <c r="A29" s="106"/>
      <c r="B29" s="4" t="s">
        <v>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7"/>
    </row>
    <row r="30" spans="1:11" ht="42.75" x14ac:dyDescent="0.2">
      <c r="A30" s="106" t="s">
        <v>14</v>
      </c>
      <c r="B30" s="9" t="s">
        <v>3</v>
      </c>
      <c r="C30" s="8">
        <v>450.5</v>
      </c>
      <c r="D30" s="8">
        <v>0</v>
      </c>
      <c r="E30" s="8">
        <v>130.69999999999999</v>
      </c>
      <c r="F30" s="8">
        <v>116.7</v>
      </c>
      <c r="G30" s="8">
        <v>73.7</v>
      </c>
      <c r="H30" s="8">
        <v>64.7</v>
      </c>
      <c r="I30" s="8">
        <v>64.7</v>
      </c>
      <c r="J30" s="7"/>
      <c r="K30" s="7"/>
    </row>
    <row r="31" spans="1:11" ht="15.75" x14ac:dyDescent="0.2">
      <c r="A31" s="106"/>
      <c r="B31" s="4" t="s">
        <v>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7"/>
    </row>
    <row r="32" spans="1:11" ht="15.75" x14ac:dyDescent="0.2">
      <c r="A32" s="106"/>
      <c r="B32" s="4" t="s">
        <v>6</v>
      </c>
      <c r="C32" s="5">
        <v>402</v>
      </c>
      <c r="D32" s="5">
        <v>0</v>
      </c>
      <c r="E32" s="5">
        <v>121</v>
      </c>
      <c r="F32" s="5">
        <v>107</v>
      </c>
      <c r="G32" s="5">
        <v>64</v>
      </c>
      <c r="H32" s="5">
        <v>55</v>
      </c>
      <c r="I32" s="5">
        <v>55</v>
      </c>
      <c r="J32" s="7"/>
    </row>
    <row r="33" spans="1:11" ht="15.75" x14ac:dyDescent="0.2">
      <c r="A33" s="106"/>
      <c r="B33" s="4" t="s">
        <v>5</v>
      </c>
      <c r="C33" s="5">
        <v>48.5</v>
      </c>
      <c r="D33" s="5">
        <v>0</v>
      </c>
      <c r="E33" s="5">
        <v>9.6999999999999993</v>
      </c>
      <c r="F33" s="5">
        <v>9.6999999999999993</v>
      </c>
      <c r="G33" s="5">
        <v>9.6999999999999993</v>
      </c>
      <c r="H33" s="5">
        <v>9.6999999999999993</v>
      </c>
      <c r="I33" s="5">
        <v>9.6999999999999993</v>
      </c>
      <c r="J33" s="7"/>
    </row>
    <row r="34" spans="1:11" ht="42.75" x14ac:dyDescent="0.2">
      <c r="A34" s="106" t="s">
        <v>15</v>
      </c>
      <c r="B34" s="9" t="s">
        <v>3</v>
      </c>
      <c r="C34" s="8">
        <v>71.039119999999983</v>
      </c>
      <c r="D34" s="8">
        <v>14.054120000000001</v>
      </c>
      <c r="E34" s="8">
        <v>19.584999999999997</v>
      </c>
      <c r="F34" s="8">
        <v>10.5</v>
      </c>
      <c r="G34" s="8">
        <v>9.3000000000000007</v>
      </c>
      <c r="H34" s="8">
        <v>9.8000000000000007</v>
      </c>
      <c r="I34" s="8">
        <v>7.8</v>
      </c>
      <c r="J34" s="7"/>
      <c r="K34" s="7"/>
    </row>
    <row r="35" spans="1:11" ht="15.75" x14ac:dyDescent="0.2">
      <c r="A35" s="106"/>
      <c r="B35" s="4" t="s">
        <v>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7"/>
    </row>
    <row r="36" spans="1:11" ht="15.75" x14ac:dyDescent="0.2">
      <c r="A36" s="106"/>
      <c r="B36" s="4" t="s">
        <v>6</v>
      </c>
      <c r="C36" s="5">
        <v>71.039119999999983</v>
      </c>
      <c r="D36" s="5">
        <v>14.054120000000001</v>
      </c>
      <c r="E36" s="5">
        <v>19.584999999999997</v>
      </c>
      <c r="F36" s="5">
        <v>10.5</v>
      </c>
      <c r="G36" s="5">
        <v>9.3000000000000007</v>
      </c>
      <c r="H36" s="5">
        <v>9.8000000000000007</v>
      </c>
      <c r="I36" s="5">
        <v>7.8</v>
      </c>
      <c r="J36" s="7"/>
    </row>
    <row r="37" spans="1:11" ht="15.75" x14ac:dyDescent="0.2">
      <c r="A37" s="106"/>
      <c r="B37" s="4" t="s">
        <v>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7"/>
    </row>
    <row r="38" spans="1:11" ht="42.75" x14ac:dyDescent="0.2">
      <c r="A38" s="106" t="s">
        <v>16</v>
      </c>
      <c r="B38" s="9" t="s">
        <v>3</v>
      </c>
      <c r="C38" s="8">
        <v>549.89</v>
      </c>
      <c r="D38" s="8">
        <v>74.009999999999991</v>
      </c>
      <c r="E38" s="8">
        <v>129.36000000000001</v>
      </c>
      <c r="F38" s="8">
        <v>129.46</v>
      </c>
      <c r="G38" s="8">
        <v>91.17</v>
      </c>
      <c r="H38" s="8">
        <v>90.199999999999989</v>
      </c>
      <c r="I38" s="8">
        <v>35.69</v>
      </c>
      <c r="J38" s="7"/>
      <c r="K38" s="7"/>
    </row>
    <row r="39" spans="1:11" ht="15.75" x14ac:dyDescent="0.2">
      <c r="A39" s="106"/>
      <c r="B39" s="4" t="s">
        <v>4</v>
      </c>
      <c r="C39" s="5">
        <v>462.92</v>
      </c>
      <c r="D39" s="5">
        <v>6.15</v>
      </c>
      <c r="E39" s="5">
        <v>129.30000000000001</v>
      </c>
      <c r="F39" s="5">
        <v>110.7</v>
      </c>
      <c r="G39" s="5">
        <v>91.1</v>
      </c>
      <c r="H39" s="5">
        <v>90.1</v>
      </c>
      <c r="I39" s="5">
        <v>35.57</v>
      </c>
      <c r="J39" s="7"/>
    </row>
    <row r="40" spans="1:11" ht="15.75" x14ac:dyDescent="0.2">
      <c r="A40" s="106"/>
      <c r="B40" s="4" t="s">
        <v>6</v>
      </c>
      <c r="C40" s="5">
        <v>84.339999999999989</v>
      </c>
      <c r="D40" s="5">
        <v>65.33</v>
      </c>
      <c r="E40" s="5">
        <v>0.04</v>
      </c>
      <c r="F40" s="5">
        <v>18.739999999999998</v>
      </c>
      <c r="G40" s="5">
        <v>0.05</v>
      </c>
      <c r="H40" s="5">
        <v>0.08</v>
      </c>
      <c r="I40" s="5">
        <v>0.1</v>
      </c>
      <c r="J40" s="7"/>
    </row>
    <row r="41" spans="1:11" ht="15.75" x14ac:dyDescent="0.2">
      <c r="A41" s="106"/>
      <c r="B41" s="4" t="s">
        <v>5</v>
      </c>
      <c r="C41" s="5">
        <v>2.63</v>
      </c>
      <c r="D41" s="5">
        <v>2.5299999999999998</v>
      </c>
      <c r="E41" s="5">
        <v>0.02</v>
      </c>
      <c r="F41" s="5">
        <v>0.02</v>
      </c>
      <c r="G41" s="5">
        <v>0.02</v>
      </c>
      <c r="H41" s="5">
        <v>0.02</v>
      </c>
      <c r="I41" s="5">
        <v>0.02</v>
      </c>
      <c r="J41" s="7"/>
    </row>
    <row r="42" spans="1:11" ht="42.75" x14ac:dyDescent="0.2">
      <c r="A42" s="106" t="s">
        <v>17</v>
      </c>
      <c r="B42" s="9" t="s">
        <v>3</v>
      </c>
      <c r="C42" s="8">
        <v>5116.2749999999996</v>
      </c>
      <c r="D42" s="8">
        <v>32.582000000000001</v>
      </c>
      <c r="E42" s="8">
        <v>1072.0430000000001</v>
      </c>
      <c r="F42" s="8">
        <v>1588.55</v>
      </c>
      <c r="G42" s="8">
        <v>809.5</v>
      </c>
      <c r="H42" s="8">
        <v>851.3</v>
      </c>
      <c r="I42" s="8">
        <v>762.3</v>
      </c>
      <c r="J42" s="7"/>
      <c r="K42" s="7"/>
    </row>
    <row r="43" spans="1:11" ht="15.75" x14ac:dyDescent="0.2">
      <c r="A43" s="106"/>
      <c r="B43" s="4" t="s">
        <v>4</v>
      </c>
      <c r="C43" s="5">
        <v>4588.99</v>
      </c>
      <c r="D43" s="5">
        <v>4.34</v>
      </c>
      <c r="E43" s="5">
        <v>959.48</v>
      </c>
      <c r="F43" s="5">
        <v>1410.53</v>
      </c>
      <c r="G43" s="5">
        <v>657.48</v>
      </c>
      <c r="H43" s="5">
        <v>834.08</v>
      </c>
      <c r="I43" s="5">
        <v>723.08</v>
      </c>
      <c r="J43" s="7"/>
    </row>
    <row r="44" spans="1:11" ht="15.75" x14ac:dyDescent="0.2">
      <c r="A44" s="106"/>
      <c r="B44" s="4" t="s">
        <v>6</v>
      </c>
      <c r="C44" s="5">
        <v>368.88499999999999</v>
      </c>
      <c r="D44" s="5">
        <v>28.242000000000001</v>
      </c>
      <c r="E44" s="5">
        <v>85.713000000000008</v>
      </c>
      <c r="F44" s="5">
        <v>131.97</v>
      </c>
      <c r="G44" s="5">
        <v>101.52</v>
      </c>
      <c r="H44" s="5">
        <v>12.219999999999999</v>
      </c>
      <c r="I44" s="5">
        <v>9.2199999999999989</v>
      </c>
      <c r="J44" s="7"/>
    </row>
    <row r="45" spans="1:11" ht="15.75" x14ac:dyDescent="0.2">
      <c r="A45" s="106"/>
      <c r="B45" s="4" t="s">
        <v>5</v>
      </c>
      <c r="C45" s="5">
        <v>158.4</v>
      </c>
      <c r="D45" s="5">
        <v>0</v>
      </c>
      <c r="E45" s="5">
        <v>26.85</v>
      </c>
      <c r="F45" s="5">
        <v>46.05</v>
      </c>
      <c r="G45" s="5">
        <v>50.5</v>
      </c>
      <c r="H45" s="5">
        <v>5</v>
      </c>
      <c r="I45" s="5">
        <v>30</v>
      </c>
      <c r="J45" s="7"/>
    </row>
    <row r="46" spans="1:11" ht="42.75" x14ac:dyDescent="0.2">
      <c r="A46" s="106" t="s">
        <v>18</v>
      </c>
      <c r="B46" s="9" t="s">
        <v>3</v>
      </c>
      <c r="C46" s="8">
        <v>6008.1900000000005</v>
      </c>
      <c r="D46" s="8">
        <v>674.49</v>
      </c>
      <c r="E46" s="8">
        <v>892.6</v>
      </c>
      <c r="F46" s="8">
        <v>1502.3</v>
      </c>
      <c r="G46" s="8">
        <v>1547.9</v>
      </c>
      <c r="H46" s="8">
        <v>1052.9000000000001</v>
      </c>
      <c r="I46" s="8">
        <v>338</v>
      </c>
      <c r="J46" s="7"/>
      <c r="K46" s="7"/>
    </row>
    <row r="47" spans="1:11" ht="15.75" x14ac:dyDescent="0.2">
      <c r="A47" s="106"/>
      <c r="B47" s="4" t="s">
        <v>4</v>
      </c>
      <c r="C47" s="5">
        <v>3224.42</v>
      </c>
      <c r="D47" s="5">
        <v>25</v>
      </c>
      <c r="E47" s="5">
        <v>423.62</v>
      </c>
      <c r="F47" s="5">
        <v>794.9</v>
      </c>
      <c r="G47" s="5">
        <v>834.4</v>
      </c>
      <c r="H47" s="5">
        <v>836.5</v>
      </c>
      <c r="I47" s="5">
        <v>310</v>
      </c>
      <c r="J47" s="7"/>
    </row>
    <row r="48" spans="1:11" ht="15.75" x14ac:dyDescent="0.2">
      <c r="A48" s="106"/>
      <c r="B48" s="4" t="s">
        <v>6</v>
      </c>
      <c r="C48" s="5">
        <v>2781.5699999999997</v>
      </c>
      <c r="D48" s="5">
        <v>648.88999999999987</v>
      </c>
      <c r="E48" s="5">
        <v>468.98</v>
      </c>
      <c r="F48" s="5">
        <v>705.80000000000007</v>
      </c>
      <c r="G48" s="5">
        <v>713.5</v>
      </c>
      <c r="H48" s="5">
        <v>216.39999999999998</v>
      </c>
      <c r="I48" s="5">
        <v>28</v>
      </c>
      <c r="J48" s="7"/>
    </row>
    <row r="49" spans="1:11" ht="15.75" x14ac:dyDescent="0.2">
      <c r="A49" s="106"/>
      <c r="B49" s="4" t="s">
        <v>5</v>
      </c>
      <c r="C49" s="5">
        <v>2.2000000000000002</v>
      </c>
      <c r="D49" s="5">
        <v>0.6</v>
      </c>
      <c r="E49" s="5">
        <v>0</v>
      </c>
      <c r="F49" s="5">
        <v>1.6</v>
      </c>
      <c r="G49" s="5">
        <v>0</v>
      </c>
      <c r="H49" s="5">
        <v>0</v>
      </c>
      <c r="I49" s="5">
        <v>0</v>
      </c>
      <c r="J49" s="7"/>
    </row>
    <row r="50" spans="1:11" ht="42.75" x14ac:dyDescent="0.2">
      <c r="A50" s="106" t="s">
        <v>19</v>
      </c>
      <c r="B50" s="9" t="s">
        <v>3</v>
      </c>
      <c r="C50" s="8">
        <v>13668.699999999999</v>
      </c>
      <c r="D50" s="8">
        <v>1313.0000000000002</v>
      </c>
      <c r="E50" s="8">
        <v>898.88000000000011</v>
      </c>
      <c r="F50" s="8">
        <v>2103.63</v>
      </c>
      <c r="G50" s="8">
        <v>3630.14</v>
      </c>
      <c r="H50" s="8">
        <v>2915</v>
      </c>
      <c r="I50" s="8">
        <v>2808.05</v>
      </c>
      <c r="J50" s="7"/>
      <c r="K50" s="7"/>
    </row>
    <row r="51" spans="1:11" ht="15.75" x14ac:dyDescent="0.2">
      <c r="A51" s="106"/>
      <c r="B51" s="4" t="s">
        <v>4</v>
      </c>
      <c r="C51" s="5">
        <v>11194.619999999999</v>
      </c>
      <c r="D51" s="5">
        <v>1275.8999999999999</v>
      </c>
      <c r="E51" s="5">
        <v>553</v>
      </c>
      <c r="F51" s="5">
        <v>1632.05</v>
      </c>
      <c r="G51" s="5">
        <v>3074.72</v>
      </c>
      <c r="H51" s="5">
        <v>2354.6999999999998</v>
      </c>
      <c r="I51" s="5">
        <v>2304.25</v>
      </c>
      <c r="J51" s="7"/>
    </row>
    <row r="52" spans="1:11" ht="15.75" x14ac:dyDescent="0.2">
      <c r="A52" s="106"/>
      <c r="B52" s="4" t="s">
        <v>6</v>
      </c>
      <c r="C52" s="5">
        <v>2469.08</v>
      </c>
      <c r="D52" s="5">
        <v>37.099999999999994</v>
      </c>
      <c r="E52" s="5">
        <v>345.88</v>
      </c>
      <c r="F52" s="5">
        <v>469.58</v>
      </c>
      <c r="G52" s="5">
        <v>552.41999999999996</v>
      </c>
      <c r="H52" s="5">
        <v>560.29999999999995</v>
      </c>
      <c r="I52" s="5">
        <v>503.79999999999995</v>
      </c>
      <c r="J52" s="7"/>
    </row>
    <row r="53" spans="1:11" ht="15.75" x14ac:dyDescent="0.2">
      <c r="A53" s="106"/>
      <c r="B53" s="4" t="s">
        <v>5</v>
      </c>
      <c r="C53" s="5">
        <v>5</v>
      </c>
      <c r="D53" s="5">
        <v>0</v>
      </c>
      <c r="E53" s="5">
        <v>0</v>
      </c>
      <c r="F53" s="5">
        <v>2</v>
      </c>
      <c r="G53" s="5">
        <v>3</v>
      </c>
      <c r="H53" s="5">
        <v>0</v>
      </c>
      <c r="I53" s="5">
        <v>0</v>
      </c>
      <c r="J53" s="7"/>
    </row>
    <row r="54" spans="1:11" ht="42.75" x14ac:dyDescent="0.2">
      <c r="A54" s="106" t="s">
        <v>20</v>
      </c>
      <c r="B54" s="9" t="s">
        <v>3</v>
      </c>
      <c r="C54" s="8">
        <v>2329.7780000000002</v>
      </c>
      <c r="D54" s="8">
        <v>32.69</v>
      </c>
      <c r="E54" s="8">
        <v>232.70499999999998</v>
      </c>
      <c r="F54" s="8">
        <v>955.83500000000004</v>
      </c>
      <c r="G54" s="8">
        <v>464.1</v>
      </c>
      <c r="H54" s="8">
        <v>324.39999999999998</v>
      </c>
      <c r="I54" s="8">
        <v>320.048</v>
      </c>
      <c r="J54" s="7"/>
      <c r="K54" s="7"/>
    </row>
    <row r="55" spans="1:11" ht="15.75" x14ac:dyDescent="0.2">
      <c r="A55" s="106"/>
      <c r="B55" s="4" t="s">
        <v>4</v>
      </c>
      <c r="C55" s="5">
        <v>276.31</v>
      </c>
      <c r="D55" s="5">
        <v>9.8000000000000007</v>
      </c>
      <c r="E55" s="5">
        <v>44.45</v>
      </c>
      <c r="F55" s="5">
        <v>222.06</v>
      </c>
      <c r="G55" s="5">
        <v>0</v>
      </c>
      <c r="H55" s="5">
        <v>0</v>
      </c>
      <c r="I55" s="5">
        <v>0</v>
      </c>
      <c r="J55" s="7"/>
    </row>
    <row r="56" spans="1:11" ht="15.75" x14ac:dyDescent="0.2">
      <c r="A56" s="106"/>
      <c r="B56" s="4" t="s">
        <v>6</v>
      </c>
      <c r="C56" s="5">
        <v>2052.998</v>
      </c>
      <c r="D56" s="5">
        <v>22.89</v>
      </c>
      <c r="E56" s="5">
        <v>188.255</v>
      </c>
      <c r="F56" s="5">
        <v>733.57500000000005</v>
      </c>
      <c r="G56" s="5">
        <v>463.9</v>
      </c>
      <c r="H56" s="5">
        <v>324.39999999999998</v>
      </c>
      <c r="I56" s="5">
        <v>319.97800000000001</v>
      </c>
      <c r="J56" s="7"/>
    </row>
    <row r="57" spans="1:11" ht="15.75" x14ac:dyDescent="0.2">
      <c r="A57" s="106"/>
      <c r="B57" s="4" t="s">
        <v>5</v>
      </c>
      <c r="C57" s="5">
        <v>0.47000000000000003</v>
      </c>
      <c r="D57" s="5">
        <v>0</v>
      </c>
      <c r="E57" s="5">
        <v>0</v>
      </c>
      <c r="F57" s="5">
        <v>0.2</v>
      </c>
      <c r="G57" s="5">
        <v>0.2</v>
      </c>
      <c r="H57" s="5">
        <v>0</v>
      </c>
      <c r="I57" s="5">
        <v>7.0000000000000007E-2</v>
      </c>
      <c r="J57" s="7"/>
    </row>
    <row r="58" spans="1:11" ht="42.75" x14ac:dyDescent="0.2">
      <c r="A58" s="107" t="s">
        <v>8</v>
      </c>
      <c r="B58" s="9" t="s">
        <v>3</v>
      </c>
      <c r="C58" s="10">
        <f t="shared" ref="C58:I58" si="0">SUMIF($B$6:$B$57,"Объем*",C$6:C$57)</f>
        <v>126608.75266000001</v>
      </c>
      <c r="D58" s="10">
        <f t="shared" si="0"/>
        <v>6931.5921200000003</v>
      </c>
      <c r="E58" s="10">
        <f t="shared" si="0"/>
        <v>19592.565850000003</v>
      </c>
      <c r="F58" s="10">
        <f t="shared" si="0"/>
        <v>26676.855689999997</v>
      </c>
      <c r="G58" s="10">
        <f t="shared" si="0"/>
        <v>27889.016649999998</v>
      </c>
      <c r="H58" s="10">
        <f t="shared" si="0"/>
        <v>26611.810000000005</v>
      </c>
      <c r="I58" s="10">
        <f t="shared" si="0"/>
        <v>18906.912349999999</v>
      </c>
      <c r="J58" s="7"/>
      <c r="K58" s="7"/>
    </row>
    <row r="59" spans="1:11" ht="15.75" x14ac:dyDescent="0.2">
      <c r="A59" s="108"/>
      <c r="B59" s="4" t="s">
        <v>4</v>
      </c>
      <c r="C59" s="6">
        <f t="shared" ref="C59:I59" si="1">SUMIF($B$6:$B$57,"фед*",C$6:C$57)</f>
        <v>79614.729734000008</v>
      </c>
      <c r="D59" s="6">
        <f t="shared" si="1"/>
        <v>3101.3991000000001</v>
      </c>
      <c r="E59" s="6">
        <f t="shared" si="1"/>
        <v>8890.3988400000017</v>
      </c>
      <c r="F59" s="6">
        <f t="shared" si="1"/>
        <v>16231.997214000001</v>
      </c>
      <c r="G59" s="6">
        <f t="shared" si="1"/>
        <v>18624.71358</v>
      </c>
      <c r="H59" s="6">
        <f t="shared" si="1"/>
        <v>19726.141</v>
      </c>
      <c r="I59" s="6">
        <f t="shared" si="1"/>
        <v>13040.08</v>
      </c>
      <c r="J59" s="7"/>
    </row>
    <row r="60" spans="1:11" ht="15.75" x14ac:dyDescent="0.2">
      <c r="A60" s="108"/>
      <c r="B60" s="4" t="s">
        <v>6</v>
      </c>
      <c r="C60" s="6">
        <f t="shared" ref="C60:I60" si="2">SUMIF($B$6:$B$57,"конс*",C$6:C$57)</f>
        <v>43574.593927499998</v>
      </c>
      <c r="D60" s="6">
        <f t="shared" si="2"/>
        <v>3804.3660199999995</v>
      </c>
      <c r="E60" s="6">
        <f t="shared" si="2"/>
        <v>10167.162499399998</v>
      </c>
      <c r="F60" s="6">
        <f t="shared" si="2"/>
        <v>9961.1259910999997</v>
      </c>
      <c r="G60" s="6">
        <f t="shared" si="2"/>
        <v>8409.210067</v>
      </c>
      <c r="H60" s="6">
        <f t="shared" si="2"/>
        <v>6119.6009999999997</v>
      </c>
      <c r="I60" s="6">
        <f t="shared" si="2"/>
        <v>5113.1283500000018</v>
      </c>
      <c r="J60" s="7"/>
    </row>
    <row r="61" spans="1:11" ht="15.75" x14ac:dyDescent="0.2">
      <c r="A61" s="108"/>
      <c r="B61" s="4" t="s">
        <v>5</v>
      </c>
      <c r="C61" s="6">
        <f t="shared" ref="C61:I61" si="3">SUMIF($B$6:$B$57,"вне*",C$6:C$57)</f>
        <v>3419.4289984999996</v>
      </c>
      <c r="D61" s="6">
        <f t="shared" si="3"/>
        <v>25.827000000000005</v>
      </c>
      <c r="E61" s="6">
        <f t="shared" si="3"/>
        <v>535.00451059999989</v>
      </c>
      <c r="F61" s="6">
        <f t="shared" si="3"/>
        <v>483.73248489999992</v>
      </c>
      <c r="G61" s="6">
        <f t="shared" si="3"/>
        <v>855.09300300000007</v>
      </c>
      <c r="H61" s="6">
        <f t="shared" si="3"/>
        <v>766.0680000000001</v>
      </c>
      <c r="I61" s="6">
        <f t="shared" si="3"/>
        <v>753.70400000000006</v>
      </c>
      <c r="J61" s="7"/>
    </row>
    <row r="62" spans="1:11" x14ac:dyDescent="0.2">
      <c r="D62" s="7"/>
      <c r="E62" s="7"/>
      <c r="F62" s="7"/>
      <c r="G62" s="7"/>
      <c r="H62" s="7"/>
      <c r="I62" s="7"/>
      <c r="J62" s="7"/>
    </row>
    <row r="63" spans="1:11" x14ac:dyDescent="0.2">
      <c r="C63" s="7"/>
    </row>
    <row r="64" spans="1:11" x14ac:dyDescent="0.2">
      <c r="C64" s="7"/>
    </row>
    <row r="65" spans="3:3" x14ac:dyDescent="0.2">
      <c r="C65" s="7"/>
    </row>
    <row r="66" spans="3:3" x14ac:dyDescent="0.2">
      <c r="C66" s="7"/>
    </row>
  </sheetData>
  <mergeCells count="17">
    <mergeCell ref="A18:A21"/>
    <mergeCell ref="A2:I2"/>
    <mergeCell ref="A4:A5"/>
    <mergeCell ref="B4:I4"/>
    <mergeCell ref="A6:A9"/>
    <mergeCell ref="A10:A13"/>
    <mergeCell ref="A14:A17"/>
    <mergeCell ref="A46:A49"/>
    <mergeCell ref="A50:A53"/>
    <mergeCell ref="A54:A57"/>
    <mergeCell ref="A58:A61"/>
    <mergeCell ref="A22:A25"/>
    <mergeCell ref="A26:A29"/>
    <mergeCell ref="A30:A33"/>
    <mergeCell ref="A34:A37"/>
    <mergeCell ref="A38:A41"/>
    <mergeCell ref="A42:A45"/>
  </mergeCells>
  <conditionalFormatting sqref="L6:XFD9 B5:XFD5 A62:XFD1048576 B7:I9 A6:I6 B11:I13 A10:I10 B15:I17 A14:I14 B23:I25 A22:I22 B27:I29 A26:I26 B31:I33 A30:I30 B35:I37 A34:I34 B39:I41 A38:I38 B43:I45 A42:I42 B47:I49 A46:I46 B51:I53 A50:I50 B55:I57 A54:I54 A58:I58 B59:I61 B19:I21 A18:I18 A4:XFD4">
    <cfRule type="cellIs" dxfId="289" priority="15" operator="equal">
      <formula>0</formula>
    </cfRule>
  </conditionalFormatting>
  <conditionalFormatting sqref="L10:XFD13">
    <cfRule type="cellIs" dxfId="288" priority="14" operator="equal">
      <formula>0</formula>
    </cfRule>
  </conditionalFormatting>
  <conditionalFormatting sqref="L14:XFD17">
    <cfRule type="cellIs" dxfId="287" priority="13" operator="equal">
      <formula>0</formula>
    </cfRule>
  </conditionalFormatting>
  <conditionalFormatting sqref="L22:XFD25">
    <cfRule type="cellIs" dxfId="286" priority="12" operator="equal">
      <formula>0</formula>
    </cfRule>
  </conditionalFormatting>
  <conditionalFormatting sqref="L26:XFD29">
    <cfRule type="cellIs" dxfId="285" priority="11" operator="equal">
      <formula>0</formula>
    </cfRule>
  </conditionalFormatting>
  <conditionalFormatting sqref="L30:XFD33">
    <cfRule type="cellIs" dxfId="284" priority="10" operator="equal">
      <formula>0</formula>
    </cfRule>
  </conditionalFormatting>
  <conditionalFormatting sqref="L34:XFD37">
    <cfRule type="cellIs" dxfId="283" priority="9" operator="equal">
      <formula>0</formula>
    </cfRule>
  </conditionalFormatting>
  <conditionalFormatting sqref="L38:XFD41">
    <cfRule type="cellIs" dxfId="282" priority="8" operator="equal">
      <formula>0</formula>
    </cfRule>
  </conditionalFormatting>
  <conditionalFormatting sqref="L42:XFD45">
    <cfRule type="cellIs" dxfId="281" priority="7" operator="equal">
      <formula>0</formula>
    </cfRule>
  </conditionalFormatting>
  <conditionalFormatting sqref="L46:XFD49">
    <cfRule type="cellIs" dxfId="280" priority="6" operator="equal">
      <formula>0</formula>
    </cfRule>
  </conditionalFormatting>
  <conditionalFormatting sqref="L50:XFD53">
    <cfRule type="cellIs" dxfId="279" priority="5" operator="equal">
      <formula>0</formula>
    </cfRule>
  </conditionalFormatting>
  <conditionalFormatting sqref="L54:XFD57">
    <cfRule type="cellIs" dxfId="278" priority="4" operator="equal">
      <formula>0</formula>
    </cfRule>
  </conditionalFormatting>
  <conditionalFormatting sqref="J58:XFD61">
    <cfRule type="cellIs" dxfId="277" priority="3" operator="equal">
      <formula>0</formula>
    </cfRule>
  </conditionalFormatting>
  <conditionalFormatting sqref="L18:XFD21">
    <cfRule type="cellIs" dxfId="276" priority="2" operator="equal">
      <formula>0</formula>
    </cfRule>
  </conditionalFormatting>
  <conditionalFormatting sqref="J6:K57">
    <cfRule type="cellIs" dxfId="275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5550E-614D-4D0F-8CD5-592398557C8E}">
  <sheetPr>
    <pageSetUpPr fitToPage="1"/>
  </sheetPr>
  <dimension ref="B1:Q220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285156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6384" width="9.140625" style="2"/>
  </cols>
  <sheetData>
    <row r="1" spans="2:17" ht="21.75" customHeight="1" x14ac:dyDescent="0.25">
      <c r="B1" s="120" t="s">
        <v>1542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7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7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7" ht="25.5" customHeight="1" x14ac:dyDescent="0.2">
      <c r="B5" s="111" t="s">
        <v>32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7" ht="42.75" outlineLevel="1" x14ac:dyDescent="0.2">
      <c r="B6" s="117" t="s">
        <v>1543</v>
      </c>
      <c r="C6" s="117" t="s">
        <v>1544</v>
      </c>
      <c r="D6" s="117" t="s">
        <v>32</v>
      </c>
      <c r="E6" s="117">
        <v>2021</v>
      </c>
      <c r="F6" s="117"/>
      <c r="G6" s="117" t="s">
        <v>107</v>
      </c>
      <c r="H6" s="84" t="s">
        <v>3</v>
      </c>
      <c r="I6" s="83">
        <f>SUM(J6:O6)</f>
        <v>8</v>
      </c>
      <c r="J6" s="85"/>
      <c r="K6" s="85">
        <v>8</v>
      </c>
      <c r="L6" s="85"/>
      <c r="M6" s="85"/>
      <c r="N6" s="85"/>
      <c r="O6" s="85"/>
      <c r="P6" s="117">
        <v>33419</v>
      </c>
    </row>
    <row r="7" spans="2:17" outlineLevel="1" x14ac:dyDescent="0.2">
      <c r="B7" s="118"/>
      <c r="C7" s="132"/>
      <c r="D7" s="118"/>
      <c r="E7" s="118"/>
      <c r="F7" s="118"/>
      <c r="G7" s="118"/>
      <c r="H7" s="84" t="s">
        <v>4</v>
      </c>
      <c r="I7" s="83">
        <f t="shared" ref="I7:I13" si="0">SUM(J7:O7)</f>
        <v>7.52</v>
      </c>
      <c r="J7" s="85"/>
      <c r="K7" s="85">
        <v>7.52</v>
      </c>
      <c r="L7" s="85"/>
      <c r="M7" s="85"/>
      <c r="N7" s="85"/>
      <c r="O7" s="85"/>
      <c r="P7" s="118"/>
    </row>
    <row r="8" spans="2:17" outlineLevel="1" x14ac:dyDescent="0.2">
      <c r="B8" s="118"/>
      <c r="C8" s="132"/>
      <c r="D8" s="118"/>
      <c r="E8" s="118"/>
      <c r="F8" s="118"/>
      <c r="G8" s="118"/>
      <c r="H8" s="84" t="s">
        <v>6</v>
      </c>
      <c r="I8" s="83">
        <f t="shared" si="0"/>
        <v>0.48</v>
      </c>
      <c r="J8" s="85"/>
      <c r="K8" s="85">
        <v>0.48</v>
      </c>
      <c r="L8" s="85"/>
      <c r="M8" s="85"/>
      <c r="N8" s="85"/>
      <c r="O8" s="85"/>
      <c r="P8" s="118"/>
    </row>
    <row r="9" spans="2:17" outlineLevel="1" x14ac:dyDescent="0.2">
      <c r="B9" s="119"/>
      <c r="C9" s="133"/>
      <c r="D9" s="119"/>
      <c r="E9" s="119"/>
      <c r="F9" s="119"/>
      <c r="G9" s="119"/>
      <c r="H9" s="84" t="s">
        <v>5</v>
      </c>
      <c r="I9" s="83">
        <f t="shared" si="0"/>
        <v>0</v>
      </c>
      <c r="J9" s="85"/>
      <c r="K9" s="85"/>
      <c r="L9" s="85"/>
      <c r="M9" s="85"/>
      <c r="N9" s="85"/>
      <c r="O9" s="85"/>
      <c r="P9" s="119"/>
    </row>
    <row r="10" spans="2:17" ht="42.75" outlineLevel="1" x14ac:dyDescent="0.2">
      <c r="B10" s="117" t="s">
        <v>1545</v>
      </c>
      <c r="C10" s="117" t="s">
        <v>1544</v>
      </c>
      <c r="D10" s="117" t="s">
        <v>32</v>
      </c>
      <c r="E10" s="117" t="s">
        <v>1546</v>
      </c>
      <c r="F10" s="117"/>
      <c r="G10" s="117" t="s">
        <v>107</v>
      </c>
      <c r="H10" s="84" t="s">
        <v>3</v>
      </c>
      <c r="I10" s="83">
        <f t="shared" si="0"/>
        <v>128</v>
      </c>
      <c r="J10" s="85"/>
      <c r="K10" s="85"/>
      <c r="L10" s="85">
        <f t="shared" ref="L10:O10" si="1">L11+L12</f>
        <v>32</v>
      </c>
      <c r="M10" s="85">
        <f t="shared" si="1"/>
        <v>32</v>
      </c>
      <c r="N10" s="85">
        <f t="shared" si="1"/>
        <v>32</v>
      </c>
      <c r="O10" s="85">
        <f t="shared" si="1"/>
        <v>32</v>
      </c>
      <c r="P10" s="117">
        <v>33419</v>
      </c>
    </row>
    <row r="11" spans="2:17" outlineLevel="1" x14ac:dyDescent="0.2">
      <c r="B11" s="118"/>
      <c r="C11" s="132"/>
      <c r="D11" s="118"/>
      <c r="E11" s="118"/>
      <c r="F11" s="118"/>
      <c r="G11" s="118"/>
      <c r="H11" s="84" t="s">
        <v>4</v>
      </c>
      <c r="I11" s="83">
        <f t="shared" si="0"/>
        <v>120.32</v>
      </c>
      <c r="J11" s="85"/>
      <c r="K11" s="85"/>
      <c r="L11" s="85">
        <v>30.08</v>
      </c>
      <c r="M11" s="85">
        <v>30.08</v>
      </c>
      <c r="N11" s="85">
        <v>30.08</v>
      </c>
      <c r="O11" s="85">
        <v>30.08</v>
      </c>
      <c r="P11" s="118"/>
    </row>
    <row r="12" spans="2:17" outlineLevel="1" x14ac:dyDescent="0.2">
      <c r="B12" s="118"/>
      <c r="C12" s="132"/>
      <c r="D12" s="118"/>
      <c r="E12" s="118"/>
      <c r="F12" s="118"/>
      <c r="G12" s="118"/>
      <c r="H12" s="84" t="s">
        <v>6</v>
      </c>
      <c r="I12" s="83">
        <f t="shared" si="0"/>
        <v>7.68</v>
      </c>
      <c r="J12" s="85"/>
      <c r="K12" s="85"/>
      <c r="L12" s="85">
        <v>1.92</v>
      </c>
      <c r="M12" s="85">
        <v>1.92</v>
      </c>
      <c r="N12" s="85">
        <v>1.92</v>
      </c>
      <c r="O12" s="85">
        <v>1.92</v>
      </c>
      <c r="P12" s="118"/>
    </row>
    <row r="13" spans="2:17" outlineLevel="1" x14ac:dyDescent="0.2">
      <c r="B13" s="119"/>
      <c r="C13" s="133"/>
      <c r="D13" s="119"/>
      <c r="E13" s="119"/>
      <c r="F13" s="119"/>
      <c r="G13" s="119"/>
      <c r="H13" s="84" t="s">
        <v>5</v>
      </c>
      <c r="I13" s="83">
        <f t="shared" si="0"/>
        <v>0</v>
      </c>
      <c r="J13" s="85"/>
      <c r="K13" s="85"/>
      <c r="L13" s="85"/>
      <c r="M13" s="85"/>
      <c r="N13" s="85"/>
      <c r="O13" s="85"/>
      <c r="P13" s="119"/>
    </row>
    <row r="14" spans="2:17" ht="42.75" x14ac:dyDescent="0.2">
      <c r="B14" s="128" t="s">
        <v>37</v>
      </c>
      <c r="C14" s="128" t="s">
        <v>38</v>
      </c>
      <c r="D14" s="128" t="s">
        <v>38</v>
      </c>
      <c r="E14" s="128" t="s">
        <v>38</v>
      </c>
      <c r="F14" s="128" t="s">
        <v>38</v>
      </c>
      <c r="G14" s="128" t="s">
        <v>38</v>
      </c>
      <c r="H14" s="84" t="s">
        <v>3</v>
      </c>
      <c r="I14" s="14">
        <f>SUMIF($H$6:$H$13,"Объем*",I$6:I$13)</f>
        <v>136</v>
      </c>
      <c r="J14" s="14">
        <f t="shared" ref="J14:O14" si="2">SUMIF($H$6:$H$13,"Объем*",J$6:J$13)</f>
        <v>0</v>
      </c>
      <c r="K14" s="14">
        <f t="shared" si="2"/>
        <v>8</v>
      </c>
      <c r="L14" s="14">
        <f t="shared" si="2"/>
        <v>32</v>
      </c>
      <c r="M14" s="14">
        <f t="shared" si="2"/>
        <v>32</v>
      </c>
      <c r="N14" s="14">
        <f t="shared" si="2"/>
        <v>32</v>
      </c>
      <c r="O14" s="14">
        <f t="shared" si="2"/>
        <v>32</v>
      </c>
      <c r="P14" s="128"/>
      <c r="Q14" s="7"/>
    </row>
    <row r="15" spans="2:17" ht="15.75" x14ac:dyDescent="0.2">
      <c r="B15" s="129"/>
      <c r="C15" s="129"/>
      <c r="D15" s="129"/>
      <c r="E15" s="129"/>
      <c r="F15" s="129"/>
      <c r="G15" s="129"/>
      <c r="H15" s="84" t="s">
        <v>4</v>
      </c>
      <c r="I15" s="14">
        <f>SUMIF($H$6:$H$13,"фед*",I$6:I$13)</f>
        <v>127.83999999999999</v>
      </c>
      <c r="J15" s="14">
        <f t="shared" ref="J15:O15" si="3">SUMIF($H$6:$H$13,"фед*",J$6:J$13)</f>
        <v>0</v>
      </c>
      <c r="K15" s="14">
        <f t="shared" si="3"/>
        <v>7.52</v>
      </c>
      <c r="L15" s="14">
        <f t="shared" si="3"/>
        <v>30.08</v>
      </c>
      <c r="M15" s="14">
        <f t="shared" si="3"/>
        <v>30.08</v>
      </c>
      <c r="N15" s="14">
        <f t="shared" si="3"/>
        <v>30.08</v>
      </c>
      <c r="O15" s="14">
        <f t="shared" si="3"/>
        <v>30.08</v>
      </c>
      <c r="P15" s="129"/>
    </row>
    <row r="16" spans="2:17" ht="15.75" x14ac:dyDescent="0.2">
      <c r="B16" s="129"/>
      <c r="C16" s="129"/>
      <c r="D16" s="129"/>
      <c r="E16" s="129"/>
      <c r="F16" s="129"/>
      <c r="G16" s="129"/>
      <c r="H16" s="84" t="s">
        <v>6</v>
      </c>
      <c r="I16" s="14">
        <f>SUMIF($H$6:$H$13,"конс*",I$6:I$13)</f>
        <v>8.16</v>
      </c>
      <c r="J16" s="14">
        <f t="shared" ref="J16:O16" si="4">SUMIF($H$6:$H$13,"конс*",J$6:J$13)</f>
        <v>0</v>
      </c>
      <c r="K16" s="14">
        <f t="shared" si="4"/>
        <v>0.48</v>
      </c>
      <c r="L16" s="14">
        <f t="shared" si="4"/>
        <v>1.92</v>
      </c>
      <c r="M16" s="14">
        <f t="shared" si="4"/>
        <v>1.92</v>
      </c>
      <c r="N16" s="14">
        <f t="shared" si="4"/>
        <v>1.92</v>
      </c>
      <c r="O16" s="14">
        <f t="shared" si="4"/>
        <v>1.92</v>
      </c>
      <c r="P16" s="129"/>
    </row>
    <row r="17" spans="2:17" ht="15.75" x14ac:dyDescent="0.2">
      <c r="B17" s="130"/>
      <c r="C17" s="130"/>
      <c r="D17" s="130"/>
      <c r="E17" s="130"/>
      <c r="F17" s="130"/>
      <c r="G17" s="130"/>
      <c r="H17" s="84" t="s">
        <v>5</v>
      </c>
      <c r="I17" s="14">
        <f>SUMIF($H$6:$H$13,"вне*",I$6:I$13)</f>
        <v>0</v>
      </c>
      <c r="J17" s="14">
        <f t="shared" ref="J17:O17" si="5">SUMIF($H$6:$H$13,"вне*",J$6:J$13)</f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5"/>
        <v>0</v>
      </c>
      <c r="O17" s="14">
        <f t="shared" si="5"/>
        <v>0</v>
      </c>
      <c r="P17" s="130"/>
    </row>
    <row r="18" spans="2:17" ht="25.5" customHeight="1" x14ac:dyDescent="0.2">
      <c r="B18" s="111" t="s">
        <v>39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3"/>
    </row>
    <row r="19" spans="2:17" ht="42.75" outlineLevel="1" x14ac:dyDescent="0.2">
      <c r="B19" s="117" t="s">
        <v>1547</v>
      </c>
      <c r="C19" s="117" t="s">
        <v>1548</v>
      </c>
      <c r="D19" s="150"/>
      <c r="E19" s="117">
        <v>2023</v>
      </c>
      <c r="F19" s="117"/>
      <c r="G19" s="139" t="s">
        <v>1549</v>
      </c>
      <c r="H19" s="84" t="s">
        <v>3</v>
      </c>
      <c r="I19" s="83">
        <f>SUM(J19:O19)</f>
        <v>15</v>
      </c>
      <c r="J19" s="83">
        <f t="shared" ref="J19:O19" si="6">J20+J21+J22</f>
        <v>0</v>
      </c>
      <c r="K19" s="83">
        <f t="shared" si="6"/>
        <v>0</v>
      </c>
      <c r="L19" s="83">
        <f t="shared" si="6"/>
        <v>0</v>
      </c>
      <c r="M19" s="83">
        <f t="shared" si="6"/>
        <v>15</v>
      </c>
      <c r="N19" s="83">
        <f t="shared" si="6"/>
        <v>0</v>
      </c>
      <c r="O19" s="83">
        <f t="shared" si="6"/>
        <v>0</v>
      </c>
      <c r="P19" s="178"/>
    </row>
    <row r="20" spans="2:17" outlineLevel="1" x14ac:dyDescent="0.2">
      <c r="B20" s="118"/>
      <c r="C20" s="118"/>
      <c r="D20" s="151"/>
      <c r="E20" s="118"/>
      <c r="F20" s="118"/>
      <c r="G20" s="140"/>
      <c r="H20" s="84" t="s">
        <v>4</v>
      </c>
      <c r="I20" s="83"/>
      <c r="J20" s="83"/>
      <c r="K20" s="83"/>
      <c r="L20" s="75"/>
      <c r="M20" s="83"/>
      <c r="N20" s="83"/>
      <c r="O20" s="83"/>
      <c r="P20" s="178"/>
    </row>
    <row r="21" spans="2:17" outlineLevel="1" x14ac:dyDescent="0.2">
      <c r="B21" s="118"/>
      <c r="C21" s="118"/>
      <c r="D21" s="151"/>
      <c r="E21" s="118"/>
      <c r="F21" s="118"/>
      <c r="G21" s="140"/>
      <c r="H21" s="84" t="s">
        <v>6</v>
      </c>
      <c r="I21" s="83"/>
      <c r="J21" s="83"/>
      <c r="K21" s="83"/>
      <c r="L21" s="75"/>
      <c r="M21" s="83"/>
      <c r="N21" s="83"/>
      <c r="O21" s="83"/>
      <c r="P21" s="178"/>
    </row>
    <row r="22" spans="2:17" outlineLevel="1" x14ac:dyDescent="0.2">
      <c r="B22" s="119"/>
      <c r="C22" s="119"/>
      <c r="D22" s="152"/>
      <c r="E22" s="119"/>
      <c r="F22" s="119"/>
      <c r="G22" s="141"/>
      <c r="H22" s="84" t="s">
        <v>5</v>
      </c>
      <c r="I22" s="83">
        <f>SUM(J22:O22)</f>
        <v>15</v>
      </c>
      <c r="J22" s="75"/>
      <c r="K22" s="75"/>
      <c r="L22" s="75"/>
      <c r="M22" s="75">
        <v>15</v>
      </c>
      <c r="N22" s="75"/>
      <c r="O22" s="75"/>
      <c r="P22" s="178"/>
    </row>
    <row r="23" spans="2:17" ht="42.75" x14ac:dyDescent="0.2">
      <c r="B23" s="128" t="s">
        <v>46</v>
      </c>
      <c r="C23" s="128" t="s">
        <v>38</v>
      </c>
      <c r="D23" s="128" t="s">
        <v>38</v>
      </c>
      <c r="E23" s="128" t="s">
        <v>38</v>
      </c>
      <c r="F23" s="128" t="s">
        <v>38</v>
      </c>
      <c r="G23" s="128" t="s">
        <v>38</v>
      </c>
      <c r="H23" s="84" t="s">
        <v>3</v>
      </c>
      <c r="I23" s="14">
        <f>SUMIF($H$19:$H$22,"Объем*",I$19:I$22)</f>
        <v>15</v>
      </c>
      <c r="J23" s="14">
        <f t="shared" ref="J23:O23" si="7">SUMIF($H$19:$H$22,"Объем*",J$19:J$22)</f>
        <v>0</v>
      </c>
      <c r="K23" s="14">
        <f t="shared" si="7"/>
        <v>0</v>
      </c>
      <c r="L23" s="14">
        <f t="shared" si="7"/>
        <v>0</v>
      </c>
      <c r="M23" s="14">
        <f t="shared" si="7"/>
        <v>15</v>
      </c>
      <c r="N23" s="14">
        <f t="shared" si="7"/>
        <v>0</v>
      </c>
      <c r="O23" s="14">
        <f t="shared" si="7"/>
        <v>0</v>
      </c>
      <c r="P23" s="128"/>
      <c r="Q23" s="7"/>
    </row>
    <row r="24" spans="2:17" ht="15.75" x14ac:dyDescent="0.2">
      <c r="B24" s="129"/>
      <c r="C24" s="129"/>
      <c r="D24" s="129"/>
      <c r="E24" s="129"/>
      <c r="F24" s="129"/>
      <c r="G24" s="129"/>
      <c r="H24" s="84" t="s">
        <v>4</v>
      </c>
      <c r="I24" s="14">
        <f>SUMIF($H$19:$H$22,"фед*",I$19:I$22)</f>
        <v>0</v>
      </c>
      <c r="J24" s="14">
        <f t="shared" ref="J24:O24" si="8">SUMIF($H$19:$H$22,"фед*",J$19:J$22)</f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8"/>
        <v>0</v>
      </c>
      <c r="P24" s="129"/>
    </row>
    <row r="25" spans="2:17" ht="15.75" x14ac:dyDescent="0.2">
      <c r="B25" s="129"/>
      <c r="C25" s="129"/>
      <c r="D25" s="129"/>
      <c r="E25" s="129"/>
      <c r="F25" s="129"/>
      <c r="G25" s="129"/>
      <c r="H25" s="84" t="s">
        <v>6</v>
      </c>
      <c r="I25" s="14">
        <f>SUMIF($H$19:$H$22,"конс*",I$19:I$22)</f>
        <v>0</v>
      </c>
      <c r="J25" s="14">
        <f t="shared" ref="J25:O25" si="9">SUMIF($H$19:$H$22,"конс*",J$19:J$22)</f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9"/>
        <v>0</v>
      </c>
      <c r="O25" s="14">
        <f t="shared" si="9"/>
        <v>0</v>
      </c>
      <c r="P25" s="129"/>
    </row>
    <row r="26" spans="2:17" ht="15.75" x14ac:dyDescent="0.2">
      <c r="B26" s="130"/>
      <c r="C26" s="130"/>
      <c r="D26" s="130"/>
      <c r="E26" s="130"/>
      <c r="F26" s="130"/>
      <c r="G26" s="130"/>
      <c r="H26" s="84" t="s">
        <v>5</v>
      </c>
      <c r="I26" s="14">
        <f>SUMIF($H$19:$H$22,"вне*",I$19:I$22)</f>
        <v>15</v>
      </c>
      <c r="J26" s="14">
        <f t="shared" ref="J26:O26" si="10">SUMIF($H$19:$H$22,"вне*",J$19:J$22)</f>
        <v>0</v>
      </c>
      <c r="K26" s="14">
        <f t="shared" si="10"/>
        <v>0</v>
      </c>
      <c r="L26" s="14">
        <f t="shared" si="10"/>
        <v>0</v>
      </c>
      <c r="M26" s="14">
        <f t="shared" si="10"/>
        <v>15</v>
      </c>
      <c r="N26" s="14">
        <f t="shared" si="10"/>
        <v>0</v>
      </c>
      <c r="O26" s="14">
        <f t="shared" si="10"/>
        <v>0</v>
      </c>
      <c r="P26" s="130"/>
    </row>
    <row r="27" spans="2:17" ht="25.5" customHeight="1" x14ac:dyDescent="0.2">
      <c r="B27" s="111" t="s">
        <v>223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</row>
    <row r="28" spans="2:17" ht="42.75" outlineLevel="1" x14ac:dyDescent="0.2">
      <c r="B28" s="117" t="s">
        <v>1550</v>
      </c>
      <c r="C28" s="117" t="s">
        <v>1548</v>
      </c>
      <c r="D28" s="117" t="s">
        <v>1551</v>
      </c>
      <c r="E28" s="117" t="s">
        <v>34</v>
      </c>
      <c r="F28" s="117"/>
      <c r="G28" s="117" t="s">
        <v>1549</v>
      </c>
      <c r="H28" s="84" t="s">
        <v>3</v>
      </c>
      <c r="I28" s="83">
        <f>SUM(J28:O28)</f>
        <v>1.5</v>
      </c>
      <c r="J28" s="83">
        <f t="shared" ref="J28:O28" si="11">J29+J30+J31</f>
        <v>0</v>
      </c>
      <c r="K28" s="83">
        <f t="shared" si="11"/>
        <v>0.5</v>
      </c>
      <c r="L28" s="83">
        <f t="shared" si="11"/>
        <v>0.5</v>
      </c>
      <c r="M28" s="83">
        <f t="shared" si="11"/>
        <v>0.5</v>
      </c>
      <c r="N28" s="83">
        <f t="shared" si="11"/>
        <v>0</v>
      </c>
      <c r="O28" s="83">
        <f t="shared" si="11"/>
        <v>0</v>
      </c>
      <c r="P28" s="117"/>
    </row>
    <row r="29" spans="2:17" outlineLevel="1" x14ac:dyDescent="0.2">
      <c r="B29" s="118"/>
      <c r="C29" s="132"/>
      <c r="D29" s="118"/>
      <c r="E29" s="118"/>
      <c r="F29" s="118"/>
      <c r="G29" s="118"/>
      <c r="H29" s="84" t="s">
        <v>4</v>
      </c>
      <c r="I29" s="83">
        <f t="shared" ref="I29:I31" si="12">SUM(J29:O29)</f>
        <v>0</v>
      </c>
      <c r="J29" s="83"/>
      <c r="K29" s="83"/>
      <c r="L29" s="83"/>
      <c r="M29" s="83"/>
      <c r="N29" s="83"/>
      <c r="O29" s="83"/>
      <c r="P29" s="118"/>
    </row>
    <row r="30" spans="2:17" outlineLevel="1" x14ac:dyDescent="0.2">
      <c r="B30" s="118"/>
      <c r="C30" s="132"/>
      <c r="D30" s="118"/>
      <c r="E30" s="118"/>
      <c r="F30" s="118"/>
      <c r="G30" s="118"/>
      <c r="H30" s="84" t="s">
        <v>6</v>
      </c>
      <c r="I30" s="83">
        <f t="shared" si="12"/>
        <v>0</v>
      </c>
      <c r="J30" s="83"/>
      <c r="K30" s="83"/>
      <c r="L30" s="83"/>
      <c r="M30" s="83"/>
      <c r="N30" s="83"/>
      <c r="O30" s="83"/>
      <c r="P30" s="118"/>
    </row>
    <row r="31" spans="2:17" outlineLevel="1" x14ac:dyDescent="0.2">
      <c r="B31" s="119"/>
      <c r="C31" s="133"/>
      <c r="D31" s="119"/>
      <c r="E31" s="119"/>
      <c r="F31" s="119"/>
      <c r="G31" s="119"/>
      <c r="H31" s="84" t="s">
        <v>5</v>
      </c>
      <c r="I31" s="83">
        <f t="shared" si="12"/>
        <v>1.5</v>
      </c>
      <c r="J31" s="83"/>
      <c r="K31" s="83">
        <v>0.5</v>
      </c>
      <c r="L31" s="83">
        <v>0.5</v>
      </c>
      <c r="M31" s="83">
        <v>0.5</v>
      </c>
      <c r="N31" s="83"/>
      <c r="O31" s="83"/>
      <c r="P31" s="119"/>
    </row>
    <row r="32" spans="2:17" ht="42.75" outlineLevel="1" x14ac:dyDescent="0.2">
      <c r="B32" s="117" t="s">
        <v>1552</v>
      </c>
      <c r="C32" s="117" t="s">
        <v>1548</v>
      </c>
      <c r="D32" s="117" t="s">
        <v>1551</v>
      </c>
      <c r="E32" s="117" t="s">
        <v>73</v>
      </c>
      <c r="F32" s="117"/>
      <c r="G32" s="117" t="s">
        <v>63</v>
      </c>
      <c r="H32" s="84" t="s">
        <v>3</v>
      </c>
      <c r="I32" s="83">
        <f>SUM(J32:O32)</f>
        <v>1.5</v>
      </c>
      <c r="J32" s="83">
        <f t="shared" ref="J32:O32" si="13">J33+J34+J35</f>
        <v>0</v>
      </c>
      <c r="K32" s="83">
        <f t="shared" si="13"/>
        <v>0.3</v>
      </c>
      <c r="L32" s="83">
        <f t="shared" si="13"/>
        <v>0.3</v>
      </c>
      <c r="M32" s="83">
        <f t="shared" si="13"/>
        <v>0.3</v>
      </c>
      <c r="N32" s="83">
        <f t="shared" si="13"/>
        <v>0.3</v>
      </c>
      <c r="O32" s="83">
        <f t="shared" si="13"/>
        <v>0.3</v>
      </c>
      <c r="P32" s="117"/>
    </row>
    <row r="33" spans="2:16" outlineLevel="1" x14ac:dyDescent="0.2">
      <c r="B33" s="118"/>
      <c r="C33" s="132"/>
      <c r="D33" s="118"/>
      <c r="E33" s="118"/>
      <c r="F33" s="118"/>
      <c r="G33" s="118"/>
      <c r="H33" s="84" t="s">
        <v>4</v>
      </c>
      <c r="I33" s="83"/>
      <c r="J33" s="83"/>
      <c r="K33" s="83"/>
      <c r="L33" s="83"/>
      <c r="M33" s="83"/>
      <c r="N33" s="83"/>
      <c r="O33" s="83"/>
      <c r="P33" s="118"/>
    </row>
    <row r="34" spans="2:16" outlineLevel="1" x14ac:dyDescent="0.2">
      <c r="B34" s="118"/>
      <c r="C34" s="132"/>
      <c r="D34" s="118"/>
      <c r="E34" s="118"/>
      <c r="F34" s="118"/>
      <c r="G34" s="118"/>
      <c r="H34" s="84" t="s">
        <v>6</v>
      </c>
      <c r="I34" s="83">
        <f>SUM(J34:O34)</f>
        <v>1.5</v>
      </c>
      <c r="J34" s="83"/>
      <c r="K34" s="83">
        <v>0.3</v>
      </c>
      <c r="L34" s="83">
        <v>0.3</v>
      </c>
      <c r="M34" s="83">
        <v>0.3</v>
      </c>
      <c r="N34" s="83">
        <v>0.3</v>
      </c>
      <c r="O34" s="83">
        <v>0.3</v>
      </c>
      <c r="P34" s="118"/>
    </row>
    <row r="35" spans="2:16" outlineLevel="1" x14ac:dyDescent="0.2">
      <c r="B35" s="119"/>
      <c r="C35" s="133"/>
      <c r="D35" s="119"/>
      <c r="E35" s="119"/>
      <c r="F35" s="119"/>
      <c r="G35" s="119"/>
      <c r="H35" s="84" t="s">
        <v>5</v>
      </c>
      <c r="I35" s="83"/>
      <c r="J35" s="83"/>
      <c r="K35" s="83"/>
      <c r="L35" s="83"/>
      <c r="M35" s="83"/>
      <c r="N35" s="83"/>
      <c r="O35" s="83"/>
      <c r="P35" s="119"/>
    </row>
    <row r="36" spans="2:16" ht="42.75" outlineLevel="1" x14ac:dyDescent="0.2">
      <c r="B36" s="117" t="s">
        <v>1553</v>
      </c>
      <c r="C36" s="117"/>
      <c r="D36" s="117" t="s">
        <v>1554</v>
      </c>
      <c r="E36" s="117" t="s">
        <v>203</v>
      </c>
      <c r="F36" s="117"/>
      <c r="G36" s="117" t="s">
        <v>107</v>
      </c>
      <c r="H36" s="84" t="s">
        <v>3</v>
      </c>
      <c r="I36" s="83">
        <f>SUM(J36:O36)</f>
        <v>15.135000000000002</v>
      </c>
      <c r="J36" s="83">
        <f t="shared" ref="J36:O36" si="14">J37+J38+J39</f>
        <v>6.0819999999999999</v>
      </c>
      <c r="K36" s="83">
        <f t="shared" si="14"/>
        <v>9.0530000000000008</v>
      </c>
      <c r="L36" s="83">
        <f t="shared" si="14"/>
        <v>0</v>
      </c>
      <c r="M36" s="83">
        <f t="shared" si="14"/>
        <v>0</v>
      </c>
      <c r="N36" s="83">
        <f t="shared" si="14"/>
        <v>0</v>
      </c>
      <c r="O36" s="83">
        <f t="shared" si="14"/>
        <v>0</v>
      </c>
      <c r="P36" s="117"/>
    </row>
    <row r="37" spans="2:16" outlineLevel="1" x14ac:dyDescent="0.2">
      <c r="B37" s="118"/>
      <c r="C37" s="132"/>
      <c r="D37" s="118"/>
      <c r="E37" s="118"/>
      <c r="F37" s="118"/>
      <c r="G37" s="118"/>
      <c r="H37" s="84" t="s">
        <v>4</v>
      </c>
      <c r="I37" s="83">
        <f>SUM(J37:O37)</f>
        <v>10.84</v>
      </c>
      <c r="J37" s="83">
        <v>4.34</v>
      </c>
      <c r="K37" s="83">
        <v>6.5</v>
      </c>
      <c r="L37" s="83"/>
      <c r="M37" s="83"/>
      <c r="N37" s="83"/>
      <c r="O37" s="83"/>
      <c r="P37" s="118"/>
    </row>
    <row r="38" spans="2:16" outlineLevel="1" x14ac:dyDescent="0.2">
      <c r="B38" s="118"/>
      <c r="C38" s="132"/>
      <c r="D38" s="118"/>
      <c r="E38" s="118"/>
      <c r="F38" s="118"/>
      <c r="G38" s="118"/>
      <c r="H38" s="84" t="s">
        <v>6</v>
      </c>
      <c r="I38" s="83">
        <f>SUM(J38:O38)</f>
        <v>4.2949999999999999</v>
      </c>
      <c r="J38" s="83">
        <v>1.742</v>
      </c>
      <c r="K38" s="83">
        <v>2.5529999999999999</v>
      </c>
      <c r="L38" s="83"/>
      <c r="M38" s="83"/>
      <c r="N38" s="83"/>
      <c r="O38" s="83"/>
      <c r="P38" s="118"/>
    </row>
    <row r="39" spans="2:16" outlineLevel="1" x14ac:dyDescent="0.2">
      <c r="B39" s="119"/>
      <c r="C39" s="133"/>
      <c r="D39" s="119"/>
      <c r="E39" s="119"/>
      <c r="F39" s="119"/>
      <c r="G39" s="119"/>
      <c r="H39" s="84" t="s">
        <v>5</v>
      </c>
      <c r="I39" s="83"/>
      <c r="J39" s="83"/>
      <c r="K39" s="83"/>
      <c r="L39" s="83"/>
      <c r="M39" s="83"/>
      <c r="N39" s="83"/>
      <c r="O39" s="83"/>
      <c r="P39" s="119"/>
    </row>
    <row r="40" spans="2:16" ht="42.75" outlineLevel="1" x14ac:dyDescent="0.2">
      <c r="B40" s="117" t="s">
        <v>1555</v>
      </c>
      <c r="C40" s="117"/>
      <c r="D40" s="117" t="s">
        <v>1554</v>
      </c>
      <c r="E40" s="117">
        <v>2021</v>
      </c>
      <c r="F40" s="117"/>
      <c r="G40" s="117" t="s">
        <v>115</v>
      </c>
      <c r="H40" s="84" t="s">
        <v>3</v>
      </c>
      <c r="I40" s="83">
        <f>SUM(J40:O40)</f>
        <v>5</v>
      </c>
      <c r="J40" s="83">
        <f t="shared" ref="J40:O40" si="15">J41+J42+J43</f>
        <v>0</v>
      </c>
      <c r="K40" s="83">
        <f t="shared" si="15"/>
        <v>5</v>
      </c>
      <c r="L40" s="83">
        <f t="shared" si="15"/>
        <v>0</v>
      </c>
      <c r="M40" s="83">
        <f t="shared" si="15"/>
        <v>0</v>
      </c>
      <c r="N40" s="83">
        <f t="shared" si="15"/>
        <v>0</v>
      </c>
      <c r="O40" s="83">
        <f t="shared" si="15"/>
        <v>0</v>
      </c>
      <c r="P40" s="117"/>
    </row>
    <row r="41" spans="2:16" outlineLevel="1" x14ac:dyDescent="0.2">
      <c r="B41" s="118"/>
      <c r="C41" s="132"/>
      <c r="D41" s="118"/>
      <c r="E41" s="118"/>
      <c r="F41" s="118"/>
      <c r="G41" s="118"/>
      <c r="H41" s="84" t="s">
        <v>4</v>
      </c>
      <c r="I41" s="83">
        <f>SUM(J41:O41)</f>
        <v>4</v>
      </c>
      <c r="J41" s="83"/>
      <c r="K41" s="83">
        <v>4</v>
      </c>
      <c r="L41" s="83"/>
      <c r="M41" s="83"/>
      <c r="N41" s="83"/>
      <c r="O41" s="83"/>
      <c r="P41" s="118"/>
    </row>
    <row r="42" spans="2:16" outlineLevel="1" x14ac:dyDescent="0.2">
      <c r="B42" s="118"/>
      <c r="C42" s="132"/>
      <c r="D42" s="118"/>
      <c r="E42" s="118"/>
      <c r="F42" s="118"/>
      <c r="G42" s="118"/>
      <c r="H42" s="84" t="s">
        <v>6</v>
      </c>
      <c r="I42" s="83">
        <f>SUM(J42:O42)</f>
        <v>1</v>
      </c>
      <c r="J42" s="83"/>
      <c r="K42" s="83">
        <v>1</v>
      </c>
      <c r="L42" s="83"/>
      <c r="M42" s="83"/>
      <c r="N42" s="83"/>
      <c r="O42" s="83"/>
      <c r="P42" s="118"/>
    </row>
    <row r="43" spans="2:16" outlineLevel="1" x14ac:dyDescent="0.2">
      <c r="B43" s="119"/>
      <c r="C43" s="133"/>
      <c r="D43" s="119"/>
      <c r="E43" s="119"/>
      <c r="F43" s="119"/>
      <c r="G43" s="119"/>
      <c r="H43" s="84" t="s">
        <v>5</v>
      </c>
      <c r="I43" s="83"/>
      <c r="J43" s="83"/>
      <c r="K43" s="83"/>
      <c r="L43" s="83"/>
      <c r="M43" s="83"/>
      <c r="N43" s="83"/>
      <c r="O43" s="83"/>
      <c r="P43" s="119"/>
    </row>
    <row r="44" spans="2:16" ht="42.75" outlineLevel="1" x14ac:dyDescent="0.2">
      <c r="B44" s="117" t="s">
        <v>1556</v>
      </c>
      <c r="C44" s="117"/>
      <c r="D44" s="117" t="s">
        <v>1554</v>
      </c>
      <c r="E44" s="117">
        <v>2022</v>
      </c>
      <c r="F44" s="117"/>
      <c r="G44" s="117" t="s">
        <v>115</v>
      </c>
      <c r="H44" s="84" t="s">
        <v>3</v>
      </c>
      <c r="I44" s="83">
        <f>SUM(J44:O44)</f>
        <v>7</v>
      </c>
      <c r="J44" s="83">
        <f t="shared" ref="J44:O44" si="16">J45+J46+J47</f>
        <v>0</v>
      </c>
      <c r="K44" s="83">
        <f t="shared" si="16"/>
        <v>0</v>
      </c>
      <c r="L44" s="83">
        <f t="shared" si="16"/>
        <v>7</v>
      </c>
      <c r="M44" s="83">
        <f t="shared" si="16"/>
        <v>0</v>
      </c>
      <c r="N44" s="83">
        <f t="shared" si="16"/>
        <v>0</v>
      </c>
      <c r="O44" s="83">
        <f t="shared" si="16"/>
        <v>0</v>
      </c>
      <c r="P44" s="117"/>
    </row>
    <row r="45" spans="2:16" outlineLevel="1" x14ac:dyDescent="0.2">
      <c r="B45" s="118"/>
      <c r="C45" s="132"/>
      <c r="D45" s="118"/>
      <c r="E45" s="118"/>
      <c r="F45" s="118"/>
      <c r="G45" s="118"/>
      <c r="H45" s="84" t="s">
        <v>4</v>
      </c>
      <c r="I45" s="83">
        <f>SUM(J45:O45)</f>
        <v>6</v>
      </c>
      <c r="J45" s="83"/>
      <c r="K45" s="83"/>
      <c r="L45" s="83">
        <v>6</v>
      </c>
      <c r="M45" s="83"/>
      <c r="N45" s="83"/>
      <c r="O45" s="83"/>
      <c r="P45" s="118"/>
    </row>
    <row r="46" spans="2:16" outlineLevel="1" x14ac:dyDescent="0.2">
      <c r="B46" s="118"/>
      <c r="C46" s="132"/>
      <c r="D46" s="118"/>
      <c r="E46" s="118"/>
      <c r="F46" s="118"/>
      <c r="G46" s="118"/>
      <c r="H46" s="84" t="s">
        <v>6</v>
      </c>
      <c r="I46" s="83">
        <f>SUM(J46:O46)</f>
        <v>1</v>
      </c>
      <c r="J46" s="83"/>
      <c r="K46" s="83"/>
      <c r="L46" s="83">
        <v>1</v>
      </c>
      <c r="M46" s="83"/>
      <c r="N46" s="83"/>
      <c r="O46" s="83"/>
      <c r="P46" s="118"/>
    </row>
    <row r="47" spans="2:16" outlineLevel="1" x14ac:dyDescent="0.2">
      <c r="B47" s="119"/>
      <c r="C47" s="133"/>
      <c r="D47" s="119"/>
      <c r="E47" s="119"/>
      <c r="F47" s="119"/>
      <c r="G47" s="119"/>
      <c r="H47" s="84" t="s">
        <v>5</v>
      </c>
      <c r="I47" s="83"/>
      <c r="J47" s="83"/>
      <c r="K47" s="83"/>
      <c r="L47" s="83"/>
      <c r="M47" s="83"/>
      <c r="N47" s="83"/>
      <c r="O47" s="83"/>
      <c r="P47" s="119"/>
    </row>
    <row r="48" spans="2:16" ht="42.75" outlineLevel="1" x14ac:dyDescent="0.2">
      <c r="B48" s="117" t="s">
        <v>1557</v>
      </c>
      <c r="C48" s="117"/>
      <c r="D48" s="117" t="s">
        <v>1558</v>
      </c>
      <c r="E48" s="117">
        <v>2020</v>
      </c>
      <c r="F48" s="117"/>
      <c r="G48" s="117" t="s">
        <v>115</v>
      </c>
      <c r="H48" s="84" t="s">
        <v>3</v>
      </c>
      <c r="I48" s="83">
        <f>SUM(J48:O48)</f>
        <v>18</v>
      </c>
      <c r="J48" s="83">
        <f t="shared" ref="J48:O48" si="17">J49+J50+J51</f>
        <v>18</v>
      </c>
      <c r="K48" s="83">
        <f t="shared" si="17"/>
        <v>0</v>
      </c>
      <c r="L48" s="83">
        <f t="shared" si="17"/>
        <v>0</v>
      </c>
      <c r="M48" s="83">
        <f t="shared" si="17"/>
        <v>0</v>
      </c>
      <c r="N48" s="83">
        <f t="shared" si="17"/>
        <v>0</v>
      </c>
      <c r="O48" s="83">
        <f t="shared" si="17"/>
        <v>0</v>
      </c>
      <c r="P48" s="117"/>
    </row>
    <row r="49" spans="2:16" outlineLevel="1" x14ac:dyDescent="0.2">
      <c r="B49" s="118"/>
      <c r="C49" s="132"/>
      <c r="D49" s="118"/>
      <c r="E49" s="118"/>
      <c r="F49" s="118"/>
      <c r="G49" s="118"/>
      <c r="H49" s="84" t="s">
        <v>4</v>
      </c>
      <c r="I49" s="83">
        <f>SUM(J49:O49)</f>
        <v>0</v>
      </c>
      <c r="J49" s="83"/>
      <c r="K49" s="83"/>
      <c r="L49" s="83"/>
      <c r="M49" s="83"/>
      <c r="N49" s="83"/>
      <c r="O49" s="83"/>
      <c r="P49" s="118"/>
    </row>
    <row r="50" spans="2:16" outlineLevel="1" x14ac:dyDescent="0.2">
      <c r="B50" s="118"/>
      <c r="C50" s="132"/>
      <c r="D50" s="118"/>
      <c r="E50" s="118"/>
      <c r="F50" s="118"/>
      <c r="G50" s="118"/>
      <c r="H50" s="84" t="s">
        <v>6</v>
      </c>
      <c r="I50" s="83">
        <f>SUM(J50:O50)</f>
        <v>18</v>
      </c>
      <c r="J50" s="83">
        <v>18</v>
      </c>
      <c r="K50" s="83"/>
      <c r="L50" s="83"/>
      <c r="M50" s="83"/>
      <c r="N50" s="83"/>
      <c r="O50" s="83"/>
      <c r="P50" s="118"/>
    </row>
    <row r="51" spans="2:16" outlineLevel="1" x14ac:dyDescent="0.2">
      <c r="B51" s="119"/>
      <c r="C51" s="133"/>
      <c r="D51" s="119"/>
      <c r="E51" s="119"/>
      <c r="F51" s="119"/>
      <c r="G51" s="119"/>
      <c r="H51" s="84" t="s">
        <v>5</v>
      </c>
      <c r="I51" s="83"/>
      <c r="J51" s="83"/>
      <c r="K51" s="83"/>
      <c r="L51" s="83"/>
      <c r="M51" s="83"/>
      <c r="N51" s="83"/>
      <c r="O51" s="83"/>
      <c r="P51" s="119"/>
    </row>
    <row r="52" spans="2:16" ht="42.75" outlineLevel="1" x14ac:dyDescent="0.2">
      <c r="B52" s="117" t="s">
        <v>1559</v>
      </c>
      <c r="C52" s="117"/>
      <c r="D52" s="117" t="s">
        <v>1558</v>
      </c>
      <c r="E52" s="117" t="s">
        <v>50</v>
      </c>
      <c r="F52" s="117"/>
      <c r="G52" s="117" t="s">
        <v>1560</v>
      </c>
      <c r="H52" s="84" t="s">
        <v>3</v>
      </c>
      <c r="I52" s="83">
        <f>SUM(J52:O52)</f>
        <v>620</v>
      </c>
      <c r="J52" s="83">
        <f t="shared" ref="J52:O52" si="18">J53+J54+J55</f>
        <v>0</v>
      </c>
      <c r="K52" s="83">
        <f t="shared" si="18"/>
        <v>120</v>
      </c>
      <c r="L52" s="83">
        <f t="shared" si="18"/>
        <v>320</v>
      </c>
      <c r="M52" s="83">
        <f t="shared" si="18"/>
        <v>180</v>
      </c>
      <c r="N52" s="83">
        <f t="shared" si="18"/>
        <v>0</v>
      </c>
      <c r="O52" s="83">
        <f t="shared" si="18"/>
        <v>0</v>
      </c>
      <c r="P52" s="117"/>
    </row>
    <row r="53" spans="2:16" outlineLevel="1" x14ac:dyDescent="0.2">
      <c r="B53" s="118"/>
      <c r="C53" s="132"/>
      <c r="D53" s="118"/>
      <c r="E53" s="118"/>
      <c r="F53" s="118"/>
      <c r="G53" s="118"/>
      <c r="H53" s="84" t="s">
        <v>4</v>
      </c>
      <c r="I53" s="83">
        <f>SUM(J53:O53)</f>
        <v>480</v>
      </c>
      <c r="J53" s="83"/>
      <c r="K53" s="83">
        <v>92</v>
      </c>
      <c r="L53" s="83">
        <v>244</v>
      </c>
      <c r="M53" s="83">
        <v>144</v>
      </c>
      <c r="N53" s="83"/>
      <c r="O53" s="83"/>
      <c r="P53" s="118"/>
    </row>
    <row r="54" spans="2:16" outlineLevel="1" x14ac:dyDescent="0.2">
      <c r="B54" s="118"/>
      <c r="C54" s="132"/>
      <c r="D54" s="118"/>
      <c r="E54" s="118"/>
      <c r="F54" s="118"/>
      <c r="G54" s="118"/>
      <c r="H54" s="84" t="s">
        <v>6</v>
      </c>
      <c r="I54" s="83">
        <f>SUM(J54:O54)</f>
        <v>100</v>
      </c>
      <c r="J54" s="83"/>
      <c r="K54" s="83">
        <v>28</v>
      </c>
      <c r="L54" s="83">
        <v>56</v>
      </c>
      <c r="M54" s="83">
        <v>16</v>
      </c>
      <c r="N54" s="83"/>
      <c r="O54" s="83"/>
      <c r="P54" s="118"/>
    </row>
    <row r="55" spans="2:16" outlineLevel="1" x14ac:dyDescent="0.2">
      <c r="B55" s="119"/>
      <c r="C55" s="133"/>
      <c r="D55" s="119"/>
      <c r="E55" s="119"/>
      <c r="F55" s="119"/>
      <c r="G55" s="119"/>
      <c r="H55" s="84" t="s">
        <v>5</v>
      </c>
      <c r="I55" s="83">
        <f>SUM(J55:O55)</f>
        <v>40</v>
      </c>
      <c r="J55" s="83"/>
      <c r="K55" s="83"/>
      <c r="L55" s="83">
        <v>20</v>
      </c>
      <c r="M55" s="83">
        <v>20</v>
      </c>
      <c r="N55" s="83"/>
      <c r="O55" s="83"/>
      <c r="P55" s="119"/>
    </row>
    <row r="56" spans="2:16" ht="42.75" outlineLevel="1" x14ac:dyDescent="0.2">
      <c r="B56" s="117" t="s">
        <v>1561</v>
      </c>
      <c r="C56" s="117"/>
      <c r="D56" s="117" t="s">
        <v>1562</v>
      </c>
      <c r="E56" s="117">
        <v>2021</v>
      </c>
      <c r="F56" s="117"/>
      <c r="G56" s="117" t="s">
        <v>1549</v>
      </c>
      <c r="H56" s="84" t="s">
        <v>3</v>
      </c>
      <c r="I56" s="83">
        <f>SUM(J56:O56)</f>
        <v>4.5</v>
      </c>
      <c r="J56" s="83">
        <f t="shared" ref="J56:O56" si="19">J57+J58+J59</f>
        <v>0</v>
      </c>
      <c r="K56" s="83">
        <f t="shared" si="19"/>
        <v>4.5</v>
      </c>
      <c r="L56" s="83">
        <f t="shared" si="19"/>
        <v>0</v>
      </c>
      <c r="M56" s="83">
        <f t="shared" si="19"/>
        <v>0</v>
      </c>
      <c r="N56" s="83">
        <f t="shared" si="19"/>
        <v>0</v>
      </c>
      <c r="O56" s="83">
        <f t="shared" si="19"/>
        <v>0</v>
      </c>
      <c r="P56" s="117"/>
    </row>
    <row r="57" spans="2:16" outlineLevel="1" x14ac:dyDescent="0.2">
      <c r="B57" s="118"/>
      <c r="C57" s="132"/>
      <c r="D57" s="118"/>
      <c r="E57" s="118"/>
      <c r="F57" s="118"/>
      <c r="G57" s="118"/>
      <c r="H57" s="84" t="s">
        <v>4</v>
      </c>
      <c r="I57" s="83"/>
      <c r="J57" s="83"/>
      <c r="K57" s="83"/>
      <c r="L57" s="83"/>
      <c r="M57" s="83"/>
      <c r="N57" s="83"/>
      <c r="O57" s="83"/>
      <c r="P57" s="118"/>
    </row>
    <row r="58" spans="2:16" outlineLevel="1" x14ac:dyDescent="0.2">
      <c r="B58" s="118"/>
      <c r="C58" s="132"/>
      <c r="D58" s="118"/>
      <c r="E58" s="118"/>
      <c r="F58" s="118"/>
      <c r="G58" s="118"/>
      <c r="H58" s="84" t="s">
        <v>6</v>
      </c>
      <c r="I58" s="83">
        <f t="shared" ref="I58:I64" si="20">SUM(J58:O58)</f>
        <v>0</v>
      </c>
      <c r="J58" s="83"/>
      <c r="K58" s="83"/>
      <c r="L58" s="83"/>
      <c r="M58" s="83"/>
      <c r="N58" s="83"/>
      <c r="O58" s="83"/>
      <c r="P58" s="118"/>
    </row>
    <row r="59" spans="2:16" outlineLevel="1" x14ac:dyDescent="0.2">
      <c r="B59" s="119"/>
      <c r="C59" s="133"/>
      <c r="D59" s="119"/>
      <c r="E59" s="119"/>
      <c r="F59" s="119"/>
      <c r="G59" s="119"/>
      <c r="H59" s="84" t="s">
        <v>5</v>
      </c>
      <c r="I59" s="83">
        <f t="shared" si="20"/>
        <v>4.5</v>
      </c>
      <c r="J59" s="83"/>
      <c r="K59" s="83">
        <v>4.5</v>
      </c>
      <c r="L59" s="83"/>
      <c r="M59" s="83"/>
      <c r="N59" s="83"/>
      <c r="O59" s="83"/>
      <c r="P59" s="119"/>
    </row>
    <row r="60" spans="2:16" ht="42.75" outlineLevel="1" x14ac:dyDescent="0.2">
      <c r="B60" s="117" t="s">
        <v>1563</v>
      </c>
      <c r="C60" s="117"/>
      <c r="D60" s="117" t="s">
        <v>1554</v>
      </c>
      <c r="E60" s="117" t="s">
        <v>50</v>
      </c>
      <c r="F60" s="117"/>
      <c r="G60" s="117" t="s">
        <v>115</v>
      </c>
      <c r="H60" s="84" t="s">
        <v>3</v>
      </c>
      <c r="I60" s="83">
        <f t="shared" si="20"/>
        <v>8.5</v>
      </c>
      <c r="J60" s="83">
        <f t="shared" ref="J60:O60" si="21">J61+J62+J63</f>
        <v>0</v>
      </c>
      <c r="K60" s="83">
        <f t="shared" si="21"/>
        <v>5.2</v>
      </c>
      <c r="L60" s="83">
        <f t="shared" si="21"/>
        <v>3.3</v>
      </c>
      <c r="M60" s="83">
        <f t="shared" si="21"/>
        <v>0</v>
      </c>
      <c r="N60" s="83">
        <f t="shared" si="21"/>
        <v>0</v>
      </c>
      <c r="O60" s="83">
        <f t="shared" si="21"/>
        <v>0</v>
      </c>
      <c r="P60" s="117">
        <v>17000</v>
      </c>
    </row>
    <row r="61" spans="2:16" outlineLevel="1" x14ac:dyDescent="0.2">
      <c r="B61" s="118"/>
      <c r="C61" s="132"/>
      <c r="D61" s="118"/>
      <c r="E61" s="118"/>
      <c r="F61" s="118"/>
      <c r="G61" s="118"/>
      <c r="H61" s="84" t="s">
        <v>4</v>
      </c>
      <c r="I61" s="83">
        <f t="shared" si="20"/>
        <v>6</v>
      </c>
      <c r="J61" s="83"/>
      <c r="K61" s="83">
        <v>4</v>
      </c>
      <c r="L61" s="83">
        <v>2</v>
      </c>
      <c r="M61" s="83"/>
      <c r="N61" s="83"/>
      <c r="O61" s="83"/>
      <c r="P61" s="118"/>
    </row>
    <row r="62" spans="2:16" outlineLevel="1" x14ac:dyDescent="0.2">
      <c r="B62" s="118"/>
      <c r="C62" s="132"/>
      <c r="D62" s="118"/>
      <c r="E62" s="118"/>
      <c r="F62" s="118"/>
      <c r="G62" s="118"/>
      <c r="H62" s="84" t="s">
        <v>6</v>
      </c>
      <c r="I62" s="83">
        <f t="shared" si="20"/>
        <v>2</v>
      </c>
      <c r="J62" s="83"/>
      <c r="K62" s="83">
        <v>1</v>
      </c>
      <c r="L62" s="83">
        <v>1</v>
      </c>
      <c r="M62" s="83"/>
      <c r="N62" s="83"/>
      <c r="O62" s="83"/>
      <c r="P62" s="118"/>
    </row>
    <row r="63" spans="2:16" outlineLevel="1" x14ac:dyDescent="0.2">
      <c r="B63" s="119"/>
      <c r="C63" s="133"/>
      <c r="D63" s="119"/>
      <c r="E63" s="119"/>
      <c r="F63" s="119"/>
      <c r="G63" s="119"/>
      <c r="H63" s="84" t="s">
        <v>5</v>
      </c>
      <c r="I63" s="83">
        <f t="shared" si="20"/>
        <v>0.5</v>
      </c>
      <c r="J63" s="83"/>
      <c r="K63" s="83">
        <v>0.2</v>
      </c>
      <c r="L63" s="83">
        <v>0.3</v>
      </c>
      <c r="M63" s="83"/>
      <c r="N63" s="83"/>
      <c r="O63" s="83"/>
      <c r="P63" s="119"/>
    </row>
    <row r="64" spans="2:16" ht="42.75" outlineLevel="1" x14ac:dyDescent="0.2">
      <c r="B64" s="117" t="s">
        <v>1564</v>
      </c>
      <c r="C64" s="117"/>
      <c r="D64" s="117" t="s">
        <v>1565</v>
      </c>
      <c r="E64" s="117">
        <v>2021</v>
      </c>
      <c r="F64" s="117"/>
      <c r="G64" s="117" t="s">
        <v>1549</v>
      </c>
      <c r="H64" s="84" t="s">
        <v>3</v>
      </c>
      <c r="I64" s="83">
        <f t="shared" si="20"/>
        <v>0.6</v>
      </c>
      <c r="J64" s="83">
        <f t="shared" ref="J64:O64" si="22">J65+J66+J67</f>
        <v>0</v>
      </c>
      <c r="K64" s="83">
        <f t="shared" si="22"/>
        <v>0.6</v>
      </c>
      <c r="L64" s="83">
        <f t="shared" si="22"/>
        <v>0</v>
      </c>
      <c r="M64" s="83">
        <f t="shared" si="22"/>
        <v>0</v>
      </c>
      <c r="N64" s="83">
        <f t="shared" si="22"/>
        <v>0</v>
      </c>
      <c r="O64" s="83">
        <f t="shared" si="22"/>
        <v>0</v>
      </c>
      <c r="P64" s="117">
        <v>2</v>
      </c>
    </row>
    <row r="65" spans="2:16" outlineLevel="1" x14ac:dyDescent="0.2">
      <c r="B65" s="118"/>
      <c r="C65" s="132"/>
      <c r="D65" s="118"/>
      <c r="E65" s="118"/>
      <c r="F65" s="118"/>
      <c r="G65" s="118"/>
      <c r="H65" s="84" t="s">
        <v>4</v>
      </c>
      <c r="I65" s="83"/>
      <c r="J65" s="83"/>
      <c r="K65" s="83"/>
      <c r="L65" s="83"/>
      <c r="M65" s="83"/>
      <c r="N65" s="83"/>
      <c r="O65" s="83"/>
      <c r="P65" s="118"/>
    </row>
    <row r="66" spans="2:16" outlineLevel="1" x14ac:dyDescent="0.2">
      <c r="B66" s="118"/>
      <c r="C66" s="132"/>
      <c r="D66" s="118"/>
      <c r="E66" s="118"/>
      <c r="F66" s="118"/>
      <c r="G66" s="118"/>
      <c r="H66" s="84" t="s">
        <v>6</v>
      </c>
      <c r="I66" s="83">
        <f>SUM(J66:O66)</f>
        <v>0</v>
      </c>
      <c r="J66" s="83"/>
      <c r="K66" s="83"/>
      <c r="L66" s="83"/>
      <c r="M66" s="83"/>
      <c r="N66" s="83"/>
      <c r="O66" s="83"/>
      <c r="P66" s="118"/>
    </row>
    <row r="67" spans="2:16" outlineLevel="1" x14ac:dyDescent="0.2">
      <c r="B67" s="119"/>
      <c r="C67" s="133"/>
      <c r="D67" s="119"/>
      <c r="E67" s="119"/>
      <c r="F67" s="119"/>
      <c r="G67" s="119"/>
      <c r="H67" s="84" t="s">
        <v>5</v>
      </c>
      <c r="I67" s="83">
        <f>SUM(J67:O67)</f>
        <v>0.6</v>
      </c>
      <c r="J67" s="83"/>
      <c r="K67" s="83">
        <v>0.6</v>
      </c>
      <c r="L67" s="83"/>
      <c r="M67" s="83"/>
      <c r="N67" s="83"/>
      <c r="O67" s="83"/>
      <c r="P67" s="119"/>
    </row>
    <row r="68" spans="2:16" ht="42.75" outlineLevel="1" x14ac:dyDescent="0.2">
      <c r="B68" s="117" t="s">
        <v>1566</v>
      </c>
      <c r="C68" s="117"/>
      <c r="D68" s="117" t="s">
        <v>1567</v>
      </c>
      <c r="E68" s="117" t="s">
        <v>50</v>
      </c>
      <c r="F68" s="117"/>
      <c r="G68" s="117" t="s">
        <v>1549</v>
      </c>
      <c r="H68" s="84" t="s">
        <v>3</v>
      </c>
      <c r="I68" s="83">
        <f>SUM(J68:O68)</f>
        <v>20</v>
      </c>
      <c r="J68" s="83">
        <f t="shared" ref="J68:O68" si="23">J69+J70+J71</f>
        <v>0</v>
      </c>
      <c r="K68" s="83">
        <f t="shared" si="23"/>
        <v>10</v>
      </c>
      <c r="L68" s="83">
        <f t="shared" si="23"/>
        <v>10</v>
      </c>
      <c r="M68" s="83">
        <f t="shared" si="23"/>
        <v>0</v>
      </c>
      <c r="N68" s="83">
        <f t="shared" si="23"/>
        <v>0</v>
      </c>
      <c r="O68" s="83">
        <f t="shared" si="23"/>
        <v>0</v>
      </c>
      <c r="P68" s="117">
        <v>10</v>
      </c>
    </row>
    <row r="69" spans="2:16" outlineLevel="1" x14ac:dyDescent="0.2">
      <c r="B69" s="118"/>
      <c r="C69" s="132"/>
      <c r="D69" s="118"/>
      <c r="E69" s="118"/>
      <c r="F69" s="118"/>
      <c r="G69" s="118"/>
      <c r="H69" s="84" t="s">
        <v>4</v>
      </c>
      <c r="I69" s="83"/>
      <c r="J69" s="83"/>
      <c r="K69" s="83"/>
      <c r="L69" s="83"/>
      <c r="M69" s="83"/>
      <c r="N69" s="83"/>
      <c r="O69" s="83"/>
      <c r="P69" s="118"/>
    </row>
    <row r="70" spans="2:16" outlineLevel="1" x14ac:dyDescent="0.2">
      <c r="B70" s="118"/>
      <c r="C70" s="132"/>
      <c r="D70" s="118"/>
      <c r="E70" s="118"/>
      <c r="F70" s="118"/>
      <c r="G70" s="118"/>
      <c r="H70" s="84" t="s">
        <v>6</v>
      </c>
      <c r="I70" s="83">
        <f>SUM(J70:O70)</f>
        <v>0</v>
      </c>
      <c r="J70" s="83"/>
      <c r="K70" s="83"/>
      <c r="L70" s="83"/>
      <c r="M70" s="83"/>
      <c r="N70" s="83"/>
      <c r="O70" s="83"/>
      <c r="P70" s="118"/>
    </row>
    <row r="71" spans="2:16" outlineLevel="1" x14ac:dyDescent="0.2">
      <c r="B71" s="119"/>
      <c r="C71" s="133"/>
      <c r="D71" s="119"/>
      <c r="E71" s="119"/>
      <c r="F71" s="119"/>
      <c r="G71" s="119"/>
      <c r="H71" s="84" t="s">
        <v>5</v>
      </c>
      <c r="I71" s="83">
        <f>SUM(J71:O71)</f>
        <v>20</v>
      </c>
      <c r="J71" s="83"/>
      <c r="K71" s="83">
        <v>10</v>
      </c>
      <c r="L71" s="83">
        <v>10</v>
      </c>
      <c r="M71" s="83"/>
      <c r="N71" s="83"/>
      <c r="O71" s="83"/>
      <c r="P71" s="119"/>
    </row>
    <row r="72" spans="2:16" ht="42.75" outlineLevel="1" x14ac:dyDescent="0.2">
      <c r="B72" s="117" t="s">
        <v>1568</v>
      </c>
      <c r="C72" s="117"/>
      <c r="D72" s="117" t="s">
        <v>1569</v>
      </c>
      <c r="E72" s="117" t="s">
        <v>34</v>
      </c>
      <c r="F72" s="117"/>
      <c r="G72" s="117" t="s">
        <v>1549</v>
      </c>
      <c r="H72" s="84" t="s">
        <v>3</v>
      </c>
      <c r="I72" s="83">
        <f>SUM(J72:O72)</f>
        <v>15</v>
      </c>
      <c r="J72" s="83">
        <f t="shared" ref="J72:O72" si="24">J73+J74+J75</f>
        <v>0</v>
      </c>
      <c r="K72" s="83">
        <f t="shared" si="24"/>
        <v>5</v>
      </c>
      <c r="L72" s="83">
        <f t="shared" si="24"/>
        <v>5</v>
      </c>
      <c r="M72" s="83">
        <f t="shared" si="24"/>
        <v>5</v>
      </c>
      <c r="N72" s="83">
        <f t="shared" si="24"/>
        <v>0</v>
      </c>
      <c r="O72" s="83">
        <f t="shared" si="24"/>
        <v>0</v>
      </c>
      <c r="P72" s="117">
        <v>10</v>
      </c>
    </row>
    <row r="73" spans="2:16" outlineLevel="1" x14ac:dyDescent="0.2">
      <c r="B73" s="118"/>
      <c r="C73" s="132"/>
      <c r="D73" s="118"/>
      <c r="E73" s="118"/>
      <c r="F73" s="118"/>
      <c r="G73" s="118"/>
      <c r="H73" s="84" t="s">
        <v>4</v>
      </c>
      <c r="I73" s="83"/>
      <c r="J73" s="83"/>
      <c r="K73" s="83"/>
      <c r="L73" s="83"/>
      <c r="M73" s="83"/>
      <c r="N73" s="83"/>
      <c r="O73" s="83"/>
      <c r="P73" s="118"/>
    </row>
    <row r="74" spans="2:16" outlineLevel="1" x14ac:dyDescent="0.2">
      <c r="B74" s="118"/>
      <c r="C74" s="132"/>
      <c r="D74" s="118"/>
      <c r="E74" s="118"/>
      <c r="F74" s="118"/>
      <c r="G74" s="118"/>
      <c r="H74" s="84" t="s">
        <v>6</v>
      </c>
      <c r="I74" s="83">
        <f t="shared" ref="I74:I80" si="25">SUM(J74:O74)</f>
        <v>0</v>
      </c>
      <c r="J74" s="83"/>
      <c r="K74" s="83"/>
      <c r="L74" s="83"/>
      <c r="M74" s="83"/>
      <c r="N74" s="83"/>
      <c r="O74" s="83"/>
      <c r="P74" s="118"/>
    </row>
    <row r="75" spans="2:16" outlineLevel="1" x14ac:dyDescent="0.2">
      <c r="B75" s="119"/>
      <c r="C75" s="133"/>
      <c r="D75" s="119"/>
      <c r="E75" s="119"/>
      <c r="F75" s="119"/>
      <c r="G75" s="119"/>
      <c r="H75" s="84" t="s">
        <v>5</v>
      </c>
      <c r="I75" s="83">
        <f t="shared" si="25"/>
        <v>15</v>
      </c>
      <c r="J75" s="83"/>
      <c r="K75" s="83">
        <v>5</v>
      </c>
      <c r="L75" s="83">
        <v>5</v>
      </c>
      <c r="M75" s="83">
        <v>5</v>
      </c>
      <c r="N75" s="83"/>
      <c r="O75" s="83"/>
      <c r="P75" s="119"/>
    </row>
    <row r="76" spans="2:16" ht="42.75" outlineLevel="1" x14ac:dyDescent="0.2">
      <c r="B76" s="117" t="s">
        <v>1570</v>
      </c>
      <c r="C76" s="117"/>
      <c r="D76" s="117" t="s">
        <v>1571</v>
      </c>
      <c r="E76" s="117" t="s">
        <v>50</v>
      </c>
      <c r="F76" s="117"/>
      <c r="G76" s="117" t="s">
        <v>1572</v>
      </c>
      <c r="H76" s="84" t="s">
        <v>3</v>
      </c>
      <c r="I76" s="83">
        <f t="shared" si="25"/>
        <v>4</v>
      </c>
      <c r="J76" s="83">
        <f t="shared" ref="J76:O76" si="26">J77+J78+J79</f>
        <v>0</v>
      </c>
      <c r="K76" s="83">
        <f t="shared" si="26"/>
        <v>2.35</v>
      </c>
      <c r="L76" s="83">
        <f t="shared" si="26"/>
        <v>1.65</v>
      </c>
      <c r="M76" s="83">
        <f t="shared" si="26"/>
        <v>0</v>
      </c>
      <c r="N76" s="83">
        <f t="shared" si="26"/>
        <v>0</v>
      </c>
      <c r="O76" s="83">
        <f t="shared" si="26"/>
        <v>0</v>
      </c>
      <c r="P76" s="117" t="s">
        <v>1573</v>
      </c>
    </row>
    <row r="77" spans="2:16" outlineLevel="1" x14ac:dyDescent="0.2">
      <c r="B77" s="118"/>
      <c r="C77" s="132"/>
      <c r="D77" s="118"/>
      <c r="E77" s="118"/>
      <c r="F77" s="118"/>
      <c r="G77" s="118"/>
      <c r="H77" s="84" t="s">
        <v>4</v>
      </c>
      <c r="I77" s="83">
        <f t="shared" si="25"/>
        <v>2.2999999999999998</v>
      </c>
      <c r="J77" s="83"/>
      <c r="K77" s="83">
        <v>1.5</v>
      </c>
      <c r="L77" s="83">
        <v>0.8</v>
      </c>
      <c r="M77" s="83"/>
      <c r="N77" s="83"/>
      <c r="O77" s="83"/>
      <c r="P77" s="118"/>
    </row>
    <row r="78" spans="2:16" outlineLevel="1" x14ac:dyDescent="0.2">
      <c r="B78" s="118"/>
      <c r="C78" s="132"/>
      <c r="D78" s="118"/>
      <c r="E78" s="118"/>
      <c r="F78" s="118"/>
      <c r="G78" s="118"/>
      <c r="H78" s="84" t="s">
        <v>6</v>
      </c>
      <c r="I78" s="83">
        <f t="shared" si="25"/>
        <v>1.2</v>
      </c>
      <c r="J78" s="83"/>
      <c r="K78" s="83">
        <v>0.6</v>
      </c>
      <c r="L78" s="83">
        <v>0.6</v>
      </c>
      <c r="M78" s="83"/>
      <c r="N78" s="83"/>
      <c r="O78" s="83"/>
      <c r="P78" s="118"/>
    </row>
    <row r="79" spans="2:16" outlineLevel="1" x14ac:dyDescent="0.2">
      <c r="B79" s="119"/>
      <c r="C79" s="133"/>
      <c r="D79" s="119"/>
      <c r="E79" s="119"/>
      <c r="F79" s="119"/>
      <c r="G79" s="119"/>
      <c r="H79" s="84" t="s">
        <v>5</v>
      </c>
      <c r="I79" s="83">
        <f t="shared" si="25"/>
        <v>0.5</v>
      </c>
      <c r="J79" s="83"/>
      <c r="K79" s="83">
        <v>0.25</v>
      </c>
      <c r="L79" s="83">
        <v>0.25</v>
      </c>
      <c r="M79" s="83"/>
      <c r="N79" s="83"/>
      <c r="O79" s="83"/>
      <c r="P79" s="119"/>
    </row>
    <row r="80" spans="2:16" ht="42.75" outlineLevel="1" x14ac:dyDescent="0.2">
      <c r="B80" s="117" t="s">
        <v>1574</v>
      </c>
      <c r="C80" s="117"/>
      <c r="D80" s="117" t="s">
        <v>1575</v>
      </c>
      <c r="E80" s="117">
        <v>2021</v>
      </c>
      <c r="F80" s="117"/>
      <c r="G80" s="117" t="s">
        <v>1549</v>
      </c>
      <c r="H80" s="84" t="s">
        <v>3</v>
      </c>
      <c r="I80" s="83">
        <f t="shared" si="25"/>
        <v>0.5</v>
      </c>
      <c r="J80" s="83">
        <f t="shared" ref="J80:O80" si="27">J81+J82+J83</f>
        <v>0</v>
      </c>
      <c r="K80" s="83">
        <f t="shared" si="27"/>
        <v>0.5</v>
      </c>
      <c r="L80" s="83">
        <f t="shared" si="27"/>
        <v>0</v>
      </c>
      <c r="M80" s="83">
        <f t="shared" si="27"/>
        <v>0</v>
      </c>
      <c r="N80" s="83">
        <f t="shared" si="27"/>
        <v>0</v>
      </c>
      <c r="O80" s="83">
        <f t="shared" si="27"/>
        <v>0</v>
      </c>
      <c r="P80" s="117">
        <v>2</v>
      </c>
    </row>
    <row r="81" spans="2:16" outlineLevel="1" x14ac:dyDescent="0.2">
      <c r="B81" s="118"/>
      <c r="C81" s="132"/>
      <c r="D81" s="118"/>
      <c r="E81" s="118"/>
      <c r="F81" s="118"/>
      <c r="G81" s="118"/>
      <c r="H81" s="84" t="s">
        <v>4</v>
      </c>
      <c r="I81" s="83"/>
      <c r="J81" s="83"/>
      <c r="K81" s="83"/>
      <c r="L81" s="83"/>
      <c r="M81" s="83"/>
      <c r="N81" s="83"/>
      <c r="O81" s="83"/>
      <c r="P81" s="118"/>
    </row>
    <row r="82" spans="2:16" outlineLevel="1" x14ac:dyDescent="0.2">
      <c r="B82" s="118"/>
      <c r="C82" s="132"/>
      <c r="D82" s="118"/>
      <c r="E82" s="118"/>
      <c r="F82" s="118"/>
      <c r="G82" s="118"/>
      <c r="H82" s="84" t="s">
        <v>6</v>
      </c>
      <c r="I82" s="83">
        <f>SUM(J82:O82)</f>
        <v>0</v>
      </c>
      <c r="J82" s="83"/>
      <c r="K82" s="83"/>
      <c r="L82" s="83"/>
      <c r="M82" s="83"/>
      <c r="N82" s="83"/>
      <c r="O82" s="83"/>
      <c r="P82" s="118"/>
    </row>
    <row r="83" spans="2:16" outlineLevel="1" x14ac:dyDescent="0.2">
      <c r="B83" s="119"/>
      <c r="C83" s="133"/>
      <c r="D83" s="119"/>
      <c r="E83" s="119"/>
      <c r="F83" s="119"/>
      <c r="G83" s="119"/>
      <c r="H83" s="84" t="s">
        <v>5</v>
      </c>
      <c r="I83" s="83">
        <f>SUM(J83:O83)</f>
        <v>0.5</v>
      </c>
      <c r="J83" s="83"/>
      <c r="K83" s="83">
        <v>0.5</v>
      </c>
      <c r="L83" s="83"/>
      <c r="M83" s="83"/>
      <c r="N83" s="83"/>
      <c r="O83" s="83"/>
      <c r="P83" s="119"/>
    </row>
    <row r="84" spans="2:16" ht="42.75" outlineLevel="1" x14ac:dyDescent="0.2">
      <c r="B84" s="117" t="s">
        <v>1576</v>
      </c>
      <c r="C84" s="117"/>
      <c r="D84" s="117" t="s">
        <v>1577</v>
      </c>
      <c r="E84" s="117" t="s">
        <v>69</v>
      </c>
      <c r="F84" s="117"/>
      <c r="G84" s="117" t="s">
        <v>107</v>
      </c>
      <c r="H84" s="84" t="s">
        <v>3</v>
      </c>
      <c r="I84" s="83">
        <f>SUM(J84:O84)</f>
        <v>40</v>
      </c>
      <c r="J84" s="83">
        <f t="shared" ref="J84:O84" si="28">J85+J86+J87</f>
        <v>0</v>
      </c>
      <c r="K84" s="83">
        <f t="shared" si="28"/>
        <v>2</v>
      </c>
      <c r="L84" s="83">
        <f t="shared" si="28"/>
        <v>8</v>
      </c>
      <c r="M84" s="83">
        <f t="shared" si="28"/>
        <v>16</v>
      </c>
      <c r="N84" s="83">
        <f t="shared" si="28"/>
        <v>14</v>
      </c>
      <c r="O84" s="83">
        <f t="shared" si="28"/>
        <v>0</v>
      </c>
      <c r="P84" s="117"/>
    </row>
    <row r="85" spans="2:16" outlineLevel="1" x14ac:dyDescent="0.2">
      <c r="B85" s="118"/>
      <c r="C85" s="132"/>
      <c r="D85" s="118"/>
      <c r="E85" s="118"/>
      <c r="F85" s="118"/>
      <c r="G85" s="118"/>
      <c r="H85" s="84" t="s">
        <v>4</v>
      </c>
      <c r="I85" s="83">
        <f>SUM(J85:O85)</f>
        <v>32</v>
      </c>
      <c r="J85" s="83"/>
      <c r="K85" s="83"/>
      <c r="L85" s="83">
        <v>6</v>
      </c>
      <c r="M85" s="83">
        <v>14</v>
      </c>
      <c r="N85" s="83">
        <v>12</v>
      </c>
      <c r="O85" s="83"/>
      <c r="P85" s="118"/>
    </row>
    <row r="86" spans="2:16" outlineLevel="1" x14ac:dyDescent="0.2">
      <c r="B86" s="118"/>
      <c r="C86" s="132"/>
      <c r="D86" s="118"/>
      <c r="E86" s="118"/>
      <c r="F86" s="118"/>
      <c r="G86" s="118"/>
      <c r="H86" s="84" t="s">
        <v>6</v>
      </c>
      <c r="I86" s="83">
        <f>SUM(J86:O86)</f>
        <v>8</v>
      </c>
      <c r="J86" s="83"/>
      <c r="K86" s="83">
        <v>2</v>
      </c>
      <c r="L86" s="83">
        <v>2</v>
      </c>
      <c r="M86" s="83">
        <v>2</v>
      </c>
      <c r="N86" s="83">
        <v>2</v>
      </c>
      <c r="O86" s="83"/>
      <c r="P86" s="118"/>
    </row>
    <row r="87" spans="2:16" outlineLevel="1" x14ac:dyDescent="0.2">
      <c r="B87" s="119"/>
      <c r="C87" s="133"/>
      <c r="D87" s="119"/>
      <c r="E87" s="119"/>
      <c r="F87" s="119"/>
      <c r="G87" s="119"/>
      <c r="H87" s="84" t="s">
        <v>5</v>
      </c>
      <c r="I87" s="83"/>
      <c r="J87" s="83"/>
      <c r="K87" s="83"/>
      <c r="L87" s="83"/>
      <c r="M87" s="83"/>
      <c r="N87" s="83"/>
      <c r="O87" s="83"/>
      <c r="P87" s="119"/>
    </row>
    <row r="88" spans="2:16" ht="42.75" outlineLevel="1" x14ac:dyDescent="0.2">
      <c r="B88" s="117" t="s">
        <v>1578</v>
      </c>
      <c r="C88" s="117"/>
      <c r="D88" s="117" t="s">
        <v>1579</v>
      </c>
      <c r="E88" s="117" t="s">
        <v>69</v>
      </c>
      <c r="F88" s="117" t="s">
        <v>1580</v>
      </c>
      <c r="G88" s="117" t="s">
        <v>1572</v>
      </c>
      <c r="H88" s="84" t="s">
        <v>3</v>
      </c>
      <c r="I88" s="83">
        <f t="shared" ref="I88:I94" si="29">SUM(J88:O88)</f>
        <v>130</v>
      </c>
      <c r="J88" s="83">
        <f t="shared" ref="J88:O88" si="30">J89+J90+J91</f>
        <v>0</v>
      </c>
      <c r="K88" s="83">
        <f t="shared" si="30"/>
        <v>46</v>
      </c>
      <c r="L88" s="83">
        <f t="shared" si="30"/>
        <v>35.5</v>
      </c>
      <c r="M88" s="83">
        <f t="shared" si="30"/>
        <v>13.5</v>
      </c>
      <c r="N88" s="83">
        <f t="shared" si="30"/>
        <v>5</v>
      </c>
      <c r="O88" s="83">
        <f t="shared" si="30"/>
        <v>30</v>
      </c>
      <c r="P88" s="117"/>
    </row>
    <row r="89" spans="2:16" outlineLevel="1" x14ac:dyDescent="0.2">
      <c r="B89" s="118"/>
      <c r="C89" s="132"/>
      <c r="D89" s="118"/>
      <c r="E89" s="118"/>
      <c r="F89" s="118"/>
      <c r="G89" s="118"/>
      <c r="H89" s="84" t="s">
        <v>4</v>
      </c>
      <c r="I89" s="83">
        <f t="shared" si="29"/>
        <v>50</v>
      </c>
      <c r="J89" s="83"/>
      <c r="K89" s="83">
        <v>30</v>
      </c>
      <c r="L89" s="83">
        <v>20</v>
      </c>
      <c r="M89" s="83"/>
      <c r="N89" s="83"/>
      <c r="O89" s="83"/>
      <c r="P89" s="118"/>
    </row>
    <row r="90" spans="2:16" outlineLevel="1" x14ac:dyDescent="0.2">
      <c r="B90" s="118"/>
      <c r="C90" s="132"/>
      <c r="D90" s="118"/>
      <c r="E90" s="118"/>
      <c r="F90" s="118"/>
      <c r="G90" s="118"/>
      <c r="H90" s="84" t="s">
        <v>6</v>
      </c>
      <c r="I90" s="83">
        <f t="shared" si="29"/>
        <v>20</v>
      </c>
      <c r="J90" s="83"/>
      <c r="K90" s="83">
        <v>11</v>
      </c>
      <c r="L90" s="83">
        <v>5.5</v>
      </c>
      <c r="M90" s="83">
        <v>3.5</v>
      </c>
      <c r="N90" s="83"/>
      <c r="O90" s="83"/>
      <c r="P90" s="118"/>
    </row>
    <row r="91" spans="2:16" outlineLevel="1" x14ac:dyDescent="0.2">
      <c r="B91" s="119"/>
      <c r="C91" s="133"/>
      <c r="D91" s="119"/>
      <c r="E91" s="119"/>
      <c r="F91" s="119"/>
      <c r="G91" s="119"/>
      <c r="H91" s="84" t="s">
        <v>5</v>
      </c>
      <c r="I91" s="83">
        <f t="shared" si="29"/>
        <v>60</v>
      </c>
      <c r="J91" s="83"/>
      <c r="K91" s="83">
        <v>5</v>
      </c>
      <c r="L91" s="83">
        <v>10</v>
      </c>
      <c r="M91" s="83">
        <v>10</v>
      </c>
      <c r="N91" s="83">
        <v>5</v>
      </c>
      <c r="O91" s="83">
        <v>30</v>
      </c>
      <c r="P91" s="119"/>
    </row>
    <row r="92" spans="2:16" ht="42.75" outlineLevel="1" x14ac:dyDescent="0.2">
      <c r="B92" s="117" t="s">
        <v>1581</v>
      </c>
      <c r="C92" s="117"/>
      <c r="D92" s="117" t="s">
        <v>1577</v>
      </c>
      <c r="E92" s="117">
        <v>2021</v>
      </c>
      <c r="F92" s="117"/>
      <c r="G92" s="117" t="s">
        <v>419</v>
      </c>
      <c r="H92" s="84" t="s">
        <v>3</v>
      </c>
      <c r="I92" s="83">
        <f t="shared" si="29"/>
        <v>5</v>
      </c>
      <c r="J92" s="83">
        <f t="shared" ref="J92:O92" si="31">J93+J94+J95</f>
        <v>0</v>
      </c>
      <c r="K92" s="83">
        <f t="shared" si="31"/>
        <v>5</v>
      </c>
      <c r="L92" s="83">
        <f t="shared" si="31"/>
        <v>0</v>
      </c>
      <c r="M92" s="83">
        <f t="shared" si="31"/>
        <v>0</v>
      </c>
      <c r="N92" s="83">
        <f t="shared" si="31"/>
        <v>0</v>
      </c>
      <c r="O92" s="83">
        <f t="shared" si="31"/>
        <v>0</v>
      </c>
      <c r="P92" s="117">
        <v>1</v>
      </c>
    </row>
    <row r="93" spans="2:16" outlineLevel="1" x14ac:dyDescent="0.2">
      <c r="B93" s="118"/>
      <c r="C93" s="132"/>
      <c r="D93" s="118"/>
      <c r="E93" s="118"/>
      <c r="F93" s="118"/>
      <c r="G93" s="118"/>
      <c r="H93" s="84" t="s">
        <v>4</v>
      </c>
      <c r="I93" s="83">
        <f t="shared" si="29"/>
        <v>5</v>
      </c>
      <c r="J93" s="83"/>
      <c r="K93" s="83">
        <v>5</v>
      </c>
      <c r="L93" s="83"/>
      <c r="M93" s="83"/>
      <c r="N93" s="83"/>
      <c r="O93" s="83"/>
      <c r="P93" s="118"/>
    </row>
    <row r="94" spans="2:16" outlineLevel="1" x14ac:dyDescent="0.2">
      <c r="B94" s="118"/>
      <c r="C94" s="132"/>
      <c r="D94" s="118"/>
      <c r="E94" s="118"/>
      <c r="F94" s="118"/>
      <c r="G94" s="118"/>
      <c r="H94" s="84" t="s">
        <v>6</v>
      </c>
      <c r="I94" s="83">
        <f t="shared" si="29"/>
        <v>0</v>
      </c>
      <c r="J94" s="83"/>
      <c r="K94" s="83"/>
      <c r="L94" s="83"/>
      <c r="M94" s="83"/>
      <c r="N94" s="83"/>
      <c r="O94" s="83"/>
      <c r="P94" s="118"/>
    </row>
    <row r="95" spans="2:16" outlineLevel="1" x14ac:dyDescent="0.2">
      <c r="B95" s="119"/>
      <c r="C95" s="133"/>
      <c r="D95" s="119"/>
      <c r="E95" s="119"/>
      <c r="F95" s="119"/>
      <c r="G95" s="119"/>
      <c r="H95" s="84" t="s">
        <v>5</v>
      </c>
      <c r="I95" s="83"/>
      <c r="J95" s="83"/>
      <c r="K95" s="83"/>
      <c r="L95" s="83"/>
      <c r="M95" s="83"/>
      <c r="N95" s="83"/>
      <c r="O95" s="83"/>
      <c r="P95" s="119"/>
    </row>
    <row r="96" spans="2:16" ht="42.75" outlineLevel="1" x14ac:dyDescent="0.2">
      <c r="B96" s="117" t="s">
        <v>1582</v>
      </c>
      <c r="C96" s="117"/>
      <c r="D96" s="117" t="s">
        <v>1558</v>
      </c>
      <c r="E96" s="117" t="s">
        <v>34</v>
      </c>
      <c r="F96" s="117"/>
      <c r="G96" s="117" t="s">
        <v>107</v>
      </c>
      <c r="H96" s="84" t="s">
        <v>3</v>
      </c>
      <c r="I96" s="83">
        <f>SUM(J96:O96)</f>
        <v>40</v>
      </c>
      <c r="J96" s="83">
        <f t="shared" ref="J96:O96" si="32">J97+J98+J99</f>
        <v>0</v>
      </c>
      <c r="K96" s="83">
        <f t="shared" si="32"/>
        <v>20.5</v>
      </c>
      <c r="L96" s="83">
        <f t="shared" si="32"/>
        <v>12.3</v>
      </c>
      <c r="M96" s="83">
        <f t="shared" si="32"/>
        <v>7.2</v>
      </c>
      <c r="N96" s="83">
        <f t="shared" si="32"/>
        <v>0</v>
      </c>
      <c r="O96" s="83">
        <f t="shared" si="32"/>
        <v>0</v>
      </c>
      <c r="P96" s="117"/>
    </row>
    <row r="97" spans="2:17" outlineLevel="1" x14ac:dyDescent="0.2">
      <c r="B97" s="118"/>
      <c r="C97" s="132"/>
      <c r="D97" s="118"/>
      <c r="E97" s="118"/>
      <c r="F97" s="118"/>
      <c r="G97" s="118"/>
      <c r="H97" s="84" t="s">
        <v>4</v>
      </c>
      <c r="I97" s="83">
        <f>SUM(J97:O97)</f>
        <v>30</v>
      </c>
      <c r="J97" s="83"/>
      <c r="K97" s="83">
        <v>15</v>
      </c>
      <c r="L97" s="83">
        <v>10</v>
      </c>
      <c r="M97" s="83">
        <v>5</v>
      </c>
      <c r="N97" s="83"/>
      <c r="O97" s="83"/>
      <c r="P97" s="118"/>
    </row>
    <row r="98" spans="2:17" outlineLevel="1" x14ac:dyDescent="0.2">
      <c r="B98" s="118"/>
      <c r="C98" s="132"/>
      <c r="D98" s="118"/>
      <c r="E98" s="118"/>
      <c r="F98" s="118"/>
      <c r="G98" s="118"/>
      <c r="H98" s="84" t="s">
        <v>6</v>
      </c>
      <c r="I98" s="83">
        <f>SUM(J98:O98)</f>
        <v>10</v>
      </c>
      <c r="J98" s="83"/>
      <c r="K98" s="83">
        <v>5.5</v>
      </c>
      <c r="L98" s="83">
        <v>2.2999999999999998</v>
      </c>
      <c r="M98" s="83">
        <v>2.2000000000000002</v>
      </c>
      <c r="N98" s="83"/>
      <c r="O98" s="83"/>
      <c r="P98" s="118"/>
    </row>
    <row r="99" spans="2:17" outlineLevel="1" x14ac:dyDescent="0.2">
      <c r="B99" s="119"/>
      <c r="C99" s="133"/>
      <c r="D99" s="119"/>
      <c r="E99" s="119"/>
      <c r="F99" s="119"/>
      <c r="G99" s="119"/>
      <c r="H99" s="84" t="s">
        <v>5</v>
      </c>
      <c r="I99" s="83"/>
      <c r="J99" s="83"/>
      <c r="K99" s="83"/>
      <c r="L99" s="83"/>
      <c r="M99" s="83"/>
      <c r="N99" s="83"/>
      <c r="O99" s="83"/>
      <c r="P99" s="119"/>
    </row>
    <row r="100" spans="2:17" ht="42.75" outlineLevel="1" x14ac:dyDescent="0.2">
      <c r="B100" s="117" t="s">
        <v>1583</v>
      </c>
      <c r="C100" s="117"/>
      <c r="D100" s="117" t="s">
        <v>1584</v>
      </c>
      <c r="E100" s="117">
        <v>2021</v>
      </c>
      <c r="F100" s="117"/>
      <c r="G100" s="117" t="s">
        <v>1572</v>
      </c>
      <c r="H100" s="84" t="s">
        <v>3</v>
      </c>
      <c r="I100" s="83">
        <f t="shared" ref="I100:I106" si="33">SUM(J100:O100)</f>
        <v>2</v>
      </c>
      <c r="J100" s="83">
        <f t="shared" ref="J100:O100" si="34">J101+J102+J103</f>
        <v>0</v>
      </c>
      <c r="K100" s="83">
        <f t="shared" si="34"/>
        <v>2</v>
      </c>
      <c r="L100" s="83">
        <f t="shared" si="34"/>
        <v>0</v>
      </c>
      <c r="M100" s="83">
        <f t="shared" si="34"/>
        <v>0</v>
      </c>
      <c r="N100" s="83">
        <f t="shared" si="34"/>
        <v>0</v>
      </c>
      <c r="O100" s="83">
        <f t="shared" si="34"/>
        <v>0</v>
      </c>
      <c r="P100" s="117"/>
    </row>
    <row r="101" spans="2:17" outlineLevel="1" x14ac:dyDescent="0.2">
      <c r="B101" s="118"/>
      <c r="C101" s="132"/>
      <c r="D101" s="118"/>
      <c r="E101" s="118"/>
      <c r="F101" s="118"/>
      <c r="G101" s="118"/>
      <c r="H101" s="84" t="s">
        <v>4</v>
      </c>
      <c r="I101" s="83">
        <f t="shared" si="33"/>
        <v>1</v>
      </c>
      <c r="J101" s="83"/>
      <c r="K101" s="83">
        <v>1</v>
      </c>
      <c r="L101" s="83"/>
      <c r="M101" s="83"/>
      <c r="N101" s="83"/>
      <c r="O101" s="83"/>
      <c r="P101" s="118"/>
    </row>
    <row r="102" spans="2:17" outlineLevel="1" x14ac:dyDescent="0.2">
      <c r="B102" s="118"/>
      <c r="C102" s="132"/>
      <c r="D102" s="118"/>
      <c r="E102" s="118"/>
      <c r="F102" s="118"/>
      <c r="G102" s="118"/>
      <c r="H102" s="84" t="s">
        <v>6</v>
      </c>
      <c r="I102" s="83">
        <f t="shared" si="33"/>
        <v>0.7</v>
      </c>
      <c r="J102" s="83"/>
      <c r="K102" s="83">
        <v>0.7</v>
      </c>
      <c r="L102" s="83"/>
      <c r="M102" s="83"/>
      <c r="N102" s="83"/>
      <c r="O102" s="83"/>
      <c r="P102" s="118"/>
    </row>
    <row r="103" spans="2:17" outlineLevel="1" x14ac:dyDescent="0.2">
      <c r="B103" s="119"/>
      <c r="C103" s="133"/>
      <c r="D103" s="119"/>
      <c r="E103" s="119"/>
      <c r="F103" s="119"/>
      <c r="G103" s="119"/>
      <c r="H103" s="84" t="s">
        <v>5</v>
      </c>
      <c r="I103" s="83">
        <f t="shared" si="33"/>
        <v>0.3</v>
      </c>
      <c r="J103" s="83"/>
      <c r="K103" s="83">
        <v>0.3</v>
      </c>
      <c r="L103" s="83"/>
      <c r="M103" s="83"/>
      <c r="N103" s="83"/>
      <c r="O103" s="83"/>
      <c r="P103" s="119"/>
    </row>
    <row r="104" spans="2:17" ht="42.75" outlineLevel="1" x14ac:dyDescent="0.2">
      <c r="B104" s="117" t="s">
        <v>1585</v>
      </c>
      <c r="C104" s="117"/>
      <c r="D104" s="117" t="s">
        <v>1558</v>
      </c>
      <c r="E104" s="117">
        <v>2021</v>
      </c>
      <c r="F104" s="117"/>
      <c r="G104" s="117" t="s">
        <v>115</v>
      </c>
      <c r="H104" s="84" t="s">
        <v>3</v>
      </c>
      <c r="I104" s="83">
        <f t="shared" si="33"/>
        <v>2</v>
      </c>
      <c r="J104" s="83">
        <f t="shared" ref="J104:O104" si="35">J105+J106+J107</f>
        <v>0</v>
      </c>
      <c r="K104" s="83">
        <f t="shared" si="35"/>
        <v>2</v>
      </c>
      <c r="L104" s="83">
        <f t="shared" si="35"/>
        <v>0</v>
      </c>
      <c r="M104" s="83">
        <f t="shared" si="35"/>
        <v>0</v>
      </c>
      <c r="N104" s="83">
        <f t="shared" si="35"/>
        <v>0</v>
      </c>
      <c r="O104" s="83">
        <f t="shared" si="35"/>
        <v>0</v>
      </c>
      <c r="P104" s="117"/>
    </row>
    <row r="105" spans="2:17" outlineLevel="1" x14ac:dyDescent="0.2">
      <c r="B105" s="118"/>
      <c r="C105" s="132"/>
      <c r="D105" s="118"/>
      <c r="E105" s="118"/>
      <c r="F105" s="118"/>
      <c r="G105" s="118"/>
      <c r="H105" s="84" t="s">
        <v>4</v>
      </c>
      <c r="I105" s="83">
        <f t="shared" si="33"/>
        <v>1.5</v>
      </c>
      <c r="J105" s="83"/>
      <c r="K105" s="83">
        <v>1.5</v>
      </c>
      <c r="L105" s="83"/>
      <c r="M105" s="83"/>
      <c r="N105" s="83"/>
      <c r="O105" s="83"/>
      <c r="P105" s="118"/>
    </row>
    <row r="106" spans="2:17" outlineLevel="1" x14ac:dyDescent="0.2">
      <c r="B106" s="118"/>
      <c r="C106" s="132"/>
      <c r="D106" s="118"/>
      <c r="E106" s="118"/>
      <c r="F106" s="118"/>
      <c r="G106" s="118"/>
      <c r="H106" s="84" t="s">
        <v>6</v>
      </c>
      <c r="I106" s="83">
        <f t="shared" si="33"/>
        <v>0.5</v>
      </c>
      <c r="J106" s="83"/>
      <c r="K106" s="83">
        <v>0.5</v>
      </c>
      <c r="L106" s="83"/>
      <c r="M106" s="83"/>
      <c r="N106" s="83"/>
      <c r="O106" s="83"/>
      <c r="P106" s="118"/>
    </row>
    <row r="107" spans="2:17" outlineLevel="1" x14ac:dyDescent="0.2">
      <c r="B107" s="119"/>
      <c r="C107" s="133"/>
      <c r="D107" s="119"/>
      <c r="E107" s="119"/>
      <c r="F107" s="119"/>
      <c r="G107" s="119"/>
      <c r="H107" s="84" t="s">
        <v>5</v>
      </c>
      <c r="I107" s="83"/>
      <c r="J107" s="83"/>
      <c r="K107" s="83"/>
      <c r="L107" s="83"/>
      <c r="M107" s="83"/>
      <c r="N107" s="83"/>
      <c r="O107" s="83"/>
      <c r="P107" s="119"/>
    </row>
    <row r="108" spans="2:17" ht="42.75" x14ac:dyDescent="0.2">
      <c r="B108" s="128" t="s">
        <v>288</v>
      </c>
      <c r="C108" s="128" t="s">
        <v>38</v>
      </c>
      <c r="D108" s="128" t="s">
        <v>38</v>
      </c>
      <c r="E108" s="128" t="s">
        <v>38</v>
      </c>
      <c r="F108" s="128" t="s">
        <v>38</v>
      </c>
      <c r="G108" s="128" t="s">
        <v>38</v>
      </c>
      <c r="H108" s="84" t="s">
        <v>3</v>
      </c>
      <c r="I108" s="14">
        <f t="shared" ref="I108:O108" si="36">SUMIF($H$28:$H$107,"Объем*",I$28:I$107)</f>
        <v>940.23500000000001</v>
      </c>
      <c r="J108" s="14">
        <f t="shared" si="36"/>
        <v>24.082000000000001</v>
      </c>
      <c r="K108" s="14">
        <f t="shared" si="36"/>
        <v>240.50299999999999</v>
      </c>
      <c r="L108" s="14">
        <f t="shared" si="36"/>
        <v>403.55</v>
      </c>
      <c r="M108" s="14">
        <f t="shared" si="36"/>
        <v>222.5</v>
      </c>
      <c r="N108" s="14">
        <f t="shared" si="36"/>
        <v>19.3</v>
      </c>
      <c r="O108" s="14">
        <f t="shared" si="36"/>
        <v>30.3</v>
      </c>
      <c r="P108" s="128"/>
      <c r="Q108" s="7"/>
    </row>
    <row r="109" spans="2:17" ht="15.75" x14ac:dyDescent="0.2">
      <c r="B109" s="129"/>
      <c r="C109" s="129"/>
      <c r="D109" s="129"/>
      <c r="E109" s="129"/>
      <c r="F109" s="129"/>
      <c r="G109" s="129"/>
      <c r="H109" s="84" t="s">
        <v>4</v>
      </c>
      <c r="I109" s="14">
        <f t="shared" ref="I109:O109" si="37">SUMIF($H$28:$H$107,"фед*",I$28:I$107)</f>
        <v>628.64</v>
      </c>
      <c r="J109" s="14">
        <f t="shared" si="37"/>
        <v>4.34</v>
      </c>
      <c r="K109" s="14">
        <f t="shared" si="37"/>
        <v>160.5</v>
      </c>
      <c r="L109" s="14">
        <f t="shared" si="37"/>
        <v>288.8</v>
      </c>
      <c r="M109" s="14">
        <f t="shared" si="37"/>
        <v>163</v>
      </c>
      <c r="N109" s="14">
        <f t="shared" si="37"/>
        <v>12</v>
      </c>
      <c r="O109" s="14">
        <f t="shared" si="37"/>
        <v>0</v>
      </c>
      <c r="P109" s="129"/>
      <c r="Q109" s="7"/>
    </row>
    <row r="110" spans="2:17" ht="15.75" x14ac:dyDescent="0.2">
      <c r="B110" s="129"/>
      <c r="C110" s="129"/>
      <c r="D110" s="129"/>
      <c r="E110" s="129"/>
      <c r="F110" s="129"/>
      <c r="G110" s="129"/>
      <c r="H110" s="84" t="s">
        <v>6</v>
      </c>
      <c r="I110" s="14">
        <f t="shared" ref="I110:O110" si="38">SUMIF($H$28:$H$107,"конс*",I$28:I$107)</f>
        <v>168.19499999999999</v>
      </c>
      <c r="J110" s="14">
        <f t="shared" si="38"/>
        <v>19.742000000000001</v>
      </c>
      <c r="K110" s="14">
        <f t="shared" si="38"/>
        <v>53.153000000000006</v>
      </c>
      <c r="L110" s="14">
        <f t="shared" si="38"/>
        <v>68.7</v>
      </c>
      <c r="M110" s="14">
        <f t="shared" si="38"/>
        <v>24</v>
      </c>
      <c r="N110" s="14">
        <f t="shared" si="38"/>
        <v>2.2999999999999998</v>
      </c>
      <c r="O110" s="14">
        <f t="shared" si="38"/>
        <v>0.3</v>
      </c>
      <c r="P110" s="129"/>
      <c r="Q110" s="7"/>
    </row>
    <row r="111" spans="2:17" ht="15.75" x14ac:dyDescent="0.2">
      <c r="B111" s="130"/>
      <c r="C111" s="130"/>
      <c r="D111" s="130"/>
      <c r="E111" s="130"/>
      <c r="F111" s="130"/>
      <c r="G111" s="130"/>
      <c r="H111" s="84" t="s">
        <v>5</v>
      </c>
      <c r="I111" s="14">
        <f t="shared" ref="I111:O111" si="39">SUMIF($H$28:$H$107,"вне*",I$28:I$107)</f>
        <v>143.4</v>
      </c>
      <c r="J111" s="14">
        <f t="shared" si="39"/>
        <v>0</v>
      </c>
      <c r="K111" s="14">
        <f t="shared" si="39"/>
        <v>26.85</v>
      </c>
      <c r="L111" s="14">
        <f t="shared" si="39"/>
        <v>46.05</v>
      </c>
      <c r="M111" s="14">
        <f t="shared" si="39"/>
        <v>35.5</v>
      </c>
      <c r="N111" s="14">
        <f t="shared" si="39"/>
        <v>5</v>
      </c>
      <c r="O111" s="14">
        <f t="shared" si="39"/>
        <v>30</v>
      </c>
      <c r="P111" s="130"/>
      <c r="Q111" s="7"/>
    </row>
    <row r="112" spans="2:17" ht="25.5" customHeight="1" x14ac:dyDescent="0.2">
      <c r="B112" s="111" t="s">
        <v>344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3"/>
      <c r="Q112" s="7"/>
    </row>
    <row r="113" spans="2:16" ht="42" customHeight="1" outlineLevel="1" x14ac:dyDescent="0.2">
      <c r="B113" s="178" t="s">
        <v>1586</v>
      </c>
      <c r="C113" s="178"/>
      <c r="D113" s="178" t="s">
        <v>344</v>
      </c>
      <c r="E113" s="178">
        <v>2021</v>
      </c>
      <c r="F113" s="178"/>
      <c r="G113" s="178" t="s">
        <v>1587</v>
      </c>
      <c r="H113" s="84" t="s">
        <v>3</v>
      </c>
      <c r="I113" s="83">
        <f>SUM(J113:O113)</f>
        <v>52.18</v>
      </c>
      <c r="J113" s="83">
        <f t="shared" ref="J113:O113" si="40">J114+J115+J116</f>
        <v>0</v>
      </c>
      <c r="K113" s="83">
        <f t="shared" si="40"/>
        <v>52.18</v>
      </c>
      <c r="L113" s="83">
        <f t="shared" si="40"/>
        <v>0</v>
      </c>
      <c r="M113" s="83">
        <f t="shared" si="40"/>
        <v>0</v>
      </c>
      <c r="N113" s="83">
        <f t="shared" si="40"/>
        <v>0</v>
      </c>
      <c r="O113" s="83">
        <f t="shared" si="40"/>
        <v>0</v>
      </c>
      <c r="P113" s="178">
        <v>5000</v>
      </c>
    </row>
    <row r="114" spans="2:16" ht="17.25" customHeight="1" outlineLevel="1" x14ac:dyDescent="0.2">
      <c r="B114" s="178"/>
      <c r="C114" s="143"/>
      <c r="D114" s="178"/>
      <c r="E114" s="178"/>
      <c r="F114" s="178"/>
      <c r="G114" s="178"/>
      <c r="H114" s="84" t="s">
        <v>4</v>
      </c>
      <c r="I114" s="83">
        <f>SUM(J114:O114)</f>
        <v>51.66</v>
      </c>
      <c r="J114" s="75"/>
      <c r="K114" s="75">
        <v>51.66</v>
      </c>
      <c r="L114" s="75"/>
      <c r="M114" s="75"/>
      <c r="N114" s="75"/>
      <c r="O114" s="75"/>
      <c r="P114" s="178"/>
    </row>
    <row r="115" spans="2:16" ht="17.25" customHeight="1" outlineLevel="1" x14ac:dyDescent="0.2">
      <c r="B115" s="178"/>
      <c r="C115" s="143"/>
      <c r="D115" s="178"/>
      <c r="E115" s="178"/>
      <c r="F115" s="178"/>
      <c r="G115" s="178"/>
      <c r="H115" s="84" t="s">
        <v>6</v>
      </c>
      <c r="I115" s="83">
        <f>SUM(J115:O115)</f>
        <v>0.52</v>
      </c>
      <c r="J115" s="75"/>
      <c r="K115" s="75">
        <v>0.52</v>
      </c>
      <c r="L115" s="75"/>
      <c r="M115" s="75"/>
      <c r="N115" s="75"/>
      <c r="O115" s="75"/>
      <c r="P115" s="178"/>
    </row>
    <row r="116" spans="2:16" ht="17.25" customHeight="1" outlineLevel="1" x14ac:dyDescent="0.2">
      <c r="B116" s="178"/>
      <c r="C116" s="143"/>
      <c r="D116" s="178"/>
      <c r="E116" s="178"/>
      <c r="F116" s="178"/>
      <c r="G116" s="178"/>
      <c r="H116" s="84" t="s">
        <v>5</v>
      </c>
      <c r="I116" s="75"/>
      <c r="J116" s="75"/>
      <c r="K116" s="75"/>
      <c r="L116" s="75"/>
      <c r="M116" s="75"/>
      <c r="N116" s="75"/>
      <c r="O116" s="75"/>
      <c r="P116" s="178"/>
    </row>
    <row r="117" spans="2:16" ht="42" customHeight="1" outlineLevel="1" x14ac:dyDescent="0.2">
      <c r="B117" s="178" t="s">
        <v>1588</v>
      </c>
      <c r="C117" s="178"/>
      <c r="D117" s="178" t="s">
        <v>1120</v>
      </c>
      <c r="E117" s="178">
        <v>2020</v>
      </c>
      <c r="F117" s="178"/>
      <c r="G117" s="178" t="s">
        <v>107</v>
      </c>
      <c r="H117" s="84" t="s">
        <v>3</v>
      </c>
      <c r="I117" s="83">
        <f>SUM(J117:O117)</f>
        <v>8.11</v>
      </c>
      <c r="J117" s="83">
        <f t="shared" ref="J117:O117" si="41">J118+J119+J120</f>
        <v>0</v>
      </c>
      <c r="K117" s="83">
        <f t="shared" si="41"/>
        <v>8.11</v>
      </c>
      <c r="L117" s="83">
        <f t="shared" si="41"/>
        <v>0</v>
      </c>
      <c r="M117" s="83">
        <f t="shared" si="41"/>
        <v>0</v>
      </c>
      <c r="N117" s="83">
        <f t="shared" si="41"/>
        <v>0</v>
      </c>
      <c r="O117" s="83">
        <f t="shared" si="41"/>
        <v>0</v>
      </c>
      <c r="P117" s="178"/>
    </row>
    <row r="118" spans="2:16" ht="17.25" customHeight="1" outlineLevel="1" x14ac:dyDescent="0.2">
      <c r="B118" s="178"/>
      <c r="C118" s="143"/>
      <c r="D118" s="178"/>
      <c r="E118" s="178"/>
      <c r="F118" s="178"/>
      <c r="G118" s="178"/>
      <c r="H118" s="84" t="s">
        <v>4</v>
      </c>
      <c r="I118" s="83">
        <f>SUM(J118:O118)</f>
        <v>7.3</v>
      </c>
      <c r="J118" s="75"/>
      <c r="K118" s="75">
        <v>7.3</v>
      </c>
      <c r="L118" s="75"/>
      <c r="M118" s="75"/>
      <c r="N118" s="75"/>
      <c r="O118" s="75"/>
      <c r="P118" s="178"/>
    </row>
    <row r="119" spans="2:16" ht="17.25" customHeight="1" outlineLevel="1" x14ac:dyDescent="0.2">
      <c r="B119" s="178"/>
      <c r="C119" s="143"/>
      <c r="D119" s="178"/>
      <c r="E119" s="178"/>
      <c r="F119" s="178"/>
      <c r="G119" s="178"/>
      <c r="H119" s="84" t="s">
        <v>6</v>
      </c>
      <c r="I119" s="83">
        <f>SUM(J119:O119)</f>
        <v>0.81</v>
      </c>
      <c r="J119" s="75"/>
      <c r="K119" s="75">
        <v>0.81</v>
      </c>
      <c r="L119" s="75"/>
      <c r="M119" s="75"/>
      <c r="N119" s="75"/>
      <c r="O119" s="75"/>
      <c r="P119" s="178"/>
    </row>
    <row r="120" spans="2:16" ht="17.25" customHeight="1" outlineLevel="1" x14ac:dyDescent="0.2">
      <c r="B120" s="178"/>
      <c r="C120" s="143"/>
      <c r="D120" s="178"/>
      <c r="E120" s="178"/>
      <c r="F120" s="178"/>
      <c r="G120" s="178"/>
      <c r="H120" s="84" t="s">
        <v>5</v>
      </c>
      <c r="I120" s="75"/>
      <c r="J120" s="75"/>
      <c r="K120" s="75"/>
      <c r="L120" s="75"/>
      <c r="M120" s="75"/>
      <c r="N120" s="75"/>
      <c r="O120" s="75"/>
      <c r="P120" s="178"/>
    </row>
    <row r="121" spans="2:16" ht="51.75" customHeight="1" outlineLevel="1" x14ac:dyDescent="0.2">
      <c r="B121" s="178" t="s">
        <v>1589</v>
      </c>
      <c r="C121" s="178" t="s">
        <v>1590</v>
      </c>
      <c r="D121" s="178" t="s">
        <v>344</v>
      </c>
      <c r="E121" s="178" t="s">
        <v>34</v>
      </c>
      <c r="F121" s="178"/>
      <c r="G121" s="178" t="s">
        <v>107</v>
      </c>
      <c r="H121" s="84" t="s">
        <v>3</v>
      </c>
      <c r="I121" s="83">
        <f>SUM(J121:O121)</f>
        <v>25</v>
      </c>
      <c r="J121" s="83">
        <f t="shared" ref="J121:O121" si="42">J122+J123+J124</f>
        <v>0</v>
      </c>
      <c r="K121" s="83">
        <f t="shared" si="42"/>
        <v>5</v>
      </c>
      <c r="L121" s="83">
        <f t="shared" si="42"/>
        <v>10</v>
      </c>
      <c r="M121" s="83">
        <f t="shared" si="42"/>
        <v>10</v>
      </c>
      <c r="N121" s="83">
        <f t="shared" si="42"/>
        <v>0</v>
      </c>
      <c r="O121" s="83">
        <f t="shared" si="42"/>
        <v>0</v>
      </c>
      <c r="P121" s="178"/>
    </row>
    <row r="122" spans="2:16" ht="17.25" customHeight="1" outlineLevel="1" x14ac:dyDescent="0.2">
      <c r="B122" s="178"/>
      <c r="C122" s="143"/>
      <c r="D122" s="178"/>
      <c r="E122" s="178"/>
      <c r="F122" s="178"/>
      <c r="G122" s="178"/>
      <c r="H122" s="84" t="s">
        <v>4</v>
      </c>
      <c r="I122" s="83">
        <f>SUM(J122:O122)</f>
        <v>22.5</v>
      </c>
      <c r="J122" s="75"/>
      <c r="K122" s="75">
        <v>4.5</v>
      </c>
      <c r="L122" s="75">
        <v>9</v>
      </c>
      <c r="M122" s="75">
        <v>9</v>
      </c>
      <c r="N122" s="75"/>
      <c r="O122" s="75"/>
      <c r="P122" s="178"/>
    </row>
    <row r="123" spans="2:16" ht="17.25" customHeight="1" outlineLevel="1" x14ac:dyDescent="0.2">
      <c r="B123" s="178"/>
      <c r="C123" s="143"/>
      <c r="D123" s="178"/>
      <c r="E123" s="178"/>
      <c r="F123" s="178"/>
      <c r="G123" s="178"/>
      <c r="H123" s="84" t="s">
        <v>6</v>
      </c>
      <c r="I123" s="83">
        <f>SUM(J123:O123)</f>
        <v>2.5</v>
      </c>
      <c r="J123" s="75"/>
      <c r="K123" s="75">
        <v>0.5</v>
      </c>
      <c r="L123" s="75">
        <v>1</v>
      </c>
      <c r="M123" s="75">
        <v>1</v>
      </c>
      <c r="N123" s="75"/>
      <c r="O123" s="75"/>
      <c r="P123" s="178"/>
    </row>
    <row r="124" spans="2:16" ht="17.25" customHeight="1" outlineLevel="1" x14ac:dyDescent="0.2">
      <c r="B124" s="178"/>
      <c r="C124" s="143"/>
      <c r="D124" s="178"/>
      <c r="E124" s="178"/>
      <c r="F124" s="178"/>
      <c r="G124" s="178"/>
      <c r="H124" s="84" t="s">
        <v>5</v>
      </c>
      <c r="I124" s="75"/>
      <c r="J124" s="75"/>
      <c r="K124" s="75"/>
      <c r="L124" s="75"/>
      <c r="M124" s="75"/>
      <c r="N124" s="75"/>
      <c r="O124" s="75"/>
      <c r="P124" s="178"/>
    </row>
    <row r="125" spans="2:16" ht="42" customHeight="1" outlineLevel="1" x14ac:dyDescent="0.2">
      <c r="B125" s="178" t="s">
        <v>1591</v>
      </c>
      <c r="C125" s="178"/>
      <c r="D125" s="178" t="s">
        <v>1592</v>
      </c>
      <c r="E125" s="178">
        <v>2023</v>
      </c>
      <c r="F125" s="178"/>
      <c r="G125" s="178" t="s">
        <v>101</v>
      </c>
      <c r="H125" s="84" t="s">
        <v>3</v>
      </c>
      <c r="I125" s="83">
        <f>SUM(J125:O125)</f>
        <v>3.5</v>
      </c>
      <c r="J125" s="83">
        <f t="shared" ref="J125:O125" si="43">J126+J127+J128</f>
        <v>0</v>
      </c>
      <c r="K125" s="83">
        <f t="shared" si="43"/>
        <v>0</v>
      </c>
      <c r="L125" s="83">
        <f t="shared" si="43"/>
        <v>0</v>
      </c>
      <c r="M125" s="83">
        <f>M126+M127+M128</f>
        <v>3.5</v>
      </c>
      <c r="N125" s="83">
        <f t="shared" si="43"/>
        <v>0</v>
      </c>
      <c r="O125" s="83">
        <f t="shared" si="43"/>
        <v>0</v>
      </c>
      <c r="P125" s="178"/>
    </row>
    <row r="126" spans="2:16" ht="17.25" customHeight="1" outlineLevel="1" x14ac:dyDescent="0.2">
      <c r="B126" s="178"/>
      <c r="C126" s="143"/>
      <c r="D126" s="178"/>
      <c r="E126" s="178"/>
      <c r="F126" s="178"/>
      <c r="G126" s="178"/>
      <c r="H126" s="84" t="s">
        <v>4</v>
      </c>
      <c r="I126" s="83">
        <f>SUM(J126:O126)</f>
        <v>0</v>
      </c>
      <c r="J126" s="75"/>
      <c r="K126" s="75"/>
      <c r="L126" s="75"/>
      <c r="M126" s="75"/>
      <c r="N126" s="75"/>
      <c r="O126" s="75"/>
      <c r="P126" s="178"/>
    </row>
    <row r="127" spans="2:16" ht="17.25" customHeight="1" outlineLevel="1" x14ac:dyDescent="0.2">
      <c r="B127" s="178"/>
      <c r="C127" s="143"/>
      <c r="D127" s="178"/>
      <c r="E127" s="178"/>
      <c r="F127" s="178"/>
      <c r="G127" s="178"/>
      <c r="H127" s="84" t="s">
        <v>6</v>
      </c>
      <c r="I127" s="83">
        <f>SUM(J127:O127)</f>
        <v>3.5</v>
      </c>
      <c r="J127" s="75"/>
      <c r="K127" s="75"/>
      <c r="L127" s="75"/>
      <c r="M127" s="75">
        <v>3.5</v>
      </c>
      <c r="N127" s="75"/>
      <c r="O127" s="75"/>
      <c r="P127" s="178"/>
    </row>
    <row r="128" spans="2:16" ht="17.25" customHeight="1" outlineLevel="1" x14ac:dyDescent="0.2">
      <c r="B128" s="178"/>
      <c r="C128" s="143"/>
      <c r="D128" s="178"/>
      <c r="E128" s="178"/>
      <c r="F128" s="178"/>
      <c r="G128" s="178"/>
      <c r="H128" s="84" t="s">
        <v>5</v>
      </c>
      <c r="I128" s="83"/>
      <c r="J128" s="75"/>
      <c r="K128" s="75"/>
      <c r="L128" s="75"/>
      <c r="M128" s="75"/>
      <c r="N128" s="75"/>
      <c r="O128" s="75"/>
      <c r="P128" s="178"/>
    </row>
    <row r="129" spans="2:16" ht="42" customHeight="1" outlineLevel="1" x14ac:dyDescent="0.2">
      <c r="B129" s="178" t="s">
        <v>1593</v>
      </c>
      <c r="C129" s="178"/>
      <c r="D129" s="178" t="s">
        <v>1592</v>
      </c>
      <c r="E129" s="178">
        <v>2023</v>
      </c>
      <c r="F129" s="178"/>
      <c r="G129" s="178" t="s">
        <v>101</v>
      </c>
      <c r="H129" s="84" t="s">
        <v>3</v>
      </c>
      <c r="I129" s="83">
        <f>SUM(J129:O129)</f>
        <v>0.5</v>
      </c>
      <c r="J129" s="83">
        <f t="shared" ref="J129:O129" si="44">J130+J131+J132</f>
        <v>0</v>
      </c>
      <c r="K129" s="83">
        <f t="shared" si="44"/>
        <v>0</v>
      </c>
      <c r="L129" s="83">
        <f t="shared" si="44"/>
        <v>0</v>
      </c>
      <c r="M129" s="83">
        <f t="shared" si="44"/>
        <v>0.5</v>
      </c>
      <c r="N129" s="83">
        <f t="shared" si="44"/>
        <v>0</v>
      </c>
      <c r="O129" s="83">
        <f t="shared" si="44"/>
        <v>0</v>
      </c>
      <c r="P129" s="178"/>
    </row>
    <row r="130" spans="2:16" ht="17.25" customHeight="1" outlineLevel="1" x14ac:dyDescent="0.2">
      <c r="B130" s="178"/>
      <c r="C130" s="143"/>
      <c r="D130" s="178"/>
      <c r="E130" s="178"/>
      <c r="F130" s="178"/>
      <c r="G130" s="178"/>
      <c r="H130" s="84" t="s">
        <v>4</v>
      </c>
      <c r="I130" s="83">
        <f>SUM(J130:O130)</f>
        <v>0</v>
      </c>
      <c r="J130" s="75"/>
      <c r="K130" s="75"/>
      <c r="L130" s="75"/>
      <c r="M130" s="75"/>
      <c r="N130" s="75"/>
      <c r="O130" s="75"/>
      <c r="P130" s="178"/>
    </row>
    <row r="131" spans="2:16" ht="17.25" customHeight="1" outlineLevel="1" x14ac:dyDescent="0.2">
      <c r="B131" s="178"/>
      <c r="C131" s="143"/>
      <c r="D131" s="178"/>
      <c r="E131" s="178"/>
      <c r="F131" s="178"/>
      <c r="G131" s="178"/>
      <c r="H131" s="84" t="s">
        <v>6</v>
      </c>
      <c r="I131" s="83">
        <f>SUM(J131:O131)</f>
        <v>0.5</v>
      </c>
      <c r="J131" s="75"/>
      <c r="K131" s="75"/>
      <c r="L131" s="75"/>
      <c r="M131" s="75">
        <v>0.5</v>
      </c>
      <c r="N131" s="75"/>
      <c r="O131" s="75"/>
      <c r="P131" s="178"/>
    </row>
    <row r="132" spans="2:16" ht="17.25" customHeight="1" outlineLevel="1" x14ac:dyDescent="0.2">
      <c r="B132" s="178"/>
      <c r="C132" s="143"/>
      <c r="D132" s="178"/>
      <c r="E132" s="178"/>
      <c r="F132" s="178"/>
      <c r="G132" s="178"/>
      <c r="H132" s="84" t="s">
        <v>5</v>
      </c>
      <c r="I132" s="75"/>
      <c r="J132" s="75"/>
      <c r="K132" s="75"/>
      <c r="L132" s="75"/>
      <c r="M132" s="75"/>
      <c r="N132" s="75"/>
      <c r="O132" s="75"/>
      <c r="P132" s="178"/>
    </row>
    <row r="133" spans="2:16" ht="42" customHeight="1" outlineLevel="1" x14ac:dyDescent="0.2">
      <c r="B133" s="178" t="s">
        <v>1594</v>
      </c>
      <c r="C133" s="178"/>
      <c r="D133" s="178"/>
      <c r="E133" s="178" t="s">
        <v>34</v>
      </c>
      <c r="F133" s="178"/>
      <c r="G133" s="178" t="s">
        <v>107</v>
      </c>
      <c r="H133" s="84" t="s">
        <v>3</v>
      </c>
      <c r="I133" s="83">
        <f>SUM(J133:O133)</f>
        <v>490</v>
      </c>
      <c r="J133" s="83">
        <f t="shared" ref="J133:O133" si="45">J134+J135+J136</f>
        <v>0</v>
      </c>
      <c r="K133" s="83">
        <f t="shared" si="45"/>
        <v>90</v>
      </c>
      <c r="L133" s="83">
        <f t="shared" si="45"/>
        <v>200</v>
      </c>
      <c r="M133" s="83">
        <f t="shared" si="45"/>
        <v>200</v>
      </c>
      <c r="N133" s="83">
        <f t="shared" si="45"/>
        <v>0</v>
      </c>
      <c r="O133" s="83">
        <f t="shared" si="45"/>
        <v>0</v>
      </c>
      <c r="P133" s="178"/>
    </row>
    <row r="134" spans="2:16" ht="17.25" customHeight="1" outlineLevel="1" x14ac:dyDescent="0.2">
      <c r="B134" s="178"/>
      <c r="C134" s="143"/>
      <c r="D134" s="178"/>
      <c r="E134" s="178"/>
      <c r="F134" s="178"/>
      <c r="G134" s="178"/>
      <c r="H134" s="84" t="s">
        <v>4</v>
      </c>
      <c r="I134" s="83">
        <f>SUM(J134:O134)</f>
        <v>441</v>
      </c>
      <c r="J134" s="75"/>
      <c r="K134" s="75">
        <v>81</v>
      </c>
      <c r="L134" s="75">
        <v>180</v>
      </c>
      <c r="M134" s="75">
        <v>180</v>
      </c>
      <c r="N134" s="75"/>
      <c r="O134" s="75"/>
      <c r="P134" s="178"/>
    </row>
    <row r="135" spans="2:16" ht="17.25" customHeight="1" outlineLevel="1" x14ac:dyDescent="0.2">
      <c r="B135" s="178"/>
      <c r="C135" s="143"/>
      <c r="D135" s="178"/>
      <c r="E135" s="178"/>
      <c r="F135" s="178"/>
      <c r="G135" s="178"/>
      <c r="H135" s="84" t="s">
        <v>6</v>
      </c>
      <c r="I135" s="83">
        <f>SUM(J135:O135)</f>
        <v>49</v>
      </c>
      <c r="J135" s="75"/>
      <c r="K135" s="75">
        <v>9</v>
      </c>
      <c r="L135" s="75">
        <v>20</v>
      </c>
      <c r="M135" s="75">
        <v>20</v>
      </c>
      <c r="N135" s="75"/>
      <c r="O135" s="75"/>
      <c r="P135" s="178"/>
    </row>
    <row r="136" spans="2:16" ht="17.25" customHeight="1" outlineLevel="1" x14ac:dyDescent="0.2">
      <c r="B136" s="178"/>
      <c r="C136" s="143"/>
      <c r="D136" s="178"/>
      <c r="E136" s="178"/>
      <c r="F136" s="178"/>
      <c r="G136" s="178"/>
      <c r="H136" s="84" t="s">
        <v>5</v>
      </c>
      <c r="I136" s="75"/>
      <c r="J136" s="75"/>
      <c r="K136" s="75"/>
      <c r="L136" s="75"/>
      <c r="M136" s="75"/>
      <c r="N136" s="75"/>
      <c r="O136" s="75"/>
      <c r="P136" s="178"/>
    </row>
    <row r="137" spans="2:16" ht="42" customHeight="1" outlineLevel="1" x14ac:dyDescent="0.2">
      <c r="B137" s="178" t="s">
        <v>1595</v>
      </c>
      <c r="C137" s="178"/>
      <c r="D137" s="178" t="s">
        <v>1596</v>
      </c>
      <c r="E137" s="178">
        <v>2020</v>
      </c>
      <c r="F137" s="178"/>
      <c r="G137" s="178" t="s">
        <v>63</v>
      </c>
      <c r="H137" s="84" t="s">
        <v>3</v>
      </c>
      <c r="I137" s="83">
        <f>SUM(J137:O137)</f>
        <v>8.5</v>
      </c>
      <c r="J137" s="83">
        <f t="shared" ref="J137:O137" si="46">J138+J139+J140</f>
        <v>8.5</v>
      </c>
      <c r="K137" s="83">
        <f t="shared" si="46"/>
        <v>0</v>
      </c>
      <c r="L137" s="83">
        <f t="shared" si="46"/>
        <v>0</v>
      </c>
      <c r="M137" s="83">
        <f t="shared" si="46"/>
        <v>0</v>
      </c>
      <c r="N137" s="83">
        <f t="shared" si="46"/>
        <v>0</v>
      </c>
      <c r="O137" s="83">
        <f t="shared" si="46"/>
        <v>0</v>
      </c>
      <c r="P137" s="178"/>
    </row>
    <row r="138" spans="2:16" ht="17.25" customHeight="1" outlineLevel="1" x14ac:dyDescent="0.2">
      <c r="B138" s="178"/>
      <c r="C138" s="143"/>
      <c r="D138" s="178"/>
      <c r="E138" s="178"/>
      <c r="F138" s="178"/>
      <c r="G138" s="178"/>
      <c r="H138" s="84" t="s">
        <v>4</v>
      </c>
      <c r="I138" s="83">
        <f>SUM(J138:O138)</f>
        <v>0</v>
      </c>
      <c r="J138" s="75"/>
      <c r="K138" s="75"/>
      <c r="L138" s="75"/>
      <c r="M138" s="75"/>
      <c r="N138" s="75"/>
      <c r="O138" s="75"/>
      <c r="P138" s="178"/>
    </row>
    <row r="139" spans="2:16" ht="17.25" customHeight="1" outlineLevel="1" x14ac:dyDescent="0.2">
      <c r="B139" s="178"/>
      <c r="C139" s="143"/>
      <c r="D139" s="178"/>
      <c r="E139" s="178"/>
      <c r="F139" s="178"/>
      <c r="G139" s="178"/>
      <c r="H139" s="84" t="s">
        <v>6</v>
      </c>
      <c r="I139" s="83">
        <f>SUM(J139:O139)</f>
        <v>8.5</v>
      </c>
      <c r="J139" s="75">
        <v>8.5</v>
      </c>
      <c r="K139" s="75"/>
      <c r="L139" s="75"/>
      <c r="M139" s="75"/>
      <c r="N139" s="75"/>
      <c r="O139" s="75"/>
      <c r="P139" s="178"/>
    </row>
    <row r="140" spans="2:16" ht="17.25" customHeight="1" outlineLevel="1" x14ac:dyDescent="0.2">
      <c r="B140" s="178"/>
      <c r="C140" s="143"/>
      <c r="D140" s="178"/>
      <c r="E140" s="178"/>
      <c r="F140" s="178"/>
      <c r="G140" s="178"/>
      <c r="H140" s="84" t="s">
        <v>5</v>
      </c>
      <c r="I140" s="75"/>
      <c r="J140" s="75"/>
      <c r="K140" s="75"/>
      <c r="L140" s="75"/>
      <c r="M140" s="75"/>
      <c r="N140" s="75"/>
      <c r="O140" s="75"/>
      <c r="P140" s="178"/>
    </row>
    <row r="141" spans="2:16" ht="42" customHeight="1" outlineLevel="1" x14ac:dyDescent="0.2">
      <c r="B141" s="178" t="s">
        <v>1597</v>
      </c>
      <c r="C141" s="178" t="s">
        <v>1590</v>
      </c>
      <c r="D141" s="178" t="s">
        <v>1598</v>
      </c>
      <c r="E141" s="178" t="s">
        <v>34</v>
      </c>
      <c r="F141" s="178"/>
      <c r="G141" s="178" t="s">
        <v>107</v>
      </c>
      <c r="H141" s="84" t="s">
        <v>3</v>
      </c>
      <c r="I141" s="83">
        <f>SUM(J141:O141)</f>
        <v>400</v>
      </c>
      <c r="J141" s="83">
        <f t="shared" ref="J141:O141" si="47">J142+J143+J144</f>
        <v>0</v>
      </c>
      <c r="K141" s="83">
        <f t="shared" si="47"/>
        <v>80</v>
      </c>
      <c r="L141" s="83">
        <f t="shared" si="47"/>
        <v>160</v>
      </c>
      <c r="M141" s="83">
        <f t="shared" si="47"/>
        <v>160</v>
      </c>
      <c r="N141" s="83">
        <f t="shared" si="47"/>
        <v>0</v>
      </c>
      <c r="O141" s="83">
        <f t="shared" si="47"/>
        <v>0</v>
      </c>
      <c r="P141" s="178"/>
    </row>
    <row r="142" spans="2:16" ht="17.25" customHeight="1" outlineLevel="1" x14ac:dyDescent="0.2">
      <c r="B142" s="178"/>
      <c r="C142" s="143"/>
      <c r="D142" s="178"/>
      <c r="E142" s="178"/>
      <c r="F142" s="178"/>
      <c r="G142" s="178"/>
      <c r="H142" s="84" t="s">
        <v>4</v>
      </c>
      <c r="I142" s="83">
        <f>SUM(J142:O142)</f>
        <v>360</v>
      </c>
      <c r="J142" s="75"/>
      <c r="K142" s="75">
        <v>72</v>
      </c>
      <c r="L142" s="75">
        <v>144</v>
      </c>
      <c r="M142" s="75">
        <v>144</v>
      </c>
      <c r="N142" s="75"/>
      <c r="O142" s="75"/>
      <c r="P142" s="178"/>
    </row>
    <row r="143" spans="2:16" ht="17.25" customHeight="1" outlineLevel="1" x14ac:dyDescent="0.2">
      <c r="B143" s="178"/>
      <c r="C143" s="143"/>
      <c r="D143" s="178"/>
      <c r="E143" s="178"/>
      <c r="F143" s="178"/>
      <c r="G143" s="178"/>
      <c r="H143" s="84" t="s">
        <v>6</v>
      </c>
      <c r="I143" s="83">
        <f>SUM(J143:O143)</f>
        <v>40</v>
      </c>
      <c r="J143" s="75"/>
      <c r="K143" s="75">
        <v>8</v>
      </c>
      <c r="L143" s="75">
        <v>16</v>
      </c>
      <c r="M143" s="75">
        <v>16</v>
      </c>
      <c r="N143" s="75"/>
      <c r="O143" s="75"/>
      <c r="P143" s="178"/>
    </row>
    <row r="144" spans="2:16" ht="17.25" customHeight="1" outlineLevel="1" x14ac:dyDescent="0.2">
      <c r="B144" s="178"/>
      <c r="C144" s="143"/>
      <c r="D144" s="178"/>
      <c r="E144" s="178"/>
      <c r="F144" s="178"/>
      <c r="G144" s="178"/>
      <c r="H144" s="84" t="s">
        <v>5</v>
      </c>
      <c r="I144" s="75"/>
      <c r="J144" s="75"/>
      <c r="K144" s="75"/>
      <c r="L144" s="75"/>
      <c r="M144" s="75"/>
      <c r="N144" s="75"/>
      <c r="O144" s="75"/>
      <c r="P144" s="178"/>
    </row>
    <row r="145" spans="2:17" ht="42" customHeight="1" outlineLevel="1" x14ac:dyDescent="0.2">
      <c r="B145" s="178" t="s">
        <v>1599</v>
      </c>
      <c r="C145" s="178" t="s">
        <v>1590</v>
      </c>
      <c r="D145" s="178" t="s">
        <v>1598</v>
      </c>
      <c r="E145" s="178" t="s">
        <v>34</v>
      </c>
      <c r="F145" s="178"/>
      <c r="G145" s="178" t="s">
        <v>107</v>
      </c>
      <c r="H145" s="84" t="s">
        <v>3</v>
      </c>
      <c r="I145" s="83">
        <f>SUM(J145:O145)</f>
        <v>35</v>
      </c>
      <c r="J145" s="83">
        <f t="shared" ref="J145:O145" si="48">J146+J147+J148</f>
        <v>0</v>
      </c>
      <c r="K145" s="83">
        <f t="shared" si="48"/>
        <v>7</v>
      </c>
      <c r="L145" s="83">
        <f t="shared" si="48"/>
        <v>14</v>
      </c>
      <c r="M145" s="83">
        <f t="shared" si="48"/>
        <v>14</v>
      </c>
      <c r="N145" s="83">
        <f t="shared" si="48"/>
        <v>0</v>
      </c>
      <c r="O145" s="83">
        <f t="shared" si="48"/>
        <v>0</v>
      </c>
      <c r="P145" s="178"/>
    </row>
    <row r="146" spans="2:17" ht="17.25" customHeight="1" outlineLevel="1" x14ac:dyDescent="0.2">
      <c r="B146" s="178"/>
      <c r="C146" s="143"/>
      <c r="D146" s="178"/>
      <c r="E146" s="178"/>
      <c r="F146" s="178"/>
      <c r="G146" s="178"/>
      <c r="H146" s="84" t="s">
        <v>4</v>
      </c>
      <c r="I146" s="83">
        <f>SUM(J146:O146)</f>
        <v>31.5</v>
      </c>
      <c r="J146" s="75"/>
      <c r="K146" s="75">
        <v>6.3</v>
      </c>
      <c r="L146" s="75">
        <v>12.6</v>
      </c>
      <c r="M146" s="75">
        <v>12.6</v>
      </c>
      <c r="N146" s="75"/>
      <c r="O146" s="75"/>
      <c r="P146" s="178"/>
    </row>
    <row r="147" spans="2:17" ht="17.25" customHeight="1" outlineLevel="1" x14ac:dyDescent="0.2">
      <c r="B147" s="178"/>
      <c r="C147" s="143"/>
      <c r="D147" s="178"/>
      <c r="E147" s="178"/>
      <c r="F147" s="178"/>
      <c r="G147" s="178"/>
      <c r="H147" s="84" t="s">
        <v>6</v>
      </c>
      <c r="I147" s="83">
        <f>SUM(J147:O147)</f>
        <v>3.4999999999999996</v>
      </c>
      <c r="J147" s="75"/>
      <c r="K147" s="75">
        <v>0.7</v>
      </c>
      <c r="L147" s="75">
        <v>1.4</v>
      </c>
      <c r="M147" s="75">
        <v>1.4</v>
      </c>
      <c r="N147" s="75"/>
      <c r="O147" s="75"/>
      <c r="P147" s="178"/>
    </row>
    <row r="148" spans="2:17" ht="17.25" customHeight="1" outlineLevel="1" x14ac:dyDescent="0.2">
      <c r="B148" s="178"/>
      <c r="C148" s="143"/>
      <c r="D148" s="178"/>
      <c r="E148" s="178"/>
      <c r="F148" s="178"/>
      <c r="G148" s="178"/>
      <c r="H148" s="84" t="s">
        <v>5</v>
      </c>
      <c r="I148" s="75"/>
      <c r="J148" s="75"/>
      <c r="K148" s="75"/>
      <c r="L148" s="75"/>
      <c r="M148" s="75"/>
      <c r="N148" s="75"/>
      <c r="O148" s="75"/>
      <c r="P148" s="178"/>
    </row>
    <row r="149" spans="2:17" ht="42" customHeight="1" outlineLevel="1" x14ac:dyDescent="0.2">
      <c r="B149" s="178" t="s">
        <v>1600</v>
      </c>
      <c r="C149" s="178" t="s">
        <v>1590</v>
      </c>
      <c r="D149" s="178" t="s">
        <v>1598</v>
      </c>
      <c r="E149" s="178" t="s">
        <v>34</v>
      </c>
      <c r="F149" s="178"/>
      <c r="G149" s="178" t="s">
        <v>107</v>
      </c>
      <c r="H149" s="84" t="s">
        <v>3</v>
      </c>
      <c r="I149" s="83">
        <f>SUM(J149:O149)</f>
        <v>45</v>
      </c>
      <c r="J149" s="83">
        <f t="shared" ref="J149:O149" si="49">J150+J151+J152</f>
        <v>0</v>
      </c>
      <c r="K149" s="83">
        <f t="shared" si="49"/>
        <v>9</v>
      </c>
      <c r="L149" s="83">
        <f t="shared" si="49"/>
        <v>18</v>
      </c>
      <c r="M149" s="83">
        <f t="shared" si="49"/>
        <v>18</v>
      </c>
      <c r="N149" s="83">
        <f t="shared" si="49"/>
        <v>0</v>
      </c>
      <c r="O149" s="83">
        <f t="shared" si="49"/>
        <v>0</v>
      </c>
      <c r="P149" s="178"/>
    </row>
    <row r="150" spans="2:17" ht="17.25" customHeight="1" outlineLevel="1" x14ac:dyDescent="0.2">
      <c r="B150" s="178"/>
      <c r="C150" s="143"/>
      <c r="D150" s="178"/>
      <c r="E150" s="178"/>
      <c r="F150" s="178"/>
      <c r="G150" s="178"/>
      <c r="H150" s="84" t="s">
        <v>4</v>
      </c>
      <c r="I150" s="83">
        <f>SUM(J150:O150)</f>
        <v>40.5</v>
      </c>
      <c r="J150" s="75"/>
      <c r="K150" s="75">
        <v>8.1</v>
      </c>
      <c r="L150" s="75">
        <v>16.2</v>
      </c>
      <c r="M150" s="75">
        <v>16.2</v>
      </c>
      <c r="N150" s="75"/>
      <c r="O150" s="75"/>
      <c r="P150" s="178"/>
    </row>
    <row r="151" spans="2:17" ht="17.25" customHeight="1" outlineLevel="1" x14ac:dyDescent="0.2">
      <c r="B151" s="178"/>
      <c r="C151" s="143"/>
      <c r="D151" s="178"/>
      <c r="E151" s="178"/>
      <c r="F151" s="178"/>
      <c r="G151" s="178"/>
      <c r="H151" s="84" t="s">
        <v>6</v>
      </c>
      <c r="I151" s="83">
        <f>SUM(J151:O151)</f>
        <v>4.5</v>
      </c>
      <c r="J151" s="75"/>
      <c r="K151" s="75">
        <v>0.9</v>
      </c>
      <c r="L151" s="75">
        <v>1.8</v>
      </c>
      <c r="M151" s="75">
        <v>1.8</v>
      </c>
      <c r="N151" s="75"/>
      <c r="O151" s="75"/>
      <c r="P151" s="178"/>
    </row>
    <row r="152" spans="2:17" ht="17.25" customHeight="1" outlineLevel="1" x14ac:dyDescent="0.2">
      <c r="B152" s="178"/>
      <c r="C152" s="143"/>
      <c r="D152" s="178"/>
      <c r="E152" s="178"/>
      <c r="F152" s="178"/>
      <c r="G152" s="178"/>
      <c r="H152" s="84" t="s">
        <v>5</v>
      </c>
      <c r="I152" s="75"/>
      <c r="J152" s="75"/>
      <c r="K152" s="75"/>
      <c r="L152" s="75"/>
      <c r="M152" s="75"/>
      <c r="N152" s="75"/>
      <c r="O152" s="75"/>
      <c r="P152" s="178"/>
    </row>
    <row r="153" spans="2:17" ht="42" customHeight="1" outlineLevel="1" x14ac:dyDescent="0.2">
      <c r="B153" s="178" t="s">
        <v>1601</v>
      </c>
      <c r="C153" s="178" t="s">
        <v>1590</v>
      </c>
      <c r="D153" s="178" t="s">
        <v>1598</v>
      </c>
      <c r="E153" s="178" t="s">
        <v>34</v>
      </c>
      <c r="F153" s="178"/>
      <c r="G153" s="178" t="s">
        <v>107</v>
      </c>
      <c r="H153" s="84" t="s">
        <v>3</v>
      </c>
      <c r="I153" s="83">
        <f>SUM(J153:O153)</f>
        <v>10</v>
      </c>
      <c r="J153" s="83">
        <f t="shared" ref="J153:O153" si="50">J154+J155+J156</f>
        <v>0</v>
      </c>
      <c r="K153" s="83">
        <f t="shared" si="50"/>
        <v>2</v>
      </c>
      <c r="L153" s="83">
        <f t="shared" si="50"/>
        <v>4</v>
      </c>
      <c r="M153" s="83">
        <f t="shared" si="50"/>
        <v>4</v>
      </c>
      <c r="N153" s="83">
        <f t="shared" si="50"/>
        <v>0</v>
      </c>
      <c r="O153" s="83">
        <f t="shared" si="50"/>
        <v>0</v>
      </c>
      <c r="P153" s="178"/>
    </row>
    <row r="154" spans="2:17" ht="17.25" customHeight="1" outlineLevel="1" x14ac:dyDescent="0.2">
      <c r="B154" s="178"/>
      <c r="C154" s="143"/>
      <c r="D154" s="178"/>
      <c r="E154" s="178"/>
      <c r="F154" s="178"/>
      <c r="G154" s="178"/>
      <c r="H154" s="84" t="s">
        <v>4</v>
      </c>
      <c r="I154" s="83">
        <f>SUM(J154:O154)</f>
        <v>9</v>
      </c>
      <c r="J154" s="75"/>
      <c r="K154" s="75">
        <v>1.8</v>
      </c>
      <c r="L154" s="75">
        <v>3.6</v>
      </c>
      <c r="M154" s="75">
        <v>3.6</v>
      </c>
      <c r="N154" s="75"/>
      <c r="O154" s="75"/>
      <c r="P154" s="178"/>
    </row>
    <row r="155" spans="2:17" ht="17.25" customHeight="1" outlineLevel="1" x14ac:dyDescent="0.2">
      <c r="B155" s="178"/>
      <c r="C155" s="143"/>
      <c r="D155" s="178"/>
      <c r="E155" s="178"/>
      <c r="F155" s="178"/>
      <c r="G155" s="178"/>
      <c r="H155" s="84" t="s">
        <v>6</v>
      </c>
      <c r="I155" s="83">
        <f>SUM(J155:O155)</f>
        <v>1</v>
      </c>
      <c r="J155" s="75"/>
      <c r="K155" s="75">
        <v>0.2</v>
      </c>
      <c r="L155" s="75">
        <v>0.4</v>
      </c>
      <c r="M155" s="75">
        <v>0.4</v>
      </c>
      <c r="N155" s="75"/>
      <c r="O155" s="75"/>
      <c r="P155" s="178"/>
    </row>
    <row r="156" spans="2:17" ht="17.25" customHeight="1" outlineLevel="1" x14ac:dyDescent="0.2">
      <c r="B156" s="178"/>
      <c r="C156" s="143"/>
      <c r="D156" s="178"/>
      <c r="E156" s="178"/>
      <c r="F156" s="178"/>
      <c r="G156" s="178"/>
      <c r="H156" s="84" t="s">
        <v>5</v>
      </c>
      <c r="I156" s="75"/>
      <c r="J156" s="75"/>
      <c r="K156" s="75"/>
      <c r="L156" s="75"/>
      <c r="M156" s="75"/>
      <c r="N156" s="75"/>
      <c r="O156" s="75"/>
      <c r="P156" s="178"/>
    </row>
    <row r="157" spans="2:17" ht="42.75" x14ac:dyDescent="0.2">
      <c r="B157" s="128" t="s">
        <v>349</v>
      </c>
      <c r="C157" s="128" t="s">
        <v>38</v>
      </c>
      <c r="D157" s="128" t="s">
        <v>38</v>
      </c>
      <c r="E157" s="128" t="s">
        <v>38</v>
      </c>
      <c r="F157" s="128" t="s">
        <v>38</v>
      </c>
      <c r="G157" s="128" t="s">
        <v>38</v>
      </c>
      <c r="H157" s="84" t="s">
        <v>3</v>
      </c>
      <c r="I157" s="14">
        <f t="shared" ref="I157:O157" si="51">SUMIF($H$113:$H$156,"Объем*",I$113:I$156)</f>
        <v>1077.79</v>
      </c>
      <c r="J157" s="14">
        <f t="shared" si="51"/>
        <v>8.5</v>
      </c>
      <c r="K157" s="14">
        <f t="shared" si="51"/>
        <v>253.29</v>
      </c>
      <c r="L157" s="14">
        <f t="shared" si="51"/>
        <v>406</v>
      </c>
      <c r="M157" s="14">
        <f t="shared" si="51"/>
        <v>410</v>
      </c>
      <c r="N157" s="14">
        <f t="shared" si="51"/>
        <v>0</v>
      </c>
      <c r="O157" s="14">
        <f t="shared" si="51"/>
        <v>0</v>
      </c>
      <c r="P157" s="128"/>
      <c r="Q157" s="7"/>
    </row>
    <row r="158" spans="2:17" ht="15.75" x14ac:dyDescent="0.2">
      <c r="B158" s="129"/>
      <c r="C158" s="129"/>
      <c r="D158" s="129"/>
      <c r="E158" s="129"/>
      <c r="F158" s="129"/>
      <c r="G158" s="129"/>
      <c r="H158" s="84" t="s">
        <v>4</v>
      </c>
      <c r="I158" s="14">
        <f t="shared" ref="I158:O158" si="52">SUMIF($H$113:$H$156,"фед*",I$113:I$156)</f>
        <v>963.46</v>
      </c>
      <c r="J158" s="14">
        <f t="shared" si="52"/>
        <v>0</v>
      </c>
      <c r="K158" s="14">
        <f t="shared" si="52"/>
        <v>232.66</v>
      </c>
      <c r="L158" s="14">
        <f t="shared" si="52"/>
        <v>365.40000000000003</v>
      </c>
      <c r="M158" s="14">
        <f t="shared" si="52"/>
        <v>365.40000000000003</v>
      </c>
      <c r="N158" s="14">
        <f t="shared" si="52"/>
        <v>0</v>
      </c>
      <c r="O158" s="14">
        <f t="shared" si="52"/>
        <v>0</v>
      </c>
      <c r="P158" s="129"/>
    </row>
    <row r="159" spans="2:17" ht="15.75" x14ac:dyDescent="0.2">
      <c r="B159" s="129"/>
      <c r="C159" s="129"/>
      <c r="D159" s="129"/>
      <c r="E159" s="129"/>
      <c r="F159" s="129"/>
      <c r="G159" s="129"/>
      <c r="H159" s="84" t="s">
        <v>6</v>
      </c>
      <c r="I159" s="14">
        <f t="shared" ref="I159:O159" si="53">SUMIF($H$113:$H$156,"конс*",I$113:I$156)</f>
        <v>114.33</v>
      </c>
      <c r="J159" s="14">
        <f t="shared" si="53"/>
        <v>8.5</v>
      </c>
      <c r="K159" s="14">
        <f t="shared" si="53"/>
        <v>20.629999999999995</v>
      </c>
      <c r="L159" s="14">
        <f t="shared" si="53"/>
        <v>40.599999999999994</v>
      </c>
      <c r="M159" s="14">
        <f t="shared" si="53"/>
        <v>44.599999999999994</v>
      </c>
      <c r="N159" s="14">
        <f t="shared" si="53"/>
        <v>0</v>
      </c>
      <c r="O159" s="14">
        <f t="shared" si="53"/>
        <v>0</v>
      </c>
      <c r="P159" s="129"/>
    </row>
    <row r="160" spans="2:17" ht="15.75" x14ac:dyDescent="0.2">
      <c r="B160" s="130"/>
      <c r="C160" s="130"/>
      <c r="D160" s="130"/>
      <c r="E160" s="130"/>
      <c r="F160" s="130"/>
      <c r="G160" s="130"/>
      <c r="H160" s="84" t="s">
        <v>5</v>
      </c>
      <c r="I160" s="14">
        <f t="shared" ref="I160:O160" si="54">SUMIF($H$113:$H$156,"вне*",I$113:I$156)</f>
        <v>0</v>
      </c>
      <c r="J160" s="14">
        <f t="shared" si="54"/>
        <v>0</v>
      </c>
      <c r="K160" s="14">
        <f t="shared" si="54"/>
        <v>0</v>
      </c>
      <c r="L160" s="14">
        <f t="shared" si="54"/>
        <v>0</v>
      </c>
      <c r="M160" s="14">
        <f t="shared" si="54"/>
        <v>0</v>
      </c>
      <c r="N160" s="14">
        <f t="shared" si="54"/>
        <v>0</v>
      </c>
      <c r="O160" s="14">
        <f t="shared" si="54"/>
        <v>0</v>
      </c>
      <c r="P160" s="130"/>
    </row>
    <row r="161" spans="2:17" ht="25.5" customHeight="1" x14ac:dyDescent="0.2">
      <c r="B161" s="111" t="s">
        <v>58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3"/>
    </row>
    <row r="162" spans="2:17" ht="42.75" outlineLevel="1" x14ac:dyDescent="0.2">
      <c r="B162" s="117" t="s">
        <v>1602</v>
      </c>
      <c r="C162" s="117" t="s">
        <v>1590</v>
      </c>
      <c r="D162" s="150" t="s">
        <v>418</v>
      </c>
      <c r="E162" s="117" t="s">
        <v>1603</v>
      </c>
      <c r="F162" s="117"/>
      <c r="G162" s="139" t="s">
        <v>1604</v>
      </c>
      <c r="H162" s="84" t="s">
        <v>3</v>
      </c>
      <c r="I162" s="83">
        <f>SUM(J162:O162)</f>
        <v>2</v>
      </c>
      <c r="J162" s="83">
        <f t="shared" ref="J162:O162" si="55">J163+J164+J165</f>
        <v>0</v>
      </c>
      <c r="K162" s="83">
        <f t="shared" si="55"/>
        <v>2</v>
      </c>
      <c r="L162" s="83">
        <f t="shared" si="55"/>
        <v>0</v>
      </c>
      <c r="M162" s="83">
        <f t="shared" si="55"/>
        <v>0</v>
      </c>
      <c r="N162" s="83">
        <f t="shared" si="55"/>
        <v>0</v>
      </c>
      <c r="O162" s="83">
        <f t="shared" si="55"/>
        <v>0</v>
      </c>
      <c r="P162" s="178">
        <v>34927</v>
      </c>
    </row>
    <row r="163" spans="2:17" ht="17.25" customHeight="1" outlineLevel="1" x14ac:dyDescent="0.2">
      <c r="B163" s="118"/>
      <c r="C163" s="118"/>
      <c r="D163" s="151"/>
      <c r="E163" s="118"/>
      <c r="F163" s="118"/>
      <c r="G163" s="140"/>
      <c r="H163" s="84" t="s">
        <v>4</v>
      </c>
      <c r="I163" s="83"/>
      <c r="J163" s="83"/>
      <c r="K163" s="83"/>
      <c r="L163" s="75"/>
      <c r="M163" s="83"/>
      <c r="N163" s="83"/>
      <c r="O163" s="83"/>
      <c r="P163" s="178"/>
    </row>
    <row r="164" spans="2:17" ht="17.25" customHeight="1" outlineLevel="1" x14ac:dyDescent="0.2">
      <c r="B164" s="118"/>
      <c r="C164" s="118"/>
      <c r="D164" s="151"/>
      <c r="E164" s="118"/>
      <c r="F164" s="118"/>
      <c r="G164" s="140"/>
      <c r="H164" s="84" t="s">
        <v>6</v>
      </c>
      <c r="I164" s="83">
        <f>SUM(J164:O164)</f>
        <v>2</v>
      </c>
      <c r="J164" s="83"/>
      <c r="K164" s="83">
        <v>2</v>
      </c>
      <c r="L164" s="75"/>
      <c r="M164" s="83"/>
      <c r="N164" s="83"/>
      <c r="O164" s="83"/>
      <c r="P164" s="178"/>
    </row>
    <row r="165" spans="2:17" ht="17.25" customHeight="1" outlineLevel="1" x14ac:dyDescent="0.2">
      <c r="B165" s="119"/>
      <c r="C165" s="119"/>
      <c r="D165" s="152"/>
      <c r="E165" s="119"/>
      <c r="F165" s="119"/>
      <c r="G165" s="141"/>
      <c r="H165" s="84" t="s">
        <v>5</v>
      </c>
      <c r="I165" s="83"/>
      <c r="J165" s="75"/>
      <c r="K165" s="75"/>
      <c r="L165" s="75"/>
      <c r="M165" s="75"/>
      <c r="N165" s="75"/>
      <c r="O165" s="75"/>
      <c r="P165" s="178"/>
    </row>
    <row r="166" spans="2:17" ht="42.75" x14ac:dyDescent="0.2">
      <c r="B166" s="128" t="s">
        <v>64</v>
      </c>
      <c r="C166" s="128" t="s">
        <v>38</v>
      </c>
      <c r="D166" s="128" t="s">
        <v>38</v>
      </c>
      <c r="E166" s="128" t="s">
        <v>38</v>
      </c>
      <c r="F166" s="128" t="s">
        <v>38</v>
      </c>
      <c r="G166" s="128" t="s">
        <v>38</v>
      </c>
      <c r="H166" s="84" t="s">
        <v>3</v>
      </c>
      <c r="I166" s="14">
        <f>SUMIF($H$162:$H$165,"Объем*",I$162:I$165)</f>
        <v>2</v>
      </c>
      <c r="J166" s="14">
        <f t="shared" ref="J166:O166" si="56">SUMIF($H$162:$H$165,"Объем*",J$162:J$165)</f>
        <v>0</v>
      </c>
      <c r="K166" s="14">
        <f t="shared" si="56"/>
        <v>2</v>
      </c>
      <c r="L166" s="14">
        <f t="shared" si="56"/>
        <v>0</v>
      </c>
      <c r="M166" s="14">
        <f t="shared" si="56"/>
        <v>0</v>
      </c>
      <c r="N166" s="14">
        <f t="shared" si="56"/>
        <v>0</v>
      </c>
      <c r="O166" s="14">
        <f t="shared" si="56"/>
        <v>0</v>
      </c>
      <c r="P166" s="128"/>
      <c r="Q166" s="7"/>
    </row>
    <row r="167" spans="2:17" ht="15.75" x14ac:dyDescent="0.2">
      <c r="B167" s="129"/>
      <c r="C167" s="129"/>
      <c r="D167" s="129"/>
      <c r="E167" s="129"/>
      <c r="F167" s="129"/>
      <c r="G167" s="129"/>
      <c r="H167" s="84" t="s">
        <v>4</v>
      </c>
      <c r="I167" s="14">
        <f>SUMIF($H$162:$H$165,"фед*",I$162:I$165)</f>
        <v>0</v>
      </c>
      <c r="J167" s="14">
        <f t="shared" ref="J167:O167" si="57">SUMIF($H$162:$H$165,"фед*",J$162:J$165)</f>
        <v>0</v>
      </c>
      <c r="K167" s="14">
        <f t="shared" si="57"/>
        <v>0</v>
      </c>
      <c r="L167" s="14">
        <f t="shared" si="57"/>
        <v>0</v>
      </c>
      <c r="M167" s="14">
        <f t="shared" si="57"/>
        <v>0</v>
      </c>
      <c r="N167" s="14">
        <f t="shared" si="57"/>
        <v>0</v>
      </c>
      <c r="O167" s="14">
        <f t="shared" si="57"/>
        <v>0</v>
      </c>
      <c r="P167" s="129"/>
      <c r="Q167" s="7"/>
    </row>
    <row r="168" spans="2:17" ht="15.75" x14ac:dyDescent="0.2">
      <c r="B168" s="129"/>
      <c r="C168" s="129"/>
      <c r="D168" s="129"/>
      <c r="E168" s="129"/>
      <c r="F168" s="129"/>
      <c r="G168" s="129"/>
      <c r="H168" s="84" t="s">
        <v>6</v>
      </c>
      <c r="I168" s="14">
        <f>SUMIF($H$162:$H$165,"конс*",I$162:I$165)</f>
        <v>2</v>
      </c>
      <c r="J168" s="14">
        <f t="shared" ref="J168:O168" si="58">SUMIF($H$162:$H$165,"конс*",J$162:J$165)</f>
        <v>0</v>
      </c>
      <c r="K168" s="14">
        <f t="shared" si="58"/>
        <v>2</v>
      </c>
      <c r="L168" s="14">
        <f t="shared" si="58"/>
        <v>0</v>
      </c>
      <c r="M168" s="14">
        <f t="shared" si="58"/>
        <v>0</v>
      </c>
      <c r="N168" s="14">
        <f t="shared" si="58"/>
        <v>0</v>
      </c>
      <c r="O168" s="14">
        <f t="shared" si="58"/>
        <v>0</v>
      </c>
      <c r="P168" s="129"/>
      <c r="Q168" s="7"/>
    </row>
    <row r="169" spans="2:17" ht="15.75" x14ac:dyDescent="0.2">
      <c r="B169" s="130"/>
      <c r="C169" s="130"/>
      <c r="D169" s="130"/>
      <c r="E169" s="130"/>
      <c r="F169" s="130"/>
      <c r="G169" s="130"/>
      <c r="H169" s="84" t="s">
        <v>5</v>
      </c>
      <c r="I169" s="14">
        <f>SUMIF($H$162:$H$165,"вне*",I$162:I$165)</f>
        <v>0</v>
      </c>
      <c r="J169" s="14">
        <f t="shared" ref="J169:O169" si="59">SUMIF($H$162:$H$165,"вне*",J$162:J$165)</f>
        <v>0</v>
      </c>
      <c r="K169" s="14">
        <f t="shared" si="59"/>
        <v>0</v>
      </c>
      <c r="L169" s="14">
        <f t="shared" si="59"/>
        <v>0</v>
      </c>
      <c r="M169" s="14">
        <f t="shared" si="59"/>
        <v>0</v>
      </c>
      <c r="N169" s="14">
        <f t="shared" si="59"/>
        <v>0</v>
      </c>
      <c r="O169" s="14">
        <f t="shared" si="59"/>
        <v>0</v>
      </c>
      <c r="P169" s="130"/>
      <c r="Q169" s="7"/>
    </row>
    <row r="170" spans="2:17" ht="25.5" customHeight="1" x14ac:dyDescent="0.2">
      <c r="B170" s="111" t="s">
        <v>65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3"/>
    </row>
    <row r="171" spans="2:17" ht="42.75" customHeight="1" outlineLevel="1" x14ac:dyDescent="0.2">
      <c r="B171" s="117" t="s">
        <v>1605</v>
      </c>
      <c r="C171" s="117"/>
      <c r="D171" s="117" t="s">
        <v>65</v>
      </c>
      <c r="E171" s="117" t="s">
        <v>286</v>
      </c>
      <c r="F171" s="117"/>
      <c r="G171" s="117" t="s">
        <v>36</v>
      </c>
      <c r="H171" s="84" t="s">
        <v>3</v>
      </c>
      <c r="I171" s="83">
        <f>SUM(J171:O171)</f>
        <v>1330</v>
      </c>
      <c r="J171" s="81">
        <f t="shared" ref="J171:O171" si="60">J172+J173+J174</f>
        <v>0</v>
      </c>
      <c r="K171" s="83">
        <f t="shared" si="60"/>
        <v>0</v>
      </c>
      <c r="L171" s="83">
        <f t="shared" si="60"/>
        <v>0</v>
      </c>
      <c r="M171" s="83">
        <f t="shared" si="60"/>
        <v>30</v>
      </c>
      <c r="N171" s="83">
        <f t="shared" si="60"/>
        <v>700</v>
      </c>
      <c r="O171" s="83">
        <f t="shared" si="60"/>
        <v>600</v>
      </c>
      <c r="P171" s="134">
        <v>25000</v>
      </c>
    </row>
    <row r="172" spans="2:17" outlineLevel="1" x14ac:dyDescent="0.2">
      <c r="B172" s="118"/>
      <c r="C172" s="190"/>
      <c r="D172" s="118"/>
      <c r="E172" s="118"/>
      <c r="F172" s="118"/>
      <c r="G172" s="118"/>
      <c r="H172" s="84" t="s">
        <v>4</v>
      </c>
      <c r="I172" s="83">
        <f>SUM(J172:O172)</f>
        <v>1287</v>
      </c>
      <c r="J172" s="16"/>
      <c r="K172" s="75"/>
      <c r="L172" s="75"/>
      <c r="M172" s="75">
        <v>0</v>
      </c>
      <c r="N172" s="75">
        <v>693</v>
      </c>
      <c r="O172" s="75">
        <v>594</v>
      </c>
      <c r="P172" s="135"/>
    </row>
    <row r="173" spans="2:17" outlineLevel="1" x14ac:dyDescent="0.2">
      <c r="B173" s="118"/>
      <c r="C173" s="190"/>
      <c r="D173" s="118"/>
      <c r="E173" s="118"/>
      <c r="F173" s="118"/>
      <c r="G173" s="118"/>
      <c r="H173" s="84" t="s">
        <v>6</v>
      </c>
      <c r="I173" s="83">
        <f>SUM(J173:O173)</f>
        <v>43</v>
      </c>
      <c r="J173" s="16"/>
      <c r="K173" s="75"/>
      <c r="L173" s="75"/>
      <c r="M173" s="75">
        <v>30</v>
      </c>
      <c r="N173" s="75">
        <v>7</v>
      </c>
      <c r="O173" s="75">
        <v>6</v>
      </c>
      <c r="P173" s="135"/>
    </row>
    <row r="174" spans="2:17" outlineLevel="1" x14ac:dyDescent="0.2">
      <c r="B174" s="119"/>
      <c r="C174" s="191"/>
      <c r="D174" s="119"/>
      <c r="E174" s="119"/>
      <c r="F174" s="119"/>
      <c r="G174" s="119"/>
      <c r="H174" s="84" t="s">
        <v>5</v>
      </c>
      <c r="I174" s="75"/>
      <c r="J174" s="75"/>
      <c r="K174" s="75"/>
      <c r="L174" s="75"/>
      <c r="M174" s="75"/>
      <c r="N174" s="75"/>
      <c r="O174" s="75"/>
      <c r="P174" s="136"/>
    </row>
    <row r="175" spans="2:17" ht="42.75" customHeight="1" outlineLevel="1" x14ac:dyDescent="0.2">
      <c r="B175" s="117" t="s">
        <v>1606</v>
      </c>
      <c r="C175" s="117" t="s">
        <v>1607</v>
      </c>
      <c r="D175" s="117" t="s">
        <v>1212</v>
      </c>
      <c r="E175" s="117" t="s">
        <v>50</v>
      </c>
      <c r="F175" s="117"/>
      <c r="G175" s="117" t="s">
        <v>1587</v>
      </c>
      <c r="H175" s="84" t="s">
        <v>3</v>
      </c>
      <c r="I175" s="83">
        <f>SUM(J175:O175)</f>
        <v>179.03</v>
      </c>
      <c r="J175" s="38"/>
      <c r="K175" s="41">
        <v>54.07</v>
      </c>
      <c r="L175" s="41">
        <v>124.96</v>
      </c>
      <c r="M175" s="83"/>
      <c r="N175" s="83"/>
      <c r="O175" s="83"/>
      <c r="P175" s="203">
        <v>600000</v>
      </c>
    </row>
    <row r="176" spans="2:17" outlineLevel="1" x14ac:dyDescent="0.2">
      <c r="B176" s="118"/>
      <c r="C176" s="190"/>
      <c r="D176" s="118"/>
      <c r="E176" s="118"/>
      <c r="F176" s="118"/>
      <c r="G176" s="118"/>
      <c r="H176" s="84" t="s">
        <v>4</v>
      </c>
      <c r="I176" s="83">
        <f>SUM(J176:O176)</f>
        <v>168.29</v>
      </c>
      <c r="J176" s="38"/>
      <c r="K176" s="41">
        <v>50.83</v>
      </c>
      <c r="L176" s="41">
        <v>117.46</v>
      </c>
      <c r="M176" s="75"/>
      <c r="N176" s="75"/>
      <c r="O176" s="75"/>
      <c r="P176" s="203"/>
    </row>
    <row r="177" spans="2:16" outlineLevel="1" x14ac:dyDescent="0.2">
      <c r="B177" s="118"/>
      <c r="C177" s="190"/>
      <c r="D177" s="118"/>
      <c r="E177" s="118"/>
      <c r="F177" s="118"/>
      <c r="G177" s="118"/>
      <c r="H177" s="84" t="s">
        <v>6</v>
      </c>
      <c r="I177" s="83">
        <f>SUM(J177:O177)</f>
        <v>10.74</v>
      </c>
      <c r="J177" s="83"/>
      <c r="K177" s="83">
        <v>3.24</v>
      </c>
      <c r="L177" s="83">
        <v>7.5</v>
      </c>
      <c r="M177" s="75"/>
      <c r="N177" s="75"/>
      <c r="O177" s="75"/>
      <c r="P177" s="203"/>
    </row>
    <row r="178" spans="2:16" outlineLevel="1" x14ac:dyDescent="0.2">
      <c r="B178" s="119"/>
      <c r="C178" s="191"/>
      <c r="D178" s="119"/>
      <c r="E178" s="119"/>
      <c r="F178" s="119"/>
      <c r="G178" s="119"/>
      <c r="H178" s="84" t="s">
        <v>5</v>
      </c>
      <c r="I178" s="75"/>
      <c r="J178" s="38"/>
      <c r="K178" s="38"/>
      <c r="L178" s="38"/>
      <c r="M178" s="82"/>
      <c r="N178" s="82"/>
      <c r="O178" s="82"/>
      <c r="P178" s="203"/>
    </row>
    <row r="179" spans="2:16" ht="42.75" customHeight="1" outlineLevel="1" x14ac:dyDescent="0.2">
      <c r="B179" s="117" t="s">
        <v>1608</v>
      </c>
      <c r="C179" s="117" t="s">
        <v>1607</v>
      </c>
      <c r="D179" s="117" t="s">
        <v>1212</v>
      </c>
      <c r="E179" s="117">
        <v>2022</v>
      </c>
      <c r="F179" s="117"/>
      <c r="G179" s="117" t="s">
        <v>1587</v>
      </c>
      <c r="H179" s="84" t="s">
        <v>3</v>
      </c>
      <c r="I179" s="83">
        <f>SUM(J179:O179)</f>
        <v>81.290000000000006</v>
      </c>
      <c r="J179" s="41"/>
      <c r="K179" s="41"/>
      <c r="L179" s="41">
        <v>81.290000000000006</v>
      </c>
      <c r="M179" s="67"/>
      <c r="N179" s="67"/>
      <c r="O179" s="67"/>
      <c r="P179" s="203">
        <v>10000</v>
      </c>
    </row>
    <row r="180" spans="2:16" ht="15.75" outlineLevel="1" x14ac:dyDescent="0.2">
      <c r="B180" s="118"/>
      <c r="C180" s="190"/>
      <c r="D180" s="118"/>
      <c r="E180" s="118"/>
      <c r="F180" s="118"/>
      <c r="G180" s="118"/>
      <c r="H180" s="84" t="s">
        <v>4</v>
      </c>
      <c r="I180" s="83">
        <f>SUM(J180:O180)</f>
        <v>76.41</v>
      </c>
      <c r="J180" s="41"/>
      <c r="K180" s="41"/>
      <c r="L180" s="41">
        <v>76.41</v>
      </c>
      <c r="M180" s="67"/>
      <c r="N180" s="67"/>
      <c r="O180" s="67"/>
      <c r="P180" s="203"/>
    </row>
    <row r="181" spans="2:16" ht="15.75" outlineLevel="1" x14ac:dyDescent="0.2">
      <c r="B181" s="118"/>
      <c r="C181" s="190"/>
      <c r="D181" s="118"/>
      <c r="E181" s="118"/>
      <c r="F181" s="118"/>
      <c r="G181" s="118"/>
      <c r="H181" s="84" t="s">
        <v>6</v>
      </c>
      <c r="I181" s="83">
        <f>SUM(J181:O181)</f>
        <v>4.88</v>
      </c>
      <c r="J181" s="83"/>
      <c r="K181" s="83"/>
      <c r="L181" s="83">
        <v>4.88</v>
      </c>
      <c r="M181" s="67"/>
      <c r="N181" s="67"/>
      <c r="O181" s="67"/>
      <c r="P181" s="203"/>
    </row>
    <row r="182" spans="2:16" ht="15.75" outlineLevel="1" x14ac:dyDescent="0.2">
      <c r="B182" s="119"/>
      <c r="C182" s="191"/>
      <c r="D182" s="119"/>
      <c r="E182" s="119"/>
      <c r="F182" s="119"/>
      <c r="G182" s="119"/>
      <c r="H182" s="84" t="s">
        <v>5</v>
      </c>
      <c r="I182" s="75"/>
      <c r="J182" s="38"/>
      <c r="K182" s="38"/>
      <c r="L182" s="38"/>
      <c r="M182" s="67"/>
      <c r="N182" s="67"/>
      <c r="O182" s="67"/>
      <c r="P182" s="203"/>
    </row>
    <row r="183" spans="2:16" ht="44.25" customHeight="1" outlineLevel="1" x14ac:dyDescent="0.2">
      <c r="B183" s="117" t="s">
        <v>1609</v>
      </c>
      <c r="C183" s="117" t="s">
        <v>1607</v>
      </c>
      <c r="D183" s="117" t="s">
        <v>1610</v>
      </c>
      <c r="E183" s="117" t="s">
        <v>50</v>
      </c>
      <c r="F183" s="117"/>
      <c r="G183" s="117" t="s">
        <v>1587</v>
      </c>
      <c r="H183" s="84" t="s">
        <v>3</v>
      </c>
      <c r="I183" s="83">
        <f>SUM(J183:O183)</f>
        <v>80.63</v>
      </c>
      <c r="J183" s="41"/>
      <c r="K183" s="41">
        <v>21.28</v>
      </c>
      <c r="L183" s="41">
        <v>59.35</v>
      </c>
      <c r="M183" s="67"/>
      <c r="N183" s="67"/>
      <c r="O183" s="67"/>
      <c r="P183" s="203">
        <v>5000</v>
      </c>
    </row>
    <row r="184" spans="2:16" ht="15.75" outlineLevel="1" x14ac:dyDescent="0.2">
      <c r="B184" s="118"/>
      <c r="C184" s="190"/>
      <c r="D184" s="118"/>
      <c r="E184" s="118"/>
      <c r="F184" s="118"/>
      <c r="G184" s="118"/>
      <c r="H184" s="84" t="s">
        <v>4</v>
      </c>
      <c r="I184" s="83">
        <f>SUM(J184:O184)</f>
        <v>75.789999999999992</v>
      </c>
      <c r="J184" s="41"/>
      <c r="K184" s="41">
        <v>20</v>
      </c>
      <c r="L184" s="41">
        <v>55.79</v>
      </c>
      <c r="M184" s="67"/>
      <c r="N184" s="67"/>
      <c r="O184" s="67"/>
      <c r="P184" s="203"/>
    </row>
    <row r="185" spans="2:16" ht="15.75" outlineLevel="1" x14ac:dyDescent="0.2">
      <c r="B185" s="118"/>
      <c r="C185" s="190"/>
      <c r="D185" s="118"/>
      <c r="E185" s="118"/>
      <c r="F185" s="118"/>
      <c r="G185" s="118"/>
      <c r="H185" s="84" t="s">
        <v>6</v>
      </c>
      <c r="I185" s="83">
        <f>SUM(J185:O185)</f>
        <v>4.84</v>
      </c>
      <c r="J185" s="41"/>
      <c r="K185" s="41">
        <v>1.28</v>
      </c>
      <c r="L185" s="41">
        <v>3.56</v>
      </c>
      <c r="M185" s="67"/>
      <c r="N185" s="67"/>
      <c r="O185" s="67"/>
      <c r="P185" s="203"/>
    </row>
    <row r="186" spans="2:16" ht="15.75" outlineLevel="1" x14ac:dyDescent="0.2">
      <c r="B186" s="119"/>
      <c r="C186" s="191"/>
      <c r="D186" s="119"/>
      <c r="E186" s="119"/>
      <c r="F186" s="119"/>
      <c r="G186" s="119"/>
      <c r="H186" s="84" t="s">
        <v>5</v>
      </c>
      <c r="I186" s="75"/>
      <c r="J186" s="38"/>
      <c r="K186" s="38"/>
      <c r="L186" s="38"/>
      <c r="M186" s="67"/>
      <c r="N186" s="67"/>
      <c r="O186" s="67"/>
      <c r="P186" s="203"/>
    </row>
    <row r="187" spans="2:16" ht="43.5" customHeight="1" outlineLevel="1" x14ac:dyDescent="0.2">
      <c r="B187" s="178" t="s">
        <v>1611</v>
      </c>
      <c r="C187" s="204"/>
      <c r="D187" s="205" t="s">
        <v>65</v>
      </c>
      <c r="E187" s="117">
        <v>2021</v>
      </c>
      <c r="F187" s="117"/>
      <c r="G187" s="117"/>
      <c r="H187" s="84" t="s">
        <v>3</v>
      </c>
      <c r="I187" s="83">
        <f>SUM(J187:O187)</f>
        <v>59.9</v>
      </c>
      <c r="J187" s="83">
        <f t="shared" ref="J187:O187" si="61">SUM(J188:J190)</f>
        <v>0</v>
      </c>
      <c r="K187" s="83">
        <f t="shared" si="61"/>
        <v>59.9</v>
      </c>
      <c r="L187" s="83">
        <f t="shared" si="61"/>
        <v>0</v>
      </c>
      <c r="M187" s="83">
        <f t="shared" si="61"/>
        <v>0</v>
      </c>
      <c r="N187" s="83">
        <f t="shared" si="61"/>
        <v>0</v>
      </c>
      <c r="O187" s="83">
        <f t="shared" si="61"/>
        <v>0</v>
      </c>
      <c r="P187" s="203">
        <v>15000</v>
      </c>
    </row>
    <row r="188" spans="2:16" outlineLevel="1" x14ac:dyDescent="0.2">
      <c r="B188" s="178"/>
      <c r="C188" s="190"/>
      <c r="D188" s="205"/>
      <c r="E188" s="118"/>
      <c r="F188" s="118"/>
      <c r="G188" s="118"/>
      <c r="H188" s="84" t="s">
        <v>4</v>
      </c>
      <c r="I188" s="83">
        <f>SUM(J188:O188)</f>
        <v>59.3</v>
      </c>
      <c r="J188" s="75"/>
      <c r="K188" s="75">
        <v>59.3</v>
      </c>
      <c r="L188" s="75"/>
      <c r="M188" s="75"/>
      <c r="N188" s="75"/>
      <c r="O188" s="75"/>
      <c r="P188" s="203"/>
    </row>
    <row r="189" spans="2:16" outlineLevel="1" x14ac:dyDescent="0.2">
      <c r="B189" s="178"/>
      <c r="C189" s="190"/>
      <c r="D189" s="205"/>
      <c r="E189" s="118"/>
      <c r="F189" s="118"/>
      <c r="G189" s="118"/>
      <c r="H189" s="84" t="s">
        <v>6</v>
      </c>
      <c r="I189" s="83">
        <f>SUM(J189:O189)</f>
        <v>0.6</v>
      </c>
      <c r="J189" s="75"/>
      <c r="K189" s="75">
        <v>0.6</v>
      </c>
      <c r="L189" s="75"/>
      <c r="M189" s="75"/>
      <c r="N189" s="75"/>
      <c r="O189" s="75"/>
      <c r="P189" s="203"/>
    </row>
    <row r="190" spans="2:16" outlineLevel="1" x14ac:dyDescent="0.2">
      <c r="B190" s="178"/>
      <c r="C190" s="191"/>
      <c r="D190" s="205"/>
      <c r="E190" s="119"/>
      <c r="F190" s="119"/>
      <c r="G190" s="119"/>
      <c r="H190" s="84" t="s">
        <v>5</v>
      </c>
      <c r="I190" s="75"/>
      <c r="J190" s="75"/>
      <c r="K190" s="75"/>
      <c r="L190" s="75"/>
      <c r="M190" s="75"/>
      <c r="N190" s="75"/>
      <c r="O190" s="75"/>
      <c r="P190" s="203"/>
    </row>
    <row r="191" spans="2:16" ht="46.5" customHeight="1" outlineLevel="1" x14ac:dyDescent="0.2">
      <c r="B191" s="178" t="s">
        <v>1612</v>
      </c>
      <c r="C191" s="204"/>
      <c r="D191" s="205" t="s">
        <v>65</v>
      </c>
      <c r="E191" s="117">
        <v>2022</v>
      </c>
      <c r="F191" s="117"/>
      <c r="G191" s="117"/>
      <c r="H191" s="84" t="s">
        <v>3</v>
      </c>
      <c r="I191" s="83">
        <f>SUM(J191:O191)</f>
        <v>208.4</v>
      </c>
      <c r="J191" s="83">
        <f t="shared" ref="J191" si="62">SUM(J192:J194)</f>
        <v>0</v>
      </c>
      <c r="K191" s="83"/>
      <c r="L191" s="83">
        <f t="shared" ref="L191:O191" si="63">SUM(L192:L194)</f>
        <v>208.4</v>
      </c>
      <c r="M191" s="83">
        <f t="shared" si="63"/>
        <v>0</v>
      </c>
      <c r="N191" s="83">
        <f t="shared" si="63"/>
        <v>0</v>
      </c>
      <c r="O191" s="83">
        <f t="shared" si="63"/>
        <v>0</v>
      </c>
      <c r="P191" s="203">
        <v>300000</v>
      </c>
    </row>
    <row r="192" spans="2:16" outlineLevel="1" x14ac:dyDescent="0.2">
      <c r="B192" s="178"/>
      <c r="C192" s="190"/>
      <c r="D192" s="205"/>
      <c r="E192" s="118"/>
      <c r="F192" s="118"/>
      <c r="G192" s="118"/>
      <c r="H192" s="84" t="s">
        <v>4</v>
      </c>
      <c r="I192" s="83">
        <f>SUM(J192:O192)</f>
        <v>206.32</v>
      </c>
      <c r="J192" s="75"/>
      <c r="K192" s="75"/>
      <c r="L192" s="75">
        <v>206.32</v>
      </c>
      <c r="M192" s="75"/>
      <c r="N192" s="75"/>
      <c r="O192" s="75"/>
      <c r="P192" s="203"/>
    </row>
    <row r="193" spans="2:16" outlineLevel="1" x14ac:dyDescent="0.2">
      <c r="B193" s="178"/>
      <c r="C193" s="190"/>
      <c r="D193" s="205"/>
      <c r="E193" s="118"/>
      <c r="F193" s="118"/>
      <c r="G193" s="118"/>
      <c r="H193" s="84" t="s">
        <v>6</v>
      </c>
      <c r="I193" s="83">
        <f>SUM(J193:O193)</f>
        <v>2.08</v>
      </c>
      <c r="J193" s="75"/>
      <c r="K193" s="75"/>
      <c r="L193" s="75">
        <v>2.08</v>
      </c>
      <c r="M193" s="75"/>
      <c r="N193" s="75"/>
      <c r="O193" s="75"/>
      <c r="P193" s="203"/>
    </row>
    <row r="194" spans="2:16" outlineLevel="1" x14ac:dyDescent="0.2">
      <c r="B194" s="178"/>
      <c r="C194" s="191"/>
      <c r="D194" s="205"/>
      <c r="E194" s="119"/>
      <c r="F194" s="119"/>
      <c r="G194" s="119"/>
      <c r="H194" s="84" t="s">
        <v>5</v>
      </c>
      <c r="I194" s="75"/>
      <c r="J194" s="75"/>
      <c r="K194" s="75"/>
      <c r="L194" s="75"/>
      <c r="M194" s="75"/>
      <c r="N194" s="75"/>
      <c r="O194" s="75"/>
      <c r="P194" s="203"/>
    </row>
    <row r="195" spans="2:16" ht="49.5" customHeight="1" outlineLevel="1" x14ac:dyDescent="0.2">
      <c r="B195" s="197" t="s">
        <v>1613</v>
      </c>
      <c r="C195" s="204"/>
      <c r="D195" s="205" t="s">
        <v>65</v>
      </c>
      <c r="E195" s="117" t="s">
        <v>50</v>
      </c>
      <c r="F195" s="117"/>
      <c r="G195" s="117"/>
      <c r="H195" s="84" t="s">
        <v>3</v>
      </c>
      <c r="I195" s="83">
        <f>SUM(J195:O195)</f>
        <v>146</v>
      </c>
      <c r="J195" s="85">
        <f t="shared" ref="J195:O195" si="64">SUM(J196:J198)</f>
        <v>0</v>
      </c>
      <c r="K195" s="85">
        <f t="shared" si="64"/>
        <v>73</v>
      </c>
      <c r="L195" s="85">
        <f t="shared" si="64"/>
        <v>73</v>
      </c>
      <c r="M195" s="85">
        <f t="shared" si="64"/>
        <v>0</v>
      </c>
      <c r="N195" s="85">
        <f t="shared" si="64"/>
        <v>0</v>
      </c>
      <c r="O195" s="85">
        <f t="shared" si="64"/>
        <v>0</v>
      </c>
      <c r="P195" s="203">
        <v>300000</v>
      </c>
    </row>
    <row r="196" spans="2:16" outlineLevel="1" x14ac:dyDescent="0.2">
      <c r="B196" s="197"/>
      <c r="C196" s="190"/>
      <c r="D196" s="205"/>
      <c r="E196" s="118"/>
      <c r="F196" s="118"/>
      <c r="G196" s="118"/>
      <c r="H196" s="84" t="s">
        <v>4</v>
      </c>
      <c r="I196" s="83">
        <f>SUM(J196:O196)</f>
        <v>144.54</v>
      </c>
      <c r="J196" s="60"/>
      <c r="K196" s="60">
        <f>0.99*146/2</f>
        <v>72.27</v>
      </c>
      <c r="L196" s="60">
        <f>0.99*146/2</f>
        <v>72.27</v>
      </c>
      <c r="M196" s="60"/>
      <c r="N196" s="60"/>
      <c r="O196" s="60"/>
      <c r="P196" s="203"/>
    </row>
    <row r="197" spans="2:16" outlineLevel="1" x14ac:dyDescent="0.2">
      <c r="B197" s="197"/>
      <c r="C197" s="190"/>
      <c r="D197" s="205"/>
      <c r="E197" s="118"/>
      <c r="F197" s="118"/>
      <c r="G197" s="118"/>
      <c r="H197" s="84" t="s">
        <v>6</v>
      </c>
      <c r="I197" s="83">
        <f>SUM(J197:O197)</f>
        <v>1.46</v>
      </c>
      <c r="J197" s="60"/>
      <c r="K197" s="60">
        <f>K196/99</f>
        <v>0.73</v>
      </c>
      <c r="L197" s="60">
        <f>L196/99</f>
        <v>0.73</v>
      </c>
      <c r="M197" s="60"/>
      <c r="N197" s="60"/>
      <c r="O197" s="60"/>
      <c r="P197" s="203"/>
    </row>
    <row r="198" spans="2:16" outlineLevel="1" x14ac:dyDescent="0.2">
      <c r="B198" s="197"/>
      <c r="C198" s="191"/>
      <c r="D198" s="205"/>
      <c r="E198" s="119"/>
      <c r="F198" s="119"/>
      <c r="G198" s="119"/>
      <c r="H198" s="84" t="s">
        <v>5</v>
      </c>
      <c r="I198" s="75"/>
      <c r="J198" s="60"/>
      <c r="K198" s="60"/>
      <c r="L198" s="60"/>
      <c r="M198" s="60"/>
      <c r="N198" s="60"/>
      <c r="O198" s="60"/>
      <c r="P198" s="203"/>
    </row>
    <row r="199" spans="2:16" ht="44.25" customHeight="1" outlineLevel="1" x14ac:dyDescent="0.2">
      <c r="B199" s="114" t="s">
        <v>1614</v>
      </c>
      <c r="C199" s="204"/>
      <c r="D199" s="205" t="s">
        <v>65</v>
      </c>
      <c r="E199" s="117" t="s">
        <v>50</v>
      </c>
      <c r="F199" s="117"/>
      <c r="G199" s="117"/>
      <c r="H199" s="84" t="s">
        <v>3</v>
      </c>
      <c r="I199" s="83">
        <f>SUM(J199:O199)</f>
        <v>200</v>
      </c>
      <c r="J199" s="85">
        <f t="shared" ref="J199:O199" si="65">SUM(J200:J202)</f>
        <v>0</v>
      </c>
      <c r="K199" s="85">
        <f t="shared" si="65"/>
        <v>100</v>
      </c>
      <c r="L199" s="85">
        <f t="shared" si="65"/>
        <v>100</v>
      </c>
      <c r="M199" s="85"/>
      <c r="N199" s="85">
        <f t="shared" si="65"/>
        <v>0</v>
      </c>
      <c r="O199" s="85">
        <f t="shared" si="65"/>
        <v>0</v>
      </c>
      <c r="P199" s="206">
        <v>15000</v>
      </c>
    </row>
    <row r="200" spans="2:16" outlineLevel="1" x14ac:dyDescent="0.2">
      <c r="B200" s="115"/>
      <c r="C200" s="190"/>
      <c r="D200" s="205"/>
      <c r="E200" s="118"/>
      <c r="F200" s="118"/>
      <c r="G200" s="118"/>
      <c r="H200" s="84" t="s">
        <v>4</v>
      </c>
      <c r="I200" s="83">
        <f>SUM(J200:O200)</f>
        <v>198</v>
      </c>
      <c r="J200" s="60"/>
      <c r="K200" s="60">
        <v>99</v>
      </c>
      <c r="L200" s="60">
        <f>0.99*100</f>
        <v>99</v>
      </c>
      <c r="M200" s="60"/>
      <c r="N200" s="60"/>
      <c r="O200" s="60"/>
      <c r="P200" s="207"/>
    </row>
    <row r="201" spans="2:16" outlineLevel="1" x14ac:dyDescent="0.2">
      <c r="B201" s="115"/>
      <c r="C201" s="190"/>
      <c r="D201" s="205"/>
      <c r="E201" s="118"/>
      <c r="F201" s="118"/>
      <c r="G201" s="118"/>
      <c r="H201" s="84" t="s">
        <v>6</v>
      </c>
      <c r="I201" s="83">
        <f>SUM(J201:O201)</f>
        <v>2</v>
      </c>
      <c r="J201" s="60"/>
      <c r="K201" s="60">
        <v>1</v>
      </c>
      <c r="L201" s="60">
        <f>L200/99</f>
        <v>1</v>
      </c>
      <c r="M201" s="60"/>
      <c r="N201" s="60"/>
      <c r="O201" s="60"/>
      <c r="P201" s="207"/>
    </row>
    <row r="202" spans="2:16" outlineLevel="1" x14ac:dyDescent="0.2">
      <c r="B202" s="116"/>
      <c r="C202" s="191"/>
      <c r="D202" s="205"/>
      <c r="E202" s="119"/>
      <c r="F202" s="119"/>
      <c r="G202" s="119"/>
      <c r="H202" s="84" t="s">
        <v>5</v>
      </c>
      <c r="I202" s="75"/>
      <c r="J202" s="60"/>
      <c r="K202" s="60"/>
      <c r="L202" s="60"/>
      <c r="M202" s="60"/>
      <c r="N202" s="60"/>
      <c r="O202" s="60"/>
      <c r="P202" s="208"/>
    </row>
    <row r="203" spans="2:16" ht="42" customHeight="1" outlineLevel="1" x14ac:dyDescent="0.2">
      <c r="B203" s="114" t="s">
        <v>1615</v>
      </c>
      <c r="C203" s="114" t="s">
        <v>1607</v>
      </c>
      <c r="D203" s="205" t="s">
        <v>65</v>
      </c>
      <c r="E203" s="117">
        <v>2021</v>
      </c>
      <c r="F203" s="117"/>
      <c r="G203" s="117"/>
      <c r="H203" s="84" t="s">
        <v>3</v>
      </c>
      <c r="I203" s="83">
        <f>SUM(J203:O203)</f>
        <v>160</v>
      </c>
      <c r="J203" s="85">
        <f t="shared" ref="J203:O203" si="66">SUM(J204:J206)</f>
        <v>0</v>
      </c>
      <c r="K203" s="85">
        <f t="shared" si="66"/>
        <v>160</v>
      </c>
      <c r="L203" s="85"/>
      <c r="M203" s="85"/>
      <c r="N203" s="85">
        <f t="shared" si="66"/>
        <v>0</v>
      </c>
      <c r="O203" s="85">
        <f t="shared" si="66"/>
        <v>0</v>
      </c>
      <c r="P203" s="206">
        <v>600000</v>
      </c>
    </row>
    <row r="204" spans="2:16" outlineLevel="1" x14ac:dyDescent="0.2">
      <c r="B204" s="115"/>
      <c r="C204" s="115"/>
      <c r="D204" s="205"/>
      <c r="E204" s="118"/>
      <c r="F204" s="118"/>
      <c r="G204" s="118"/>
      <c r="H204" s="84" t="s">
        <v>4</v>
      </c>
      <c r="I204" s="83">
        <f>SUM(J204:O204)</f>
        <v>158.4</v>
      </c>
      <c r="J204" s="60"/>
      <c r="K204" s="60">
        <v>158.4</v>
      </c>
      <c r="L204" s="60"/>
      <c r="M204" s="60"/>
      <c r="N204" s="60"/>
      <c r="O204" s="60"/>
      <c r="P204" s="207"/>
    </row>
    <row r="205" spans="2:16" outlineLevel="1" x14ac:dyDescent="0.2">
      <c r="B205" s="115"/>
      <c r="C205" s="115"/>
      <c r="D205" s="205"/>
      <c r="E205" s="118"/>
      <c r="F205" s="118"/>
      <c r="G205" s="118"/>
      <c r="H205" s="84" t="s">
        <v>6</v>
      </c>
      <c r="I205" s="83">
        <f>SUM(J205:O205)</f>
        <v>1.6</v>
      </c>
      <c r="J205" s="60"/>
      <c r="K205" s="60">
        <v>1.6</v>
      </c>
      <c r="L205" s="60"/>
      <c r="M205" s="60"/>
      <c r="N205" s="60"/>
      <c r="O205" s="60"/>
      <c r="P205" s="207"/>
    </row>
    <row r="206" spans="2:16" ht="15" customHeight="1" outlineLevel="1" x14ac:dyDescent="0.2">
      <c r="B206" s="116"/>
      <c r="C206" s="116"/>
      <c r="D206" s="205"/>
      <c r="E206" s="119"/>
      <c r="F206" s="119"/>
      <c r="G206" s="119"/>
      <c r="H206" s="84" t="s">
        <v>5</v>
      </c>
      <c r="I206" s="75"/>
      <c r="J206" s="60"/>
      <c r="K206" s="60"/>
      <c r="L206" s="60"/>
      <c r="M206" s="60"/>
      <c r="N206" s="60"/>
      <c r="O206" s="60"/>
      <c r="P206" s="208"/>
    </row>
    <row r="207" spans="2:16" ht="45" customHeight="1" outlineLevel="1" x14ac:dyDescent="0.2">
      <c r="B207" s="114" t="s">
        <v>1616</v>
      </c>
      <c r="C207" s="114" t="s">
        <v>1607</v>
      </c>
      <c r="D207" s="205" t="s">
        <v>1212</v>
      </c>
      <c r="E207" s="117" t="s">
        <v>105</v>
      </c>
      <c r="F207" s="117"/>
      <c r="G207" s="117" t="s">
        <v>1617</v>
      </c>
      <c r="H207" s="84" t="s">
        <v>3</v>
      </c>
      <c r="I207" s="83">
        <f>SUM(J207:O207)</f>
        <v>500</v>
      </c>
      <c r="J207" s="85"/>
      <c r="K207" s="85">
        <v>100</v>
      </c>
      <c r="L207" s="85">
        <v>100</v>
      </c>
      <c r="M207" s="85">
        <v>100</v>
      </c>
      <c r="N207" s="85">
        <v>100</v>
      </c>
      <c r="O207" s="85">
        <v>100</v>
      </c>
      <c r="P207" s="206">
        <v>300000</v>
      </c>
    </row>
    <row r="208" spans="2:16" outlineLevel="1" x14ac:dyDescent="0.2">
      <c r="B208" s="115"/>
      <c r="C208" s="115"/>
      <c r="D208" s="205"/>
      <c r="E208" s="118"/>
      <c r="F208" s="118"/>
      <c r="G208" s="118"/>
      <c r="H208" s="84" t="s">
        <v>4</v>
      </c>
      <c r="I208" s="83">
        <f>SUM(J208:O208)</f>
        <v>495</v>
      </c>
      <c r="J208" s="60"/>
      <c r="K208" s="60">
        <v>99</v>
      </c>
      <c r="L208" s="60">
        <v>99</v>
      </c>
      <c r="M208" s="60">
        <v>99</v>
      </c>
      <c r="N208" s="85">
        <v>99</v>
      </c>
      <c r="O208" s="60">
        <v>99</v>
      </c>
      <c r="P208" s="207"/>
    </row>
    <row r="209" spans="2:17" outlineLevel="1" x14ac:dyDescent="0.2">
      <c r="B209" s="115"/>
      <c r="C209" s="115"/>
      <c r="D209" s="205"/>
      <c r="E209" s="118"/>
      <c r="F209" s="118"/>
      <c r="G209" s="118"/>
      <c r="H209" s="84" t="s">
        <v>6</v>
      </c>
      <c r="I209" s="83">
        <f>SUM(J209:O209)</f>
        <v>5</v>
      </c>
      <c r="J209" s="60"/>
      <c r="K209" s="60">
        <v>1</v>
      </c>
      <c r="L209" s="60">
        <v>1</v>
      </c>
      <c r="M209" s="60">
        <v>1</v>
      </c>
      <c r="N209" s="85">
        <v>1</v>
      </c>
      <c r="O209" s="60">
        <v>1</v>
      </c>
      <c r="P209" s="207"/>
    </row>
    <row r="210" spans="2:17" outlineLevel="1" x14ac:dyDescent="0.2">
      <c r="B210" s="116"/>
      <c r="C210" s="116"/>
      <c r="D210" s="205"/>
      <c r="E210" s="119"/>
      <c r="F210" s="119"/>
      <c r="G210" s="119"/>
      <c r="H210" s="84" t="s">
        <v>5</v>
      </c>
      <c r="I210" s="75"/>
      <c r="J210" s="85"/>
      <c r="K210" s="85"/>
      <c r="L210" s="85"/>
      <c r="M210" s="85"/>
      <c r="N210" s="85"/>
      <c r="O210" s="85"/>
      <c r="P210" s="208"/>
    </row>
    <row r="211" spans="2:17" ht="42.75" x14ac:dyDescent="0.2">
      <c r="B211" s="128" t="s">
        <v>76</v>
      </c>
      <c r="C211" s="128" t="s">
        <v>38</v>
      </c>
      <c r="D211" s="128" t="s">
        <v>38</v>
      </c>
      <c r="E211" s="128" t="s">
        <v>38</v>
      </c>
      <c r="F211" s="128" t="s">
        <v>38</v>
      </c>
      <c r="G211" s="128" t="s">
        <v>38</v>
      </c>
      <c r="H211" s="84" t="s">
        <v>3</v>
      </c>
      <c r="I211" s="14">
        <f t="shared" ref="I211:O211" si="67">SUMIF($H$171:$H$210,"Объем*",I$171:I$210)</f>
        <v>2945.25</v>
      </c>
      <c r="J211" s="14">
        <f t="shared" si="67"/>
        <v>0</v>
      </c>
      <c r="K211" s="14">
        <f t="shared" si="67"/>
        <v>568.25</v>
      </c>
      <c r="L211" s="14">
        <f t="shared" si="67"/>
        <v>747</v>
      </c>
      <c r="M211" s="14">
        <f t="shared" si="67"/>
        <v>130</v>
      </c>
      <c r="N211" s="14">
        <f t="shared" si="67"/>
        <v>800</v>
      </c>
      <c r="O211" s="14">
        <f t="shared" si="67"/>
        <v>700</v>
      </c>
      <c r="P211" s="128"/>
      <c r="Q211" s="15"/>
    </row>
    <row r="212" spans="2:17" ht="15.75" x14ac:dyDescent="0.2">
      <c r="B212" s="129"/>
      <c r="C212" s="129"/>
      <c r="D212" s="129"/>
      <c r="E212" s="129"/>
      <c r="F212" s="129"/>
      <c r="G212" s="129"/>
      <c r="H212" s="84" t="s">
        <v>4</v>
      </c>
      <c r="I212" s="14">
        <f t="shared" ref="I212:O212" si="68">SUMIF($H$171:$H$210,"фед*",I$171:I$210)</f>
        <v>2869.0499999999997</v>
      </c>
      <c r="J212" s="14">
        <f t="shared" si="68"/>
        <v>0</v>
      </c>
      <c r="K212" s="14">
        <f t="shared" si="68"/>
        <v>558.79999999999995</v>
      </c>
      <c r="L212" s="14">
        <f t="shared" si="68"/>
        <v>726.25</v>
      </c>
      <c r="M212" s="14">
        <f t="shared" si="68"/>
        <v>99</v>
      </c>
      <c r="N212" s="14">
        <f t="shared" si="68"/>
        <v>792</v>
      </c>
      <c r="O212" s="14">
        <f t="shared" si="68"/>
        <v>693</v>
      </c>
      <c r="P212" s="129"/>
      <c r="Q212" s="15"/>
    </row>
    <row r="213" spans="2:17" ht="15.75" x14ac:dyDescent="0.2">
      <c r="B213" s="129"/>
      <c r="C213" s="129"/>
      <c r="D213" s="129"/>
      <c r="E213" s="129"/>
      <c r="F213" s="129"/>
      <c r="G213" s="129"/>
      <c r="H213" s="84" t="s">
        <v>6</v>
      </c>
      <c r="I213" s="14">
        <f t="shared" ref="I213:O213" si="69">SUMIF($H$171:$H$210,"конс*",I$171:I$210)</f>
        <v>76.199999999999989</v>
      </c>
      <c r="J213" s="14">
        <f t="shared" si="69"/>
        <v>0</v>
      </c>
      <c r="K213" s="14">
        <f t="shared" si="69"/>
        <v>9.4499999999999993</v>
      </c>
      <c r="L213" s="14">
        <f t="shared" si="69"/>
        <v>20.75</v>
      </c>
      <c r="M213" s="14">
        <f t="shared" si="69"/>
        <v>31</v>
      </c>
      <c r="N213" s="14">
        <f t="shared" si="69"/>
        <v>8</v>
      </c>
      <c r="O213" s="14">
        <f t="shared" si="69"/>
        <v>7</v>
      </c>
      <c r="P213" s="129"/>
      <c r="Q213" s="15"/>
    </row>
    <row r="214" spans="2:17" ht="15.75" x14ac:dyDescent="0.2">
      <c r="B214" s="130"/>
      <c r="C214" s="130"/>
      <c r="D214" s="130"/>
      <c r="E214" s="130"/>
      <c r="F214" s="130"/>
      <c r="G214" s="130"/>
      <c r="H214" s="84" t="s">
        <v>5</v>
      </c>
      <c r="I214" s="14">
        <f t="shared" ref="I214:O214" si="70">SUMIF($H$171:$H$210,"вне*",I$171:I$210)</f>
        <v>0</v>
      </c>
      <c r="J214" s="14">
        <f t="shared" si="70"/>
        <v>0</v>
      </c>
      <c r="K214" s="14">
        <f t="shared" si="70"/>
        <v>0</v>
      </c>
      <c r="L214" s="14">
        <f t="shared" si="70"/>
        <v>0</v>
      </c>
      <c r="M214" s="14">
        <f t="shared" si="70"/>
        <v>0</v>
      </c>
      <c r="N214" s="14">
        <f t="shared" si="70"/>
        <v>0</v>
      </c>
      <c r="O214" s="14">
        <f t="shared" si="70"/>
        <v>0</v>
      </c>
      <c r="P214" s="130"/>
      <c r="Q214" s="15"/>
    </row>
    <row r="215" spans="2:17" ht="42.75" x14ac:dyDescent="0.2">
      <c r="B215" s="128" t="s">
        <v>77</v>
      </c>
      <c r="C215" s="128" t="s">
        <v>38</v>
      </c>
      <c r="D215" s="128" t="s">
        <v>38</v>
      </c>
      <c r="E215" s="128" t="s">
        <v>38</v>
      </c>
      <c r="F215" s="128" t="s">
        <v>38</v>
      </c>
      <c r="G215" s="128" t="s">
        <v>38</v>
      </c>
      <c r="H215" s="84" t="s">
        <v>3</v>
      </c>
      <c r="I215" s="14">
        <f>I14+I23+I108+I157+I166+I211</f>
        <v>5116.2749999999996</v>
      </c>
      <c r="J215" s="14">
        <f t="shared" ref="J215:O215" si="71">J14+J23+J108+J157+J166+J211</f>
        <v>32.582000000000001</v>
      </c>
      <c r="K215" s="14">
        <f t="shared" si="71"/>
        <v>1072.0430000000001</v>
      </c>
      <c r="L215" s="14">
        <f t="shared" si="71"/>
        <v>1588.55</v>
      </c>
      <c r="M215" s="14">
        <f t="shared" si="71"/>
        <v>809.5</v>
      </c>
      <c r="N215" s="14">
        <f t="shared" si="71"/>
        <v>851.3</v>
      </c>
      <c r="O215" s="14">
        <f t="shared" si="71"/>
        <v>762.3</v>
      </c>
      <c r="P215" s="128"/>
      <c r="Q215" s="7"/>
    </row>
    <row r="216" spans="2:17" ht="15.75" x14ac:dyDescent="0.2">
      <c r="B216" s="129"/>
      <c r="C216" s="129"/>
      <c r="D216" s="129"/>
      <c r="E216" s="129"/>
      <c r="F216" s="129"/>
      <c r="G216" s="129"/>
      <c r="H216" s="84" t="s">
        <v>4</v>
      </c>
      <c r="I216" s="14">
        <f t="shared" ref="I216:O218" si="72">I15+I24+I109+I158+I167+I212</f>
        <v>4588.99</v>
      </c>
      <c r="J216" s="14">
        <f t="shared" si="72"/>
        <v>4.34</v>
      </c>
      <c r="K216" s="14">
        <f t="shared" si="72"/>
        <v>959.48</v>
      </c>
      <c r="L216" s="14">
        <f t="shared" si="72"/>
        <v>1410.53</v>
      </c>
      <c r="M216" s="14">
        <f t="shared" si="72"/>
        <v>657.48</v>
      </c>
      <c r="N216" s="14">
        <f t="shared" si="72"/>
        <v>834.08</v>
      </c>
      <c r="O216" s="14">
        <f t="shared" si="72"/>
        <v>723.08</v>
      </c>
      <c r="P216" s="129"/>
      <c r="Q216" s="7"/>
    </row>
    <row r="217" spans="2:17" ht="15.75" x14ac:dyDescent="0.2">
      <c r="B217" s="129"/>
      <c r="C217" s="129"/>
      <c r="D217" s="129"/>
      <c r="E217" s="129"/>
      <c r="F217" s="129"/>
      <c r="G217" s="129"/>
      <c r="H217" s="84" t="s">
        <v>6</v>
      </c>
      <c r="I217" s="14">
        <f t="shared" si="72"/>
        <v>368.88499999999999</v>
      </c>
      <c r="J217" s="14">
        <f t="shared" si="72"/>
        <v>28.242000000000001</v>
      </c>
      <c r="K217" s="14">
        <f t="shared" si="72"/>
        <v>85.713000000000008</v>
      </c>
      <c r="L217" s="14">
        <f t="shared" si="72"/>
        <v>131.97</v>
      </c>
      <c r="M217" s="14">
        <f t="shared" si="72"/>
        <v>101.52</v>
      </c>
      <c r="N217" s="14">
        <f t="shared" si="72"/>
        <v>12.219999999999999</v>
      </c>
      <c r="O217" s="14">
        <f t="shared" si="72"/>
        <v>9.2199999999999989</v>
      </c>
      <c r="P217" s="129"/>
      <c r="Q217" s="7"/>
    </row>
    <row r="218" spans="2:17" ht="15.75" x14ac:dyDescent="0.2">
      <c r="B218" s="130"/>
      <c r="C218" s="130"/>
      <c r="D218" s="130"/>
      <c r="E218" s="130"/>
      <c r="F218" s="130"/>
      <c r="G218" s="130"/>
      <c r="H218" s="84" t="s">
        <v>5</v>
      </c>
      <c r="I218" s="14">
        <f t="shared" si="72"/>
        <v>158.4</v>
      </c>
      <c r="J218" s="14">
        <f t="shared" si="72"/>
        <v>0</v>
      </c>
      <c r="K218" s="14">
        <f t="shared" si="72"/>
        <v>26.85</v>
      </c>
      <c r="L218" s="14">
        <f t="shared" si="72"/>
        <v>46.05</v>
      </c>
      <c r="M218" s="14">
        <f t="shared" si="72"/>
        <v>50.5</v>
      </c>
      <c r="N218" s="14">
        <f t="shared" si="72"/>
        <v>5</v>
      </c>
      <c r="O218" s="14">
        <f t="shared" si="72"/>
        <v>30</v>
      </c>
      <c r="P218" s="130"/>
      <c r="Q218" s="7"/>
    </row>
    <row r="219" spans="2:17" x14ac:dyDescent="0.2">
      <c r="Q219" s="7"/>
    </row>
    <row r="220" spans="2:17" x14ac:dyDescent="0.2">
      <c r="B220" s="45" t="s">
        <v>625</v>
      </c>
    </row>
  </sheetData>
  <mergeCells count="379">
    <mergeCell ref="P215:P218"/>
    <mergeCell ref="B215:B218"/>
    <mergeCell ref="C215:C218"/>
    <mergeCell ref="D215:D218"/>
    <mergeCell ref="E215:E218"/>
    <mergeCell ref="F215:F218"/>
    <mergeCell ref="G215:G218"/>
    <mergeCell ref="P207:P210"/>
    <mergeCell ref="B211:B214"/>
    <mergeCell ref="C211:C214"/>
    <mergeCell ref="D211:D214"/>
    <mergeCell ref="E211:E214"/>
    <mergeCell ref="F211:F214"/>
    <mergeCell ref="G211:G214"/>
    <mergeCell ref="P211:P214"/>
    <mergeCell ref="B207:B210"/>
    <mergeCell ref="C207:C210"/>
    <mergeCell ref="D207:D210"/>
    <mergeCell ref="E207:E210"/>
    <mergeCell ref="F207:F210"/>
    <mergeCell ref="G207:G210"/>
    <mergeCell ref="P199:P202"/>
    <mergeCell ref="B203:B206"/>
    <mergeCell ref="C203:C206"/>
    <mergeCell ref="D203:D206"/>
    <mergeCell ref="E203:E206"/>
    <mergeCell ref="F203:F206"/>
    <mergeCell ref="G203:G206"/>
    <mergeCell ref="P203:P206"/>
    <mergeCell ref="B199:B202"/>
    <mergeCell ref="C199:C202"/>
    <mergeCell ref="D199:D202"/>
    <mergeCell ref="E199:E202"/>
    <mergeCell ref="F199:F202"/>
    <mergeCell ref="G199:G202"/>
    <mergeCell ref="P191:P194"/>
    <mergeCell ref="B195:B198"/>
    <mergeCell ref="C195:C198"/>
    <mergeCell ref="D195:D198"/>
    <mergeCell ref="E195:E198"/>
    <mergeCell ref="F195:F198"/>
    <mergeCell ref="G195:G198"/>
    <mergeCell ref="P195:P198"/>
    <mergeCell ref="B191:B194"/>
    <mergeCell ref="C191:C194"/>
    <mergeCell ref="D191:D194"/>
    <mergeCell ref="E191:E194"/>
    <mergeCell ref="F191:F194"/>
    <mergeCell ref="G191:G194"/>
    <mergeCell ref="P183:P186"/>
    <mergeCell ref="B187:B190"/>
    <mergeCell ref="C187:C190"/>
    <mergeCell ref="D187:D190"/>
    <mergeCell ref="E187:E190"/>
    <mergeCell ref="F187:F190"/>
    <mergeCell ref="G187:G190"/>
    <mergeCell ref="P187:P190"/>
    <mergeCell ref="B183:B186"/>
    <mergeCell ref="C183:C186"/>
    <mergeCell ref="D183:D186"/>
    <mergeCell ref="E183:E186"/>
    <mergeCell ref="F183:F186"/>
    <mergeCell ref="G183:G186"/>
    <mergeCell ref="P175:P178"/>
    <mergeCell ref="B179:B182"/>
    <mergeCell ref="C179:C182"/>
    <mergeCell ref="D179:D182"/>
    <mergeCell ref="E179:E182"/>
    <mergeCell ref="F179:F182"/>
    <mergeCell ref="G179:G182"/>
    <mergeCell ref="P179:P182"/>
    <mergeCell ref="B175:B178"/>
    <mergeCell ref="C175:C178"/>
    <mergeCell ref="D175:D178"/>
    <mergeCell ref="E175:E178"/>
    <mergeCell ref="F175:F178"/>
    <mergeCell ref="G175:G178"/>
    <mergeCell ref="P166:P169"/>
    <mergeCell ref="B170:P170"/>
    <mergeCell ref="B171:B174"/>
    <mergeCell ref="C171:C174"/>
    <mergeCell ref="D171:D174"/>
    <mergeCell ref="E171:E174"/>
    <mergeCell ref="F171:F174"/>
    <mergeCell ref="G171:G174"/>
    <mergeCell ref="P171:P174"/>
    <mergeCell ref="B166:B169"/>
    <mergeCell ref="C166:C169"/>
    <mergeCell ref="D166:D169"/>
    <mergeCell ref="E166:E169"/>
    <mergeCell ref="F166:F169"/>
    <mergeCell ref="G166:G169"/>
    <mergeCell ref="P157:P160"/>
    <mergeCell ref="B161:P161"/>
    <mergeCell ref="B162:B165"/>
    <mergeCell ref="C162:C165"/>
    <mergeCell ref="D162:D165"/>
    <mergeCell ref="E162:E165"/>
    <mergeCell ref="F162:F165"/>
    <mergeCell ref="G162:G165"/>
    <mergeCell ref="P162:P165"/>
    <mergeCell ref="B157:B160"/>
    <mergeCell ref="C157:C160"/>
    <mergeCell ref="D157:D160"/>
    <mergeCell ref="E157:E160"/>
    <mergeCell ref="F157:F160"/>
    <mergeCell ref="G157:G160"/>
    <mergeCell ref="P149:P152"/>
    <mergeCell ref="B153:B156"/>
    <mergeCell ref="C153:C156"/>
    <mergeCell ref="D153:D156"/>
    <mergeCell ref="E153:E156"/>
    <mergeCell ref="F153:F156"/>
    <mergeCell ref="G153:G156"/>
    <mergeCell ref="P153:P156"/>
    <mergeCell ref="B149:B152"/>
    <mergeCell ref="C149:C152"/>
    <mergeCell ref="D149:D152"/>
    <mergeCell ref="E149:E152"/>
    <mergeCell ref="F149:F152"/>
    <mergeCell ref="G149:G152"/>
    <mergeCell ref="P141:P144"/>
    <mergeCell ref="B145:B148"/>
    <mergeCell ref="C145:C148"/>
    <mergeCell ref="D145:D148"/>
    <mergeCell ref="E145:E148"/>
    <mergeCell ref="F145:F148"/>
    <mergeCell ref="G145:G148"/>
    <mergeCell ref="P145:P148"/>
    <mergeCell ref="B141:B144"/>
    <mergeCell ref="C141:C144"/>
    <mergeCell ref="D141:D144"/>
    <mergeCell ref="E141:E144"/>
    <mergeCell ref="F141:F144"/>
    <mergeCell ref="G141:G144"/>
    <mergeCell ref="P133:P136"/>
    <mergeCell ref="B137:B140"/>
    <mergeCell ref="C137:C140"/>
    <mergeCell ref="D137:D140"/>
    <mergeCell ref="E137:E140"/>
    <mergeCell ref="F137:F140"/>
    <mergeCell ref="G137:G140"/>
    <mergeCell ref="P137:P140"/>
    <mergeCell ref="B133:B136"/>
    <mergeCell ref="C133:C136"/>
    <mergeCell ref="D133:D136"/>
    <mergeCell ref="E133:E136"/>
    <mergeCell ref="F133:F136"/>
    <mergeCell ref="G133:G136"/>
    <mergeCell ref="P125:P128"/>
    <mergeCell ref="B129:B132"/>
    <mergeCell ref="C129:C132"/>
    <mergeCell ref="D129:D132"/>
    <mergeCell ref="E129:E132"/>
    <mergeCell ref="F129:F132"/>
    <mergeCell ref="G129:G132"/>
    <mergeCell ref="P129:P132"/>
    <mergeCell ref="B125:B128"/>
    <mergeCell ref="C125:C128"/>
    <mergeCell ref="D125:D128"/>
    <mergeCell ref="E125:E128"/>
    <mergeCell ref="F125:F128"/>
    <mergeCell ref="G125:G128"/>
    <mergeCell ref="P117:P120"/>
    <mergeCell ref="B121:B124"/>
    <mergeCell ref="C121:C124"/>
    <mergeCell ref="D121:D124"/>
    <mergeCell ref="E121:E124"/>
    <mergeCell ref="F121:F124"/>
    <mergeCell ref="G121:G124"/>
    <mergeCell ref="P121:P124"/>
    <mergeCell ref="B117:B120"/>
    <mergeCell ref="C117:C120"/>
    <mergeCell ref="D117:D120"/>
    <mergeCell ref="E117:E120"/>
    <mergeCell ref="F117:F120"/>
    <mergeCell ref="G117:G120"/>
    <mergeCell ref="B112:P112"/>
    <mergeCell ref="B113:B116"/>
    <mergeCell ref="C113:C116"/>
    <mergeCell ref="D113:D116"/>
    <mergeCell ref="E113:E116"/>
    <mergeCell ref="F113:F116"/>
    <mergeCell ref="G113:G116"/>
    <mergeCell ref="P113:P116"/>
    <mergeCell ref="P104:P107"/>
    <mergeCell ref="B108:B111"/>
    <mergeCell ref="C108:C111"/>
    <mergeCell ref="D108:D111"/>
    <mergeCell ref="E108:E111"/>
    <mergeCell ref="F108:F111"/>
    <mergeCell ref="G108:G111"/>
    <mergeCell ref="P108:P111"/>
    <mergeCell ref="B104:B107"/>
    <mergeCell ref="C104:C107"/>
    <mergeCell ref="D104:D107"/>
    <mergeCell ref="E104:E107"/>
    <mergeCell ref="F104:F107"/>
    <mergeCell ref="G104:G107"/>
    <mergeCell ref="P96:P99"/>
    <mergeCell ref="B100:B103"/>
    <mergeCell ref="C100:C103"/>
    <mergeCell ref="D100:D103"/>
    <mergeCell ref="E100:E103"/>
    <mergeCell ref="F100:F103"/>
    <mergeCell ref="G100:G103"/>
    <mergeCell ref="P100:P103"/>
    <mergeCell ref="B96:B99"/>
    <mergeCell ref="C96:C99"/>
    <mergeCell ref="D96:D99"/>
    <mergeCell ref="E96:E99"/>
    <mergeCell ref="F96:F99"/>
    <mergeCell ref="G96:G99"/>
    <mergeCell ref="P88:P91"/>
    <mergeCell ref="B92:B95"/>
    <mergeCell ref="C92:C95"/>
    <mergeCell ref="D92:D95"/>
    <mergeCell ref="E92:E95"/>
    <mergeCell ref="F92:F95"/>
    <mergeCell ref="G92:G95"/>
    <mergeCell ref="P92:P95"/>
    <mergeCell ref="B88:B91"/>
    <mergeCell ref="C88:C91"/>
    <mergeCell ref="D88:D91"/>
    <mergeCell ref="E88:E91"/>
    <mergeCell ref="F88:F91"/>
    <mergeCell ref="G88:G91"/>
    <mergeCell ref="P80:P83"/>
    <mergeCell ref="B84:B87"/>
    <mergeCell ref="C84:C87"/>
    <mergeCell ref="D84:D87"/>
    <mergeCell ref="E84:E87"/>
    <mergeCell ref="F84:F87"/>
    <mergeCell ref="G84:G87"/>
    <mergeCell ref="P84:P87"/>
    <mergeCell ref="B80:B83"/>
    <mergeCell ref="C80:C83"/>
    <mergeCell ref="D80:D83"/>
    <mergeCell ref="E80:E83"/>
    <mergeCell ref="F80:F83"/>
    <mergeCell ref="G80:G83"/>
    <mergeCell ref="P72:P75"/>
    <mergeCell ref="B76:B79"/>
    <mergeCell ref="C76:C79"/>
    <mergeCell ref="D76:D79"/>
    <mergeCell ref="E76:E79"/>
    <mergeCell ref="F76:F79"/>
    <mergeCell ref="G76:G79"/>
    <mergeCell ref="P76:P79"/>
    <mergeCell ref="B72:B75"/>
    <mergeCell ref="C72:C75"/>
    <mergeCell ref="D72:D75"/>
    <mergeCell ref="E72:E75"/>
    <mergeCell ref="F72:F75"/>
    <mergeCell ref="G72:G75"/>
    <mergeCell ref="P64:P67"/>
    <mergeCell ref="B68:B71"/>
    <mergeCell ref="C68:C71"/>
    <mergeCell ref="D68:D71"/>
    <mergeCell ref="E68:E71"/>
    <mergeCell ref="F68:F71"/>
    <mergeCell ref="G68:G71"/>
    <mergeCell ref="P68:P71"/>
    <mergeCell ref="B64:B67"/>
    <mergeCell ref="C64:C67"/>
    <mergeCell ref="D64:D67"/>
    <mergeCell ref="E64:E67"/>
    <mergeCell ref="F64:F67"/>
    <mergeCell ref="G64:G67"/>
    <mergeCell ref="P56:P59"/>
    <mergeCell ref="B60:B63"/>
    <mergeCell ref="C60:C63"/>
    <mergeCell ref="D60:D63"/>
    <mergeCell ref="E60:E63"/>
    <mergeCell ref="F60:F63"/>
    <mergeCell ref="G60:G63"/>
    <mergeCell ref="P60:P63"/>
    <mergeCell ref="B56:B59"/>
    <mergeCell ref="C56:C59"/>
    <mergeCell ref="D56:D59"/>
    <mergeCell ref="E56:E59"/>
    <mergeCell ref="F56:F59"/>
    <mergeCell ref="G56:G59"/>
    <mergeCell ref="P48:P51"/>
    <mergeCell ref="B52:B55"/>
    <mergeCell ref="C52:C55"/>
    <mergeCell ref="D52:D55"/>
    <mergeCell ref="E52:E55"/>
    <mergeCell ref="F52:F55"/>
    <mergeCell ref="G52:G55"/>
    <mergeCell ref="P52:P55"/>
    <mergeCell ref="B48:B51"/>
    <mergeCell ref="C48:C51"/>
    <mergeCell ref="D48:D51"/>
    <mergeCell ref="E48:E51"/>
    <mergeCell ref="F48:F51"/>
    <mergeCell ref="G48:G51"/>
    <mergeCell ref="P40:P43"/>
    <mergeCell ref="B44:B47"/>
    <mergeCell ref="C44:C47"/>
    <mergeCell ref="D44:D47"/>
    <mergeCell ref="E44:E47"/>
    <mergeCell ref="F44:F47"/>
    <mergeCell ref="G44:G47"/>
    <mergeCell ref="P44:P47"/>
    <mergeCell ref="B40:B43"/>
    <mergeCell ref="C40:C43"/>
    <mergeCell ref="D40:D43"/>
    <mergeCell ref="E40:E43"/>
    <mergeCell ref="F40:F43"/>
    <mergeCell ref="G40:G43"/>
    <mergeCell ref="P32:P35"/>
    <mergeCell ref="B36:B39"/>
    <mergeCell ref="C36:C39"/>
    <mergeCell ref="D36:D39"/>
    <mergeCell ref="E36:E39"/>
    <mergeCell ref="F36:F39"/>
    <mergeCell ref="G36:G39"/>
    <mergeCell ref="P36:P39"/>
    <mergeCell ref="B32:B35"/>
    <mergeCell ref="C32:C35"/>
    <mergeCell ref="D32:D35"/>
    <mergeCell ref="E32:E35"/>
    <mergeCell ref="F32:F35"/>
    <mergeCell ref="G32:G35"/>
    <mergeCell ref="P23:P26"/>
    <mergeCell ref="B27:P27"/>
    <mergeCell ref="B28:B31"/>
    <mergeCell ref="C28:C31"/>
    <mergeCell ref="D28:D31"/>
    <mergeCell ref="E28:E31"/>
    <mergeCell ref="F28:F31"/>
    <mergeCell ref="G28:G31"/>
    <mergeCell ref="P28:P31"/>
    <mergeCell ref="B23:B26"/>
    <mergeCell ref="C23:C26"/>
    <mergeCell ref="D23:D26"/>
    <mergeCell ref="E23:E26"/>
    <mergeCell ref="F23:F26"/>
    <mergeCell ref="G23:G26"/>
    <mergeCell ref="B18:P18"/>
    <mergeCell ref="B19:B22"/>
    <mergeCell ref="C19:C22"/>
    <mergeCell ref="D19:D22"/>
    <mergeCell ref="E19:E22"/>
    <mergeCell ref="F19:F22"/>
    <mergeCell ref="G19:G22"/>
    <mergeCell ref="P19:P22"/>
    <mergeCell ref="P10:P13"/>
    <mergeCell ref="B14:B17"/>
    <mergeCell ref="C14:C17"/>
    <mergeCell ref="D14:D17"/>
    <mergeCell ref="E14:E17"/>
    <mergeCell ref="F14:F17"/>
    <mergeCell ref="G14:G17"/>
    <mergeCell ref="P14:P17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220 A219:XFD219 A221:XFD1048576 C220:XFD220 I211:O218 I108:O111 I157:O160 I23:O26 I14:I17 J6:O17 I166:O169 A3:C4 E3:G4 I4:XFD4 P3:XFD3 A1:XFD2">
    <cfRule type="cellIs" dxfId="34" priority="6" operator="equal">
      <formula>0</formula>
    </cfRule>
  </conditionalFormatting>
  <conditionalFormatting sqref="B220">
    <cfRule type="cellIs" dxfId="33" priority="5" operator="equal">
      <formula>0</formula>
    </cfRule>
  </conditionalFormatting>
  <conditionalFormatting sqref="B161:B169">
    <cfRule type="duplicateValues" dxfId="32" priority="4"/>
  </conditionalFormatting>
  <conditionalFormatting sqref="D3:D4">
    <cfRule type="cellIs" dxfId="31" priority="3" operator="equal">
      <formula>0</formula>
    </cfRule>
  </conditionalFormatting>
  <conditionalFormatting sqref="H4">
    <cfRule type="cellIs" dxfId="30" priority="2" operator="equal">
      <formula>0</formula>
    </cfRule>
  </conditionalFormatting>
  <conditionalFormatting sqref="H3:O3">
    <cfRule type="cellIs" dxfId="29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E8286-6258-4575-9CA4-4CE6F9902253}">
  <sheetPr>
    <pageSetUpPr fitToPage="1"/>
  </sheetPr>
  <dimension ref="B1:R352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285156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8" width="9.5703125" style="2" bestFit="1" customWidth="1"/>
    <col min="19" max="16384" width="9.140625" style="2"/>
  </cols>
  <sheetData>
    <row r="1" spans="2:16" ht="21.75" customHeight="1" x14ac:dyDescent="0.25">
      <c r="B1" s="120" t="s">
        <v>1618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6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6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6" ht="25.5" customHeight="1" x14ac:dyDescent="0.2">
      <c r="B5" s="111" t="s">
        <v>90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42.75" outlineLevel="1" x14ac:dyDescent="0.2">
      <c r="B6" s="117" t="s">
        <v>1619</v>
      </c>
      <c r="C6" s="117" t="s">
        <v>1620</v>
      </c>
      <c r="D6" s="117" t="s">
        <v>1222</v>
      </c>
      <c r="E6" s="117">
        <v>2020</v>
      </c>
      <c r="F6" s="117"/>
      <c r="G6" s="117" t="s">
        <v>107</v>
      </c>
      <c r="H6" s="84" t="s">
        <v>3</v>
      </c>
      <c r="I6" s="83">
        <f t="shared" ref="I6:I17" si="0">SUM(J6:O6)</f>
        <v>118.1</v>
      </c>
      <c r="J6" s="83">
        <f t="shared" ref="J6:O6" si="1">J7+J8+J9</f>
        <v>118.1</v>
      </c>
      <c r="K6" s="83">
        <f t="shared" si="1"/>
        <v>0</v>
      </c>
      <c r="L6" s="83">
        <f t="shared" si="1"/>
        <v>0</v>
      </c>
      <c r="M6" s="83">
        <f t="shared" si="1"/>
        <v>0</v>
      </c>
      <c r="N6" s="83">
        <f t="shared" si="1"/>
        <v>0</v>
      </c>
      <c r="O6" s="83">
        <f t="shared" si="1"/>
        <v>0</v>
      </c>
      <c r="P6" s="117">
        <v>7000</v>
      </c>
    </row>
    <row r="7" spans="2:16" outlineLevel="1" x14ac:dyDescent="0.2">
      <c r="B7" s="118"/>
      <c r="C7" s="132"/>
      <c r="D7" s="118"/>
      <c r="E7" s="118"/>
      <c r="F7" s="118"/>
      <c r="G7" s="118"/>
      <c r="H7" s="84" t="s">
        <v>4</v>
      </c>
      <c r="I7" s="83">
        <f t="shared" si="0"/>
        <v>25</v>
      </c>
      <c r="J7" s="75">
        <v>25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118"/>
    </row>
    <row r="8" spans="2:16" outlineLevel="1" x14ac:dyDescent="0.2">
      <c r="B8" s="118"/>
      <c r="C8" s="132"/>
      <c r="D8" s="118"/>
      <c r="E8" s="118"/>
      <c r="F8" s="118"/>
      <c r="G8" s="118"/>
      <c r="H8" s="84" t="s">
        <v>6</v>
      </c>
      <c r="I8" s="83">
        <f t="shared" si="0"/>
        <v>93.1</v>
      </c>
      <c r="J8" s="75">
        <v>93.1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118"/>
    </row>
    <row r="9" spans="2:16" outlineLevel="1" x14ac:dyDescent="0.2">
      <c r="B9" s="119"/>
      <c r="C9" s="133"/>
      <c r="D9" s="119"/>
      <c r="E9" s="119"/>
      <c r="F9" s="119"/>
      <c r="G9" s="119"/>
      <c r="H9" s="84" t="s">
        <v>5</v>
      </c>
      <c r="I9" s="83">
        <f t="shared" si="0"/>
        <v>0</v>
      </c>
      <c r="J9" s="75"/>
      <c r="K9" s="75"/>
      <c r="L9" s="75"/>
      <c r="M9" s="75"/>
      <c r="N9" s="75"/>
      <c r="O9" s="75"/>
      <c r="P9" s="119"/>
    </row>
    <row r="10" spans="2:16" ht="42.75" outlineLevel="1" x14ac:dyDescent="0.2">
      <c r="B10" s="117" t="s">
        <v>1621</v>
      </c>
      <c r="C10" s="117"/>
      <c r="D10" s="117" t="s">
        <v>1222</v>
      </c>
      <c r="E10" s="117">
        <v>2024</v>
      </c>
      <c r="F10" s="117"/>
      <c r="G10" s="117" t="s">
        <v>1622</v>
      </c>
      <c r="H10" s="84" t="s">
        <v>3</v>
      </c>
      <c r="I10" s="83">
        <f t="shared" si="0"/>
        <v>35</v>
      </c>
      <c r="J10" s="83">
        <f t="shared" ref="J10:O10" si="2">J11+J12+J13</f>
        <v>0</v>
      </c>
      <c r="K10" s="83">
        <f t="shared" si="2"/>
        <v>0</v>
      </c>
      <c r="L10" s="83">
        <f t="shared" si="2"/>
        <v>0</v>
      </c>
      <c r="M10" s="83">
        <f t="shared" si="2"/>
        <v>0</v>
      </c>
      <c r="N10" s="83">
        <f t="shared" si="2"/>
        <v>35</v>
      </c>
      <c r="O10" s="83">
        <f t="shared" si="2"/>
        <v>0</v>
      </c>
      <c r="P10" s="117">
        <v>1500</v>
      </c>
    </row>
    <row r="11" spans="2:16" outlineLevel="1" x14ac:dyDescent="0.2">
      <c r="B11" s="118"/>
      <c r="C11" s="132"/>
      <c r="D11" s="118"/>
      <c r="E11" s="118"/>
      <c r="F11" s="118"/>
      <c r="G11" s="118"/>
      <c r="H11" s="84" t="s">
        <v>4</v>
      </c>
      <c r="I11" s="83">
        <f t="shared" si="0"/>
        <v>21</v>
      </c>
      <c r="J11" s="75"/>
      <c r="K11" s="83">
        <v>0</v>
      </c>
      <c r="L11" s="83">
        <v>0</v>
      </c>
      <c r="M11" s="83">
        <v>0</v>
      </c>
      <c r="N11" s="83">
        <v>21</v>
      </c>
      <c r="O11" s="83">
        <v>0</v>
      </c>
      <c r="P11" s="118"/>
    </row>
    <row r="12" spans="2:16" outlineLevel="1" x14ac:dyDescent="0.2">
      <c r="B12" s="118"/>
      <c r="C12" s="132"/>
      <c r="D12" s="118"/>
      <c r="E12" s="118"/>
      <c r="F12" s="118"/>
      <c r="G12" s="118"/>
      <c r="H12" s="84" t="s">
        <v>6</v>
      </c>
      <c r="I12" s="83">
        <f t="shared" si="0"/>
        <v>14</v>
      </c>
      <c r="J12" s="75"/>
      <c r="K12" s="83">
        <v>0</v>
      </c>
      <c r="L12" s="83">
        <v>0</v>
      </c>
      <c r="M12" s="83">
        <v>0</v>
      </c>
      <c r="N12" s="83">
        <v>14</v>
      </c>
      <c r="O12" s="83">
        <v>0</v>
      </c>
      <c r="P12" s="118"/>
    </row>
    <row r="13" spans="2:16" outlineLevel="1" x14ac:dyDescent="0.2">
      <c r="B13" s="119"/>
      <c r="C13" s="133"/>
      <c r="D13" s="119"/>
      <c r="E13" s="119"/>
      <c r="F13" s="119"/>
      <c r="G13" s="119"/>
      <c r="H13" s="84" t="s">
        <v>5</v>
      </c>
      <c r="I13" s="83">
        <f t="shared" si="0"/>
        <v>0</v>
      </c>
      <c r="J13" s="75"/>
      <c r="K13" s="75"/>
      <c r="L13" s="75"/>
      <c r="M13" s="75"/>
      <c r="N13" s="75"/>
      <c r="O13" s="75"/>
      <c r="P13" s="119"/>
    </row>
    <row r="14" spans="2:16" ht="42.75" outlineLevel="1" x14ac:dyDescent="0.2">
      <c r="B14" s="117" t="s">
        <v>1623</v>
      </c>
      <c r="C14" s="117"/>
      <c r="D14" s="117" t="s">
        <v>1222</v>
      </c>
      <c r="E14" s="117">
        <v>2024</v>
      </c>
      <c r="F14" s="117"/>
      <c r="G14" s="117" t="s">
        <v>1622</v>
      </c>
      <c r="H14" s="84" t="s">
        <v>3</v>
      </c>
      <c r="I14" s="83">
        <f t="shared" si="0"/>
        <v>60</v>
      </c>
      <c r="J14" s="83">
        <f t="shared" ref="J14:O14" si="3">J15+J16+J17</f>
        <v>0</v>
      </c>
      <c r="K14" s="83">
        <f t="shared" si="3"/>
        <v>0</v>
      </c>
      <c r="L14" s="83">
        <f t="shared" si="3"/>
        <v>0</v>
      </c>
      <c r="M14" s="83">
        <f t="shared" si="3"/>
        <v>0</v>
      </c>
      <c r="N14" s="83">
        <f t="shared" si="3"/>
        <v>60</v>
      </c>
      <c r="O14" s="83">
        <f t="shared" si="3"/>
        <v>0</v>
      </c>
      <c r="P14" s="117">
        <v>600</v>
      </c>
    </row>
    <row r="15" spans="2:16" outlineLevel="1" x14ac:dyDescent="0.2">
      <c r="B15" s="118"/>
      <c r="C15" s="132"/>
      <c r="D15" s="118"/>
      <c r="E15" s="118"/>
      <c r="F15" s="118"/>
      <c r="G15" s="118"/>
      <c r="H15" s="84" t="s">
        <v>4</v>
      </c>
      <c r="I15" s="83">
        <f t="shared" si="0"/>
        <v>36</v>
      </c>
      <c r="J15" s="75"/>
      <c r="K15" s="83">
        <v>0</v>
      </c>
      <c r="L15" s="83">
        <v>0</v>
      </c>
      <c r="M15" s="83">
        <v>0</v>
      </c>
      <c r="N15" s="83">
        <v>36</v>
      </c>
      <c r="O15" s="83">
        <v>0</v>
      </c>
      <c r="P15" s="118"/>
    </row>
    <row r="16" spans="2:16" outlineLevel="1" x14ac:dyDescent="0.2">
      <c r="B16" s="118"/>
      <c r="C16" s="132"/>
      <c r="D16" s="118"/>
      <c r="E16" s="118"/>
      <c r="F16" s="118"/>
      <c r="G16" s="118"/>
      <c r="H16" s="84" t="s">
        <v>6</v>
      </c>
      <c r="I16" s="83">
        <f t="shared" si="0"/>
        <v>24</v>
      </c>
      <c r="J16" s="75"/>
      <c r="K16" s="83">
        <v>0</v>
      </c>
      <c r="L16" s="83">
        <v>0</v>
      </c>
      <c r="M16" s="83">
        <v>0</v>
      </c>
      <c r="N16" s="83">
        <v>24</v>
      </c>
      <c r="O16" s="83">
        <v>0</v>
      </c>
      <c r="P16" s="118"/>
    </row>
    <row r="17" spans="2:17" outlineLevel="1" x14ac:dyDescent="0.2">
      <c r="B17" s="119"/>
      <c r="C17" s="133"/>
      <c r="D17" s="119"/>
      <c r="E17" s="119"/>
      <c r="F17" s="119"/>
      <c r="G17" s="119"/>
      <c r="H17" s="84" t="s">
        <v>5</v>
      </c>
      <c r="I17" s="83">
        <f t="shared" si="0"/>
        <v>0</v>
      </c>
      <c r="J17" s="75"/>
      <c r="K17" s="75"/>
      <c r="L17" s="75"/>
      <c r="M17" s="75"/>
      <c r="N17" s="75"/>
      <c r="O17" s="75"/>
      <c r="P17" s="119"/>
    </row>
    <row r="18" spans="2:17" ht="42.75" x14ac:dyDescent="0.2">
      <c r="B18" s="128" t="s">
        <v>110</v>
      </c>
      <c r="C18" s="128" t="s">
        <v>38</v>
      </c>
      <c r="D18" s="128" t="s">
        <v>38</v>
      </c>
      <c r="E18" s="128" t="s">
        <v>38</v>
      </c>
      <c r="F18" s="128" t="s">
        <v>38</v>
      </c>
      <c r="G18" s="128" t="s">
        <v>38</v>
      </c>
      <c r="H18" s="84" t="s">
        <v>3</v>
      </c>
      <c r="I18" s="14">
        <f>SUMIF($H$6:$H$17,"Объем*",I$6:I$17)</f>
        <v>213.1</v>
      </c>
      <c r="J18" s="14">
        <f t="shared" ref="J18:O18" si="4">SUMIF($H$6:$H$17,"Объем*",J$6:J$17)</f>
        <v>118.1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95</v>
      </c>
      <c r="O18" s="14">
        <f t="shared" si="4"/>
        <v>0</v>
      </c>
      <c r="P18" s="128"/>
      <c r="Q18" s="7"/>
    </row>
    <row r="19" spans="2:17" ht="15.75" x14ac:dyDescent="0.2">
      <c r="B19" s="129"/>
      <c r="C19" s="129"/>
      <c r="D19" s="129"/>
      <c r="E19" s="129"/>
      <c r="F19" s="129"/>
      <c r="G19" s="129"/>
      <c r="H19" s="84" t="s">
        <v>4</v>
      </c>
      <c r="I19" s="14">
        <f>SUMIF($H$6:$H$17,"фед*",I$6:I$17)</f>
        <v>82</v>
      </c>
      <c r="J19" s="14">
        <f t="shared" ref="J19:O19" si="5">SUMIF($H$6:$H$17,"фед*",J$6:J$17)</f>
        <v>25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5"/>
        <v>57</v>
      </c>
      <c r="O19" s="14">
        <f t="shared" si="5"/>
        <v>0</v>
      </c>
      <c r="P19" s="129"/>
    </row>
    <row r="20" spans="2:17" ht="15.75" x14ac:dyDescent="0.2">
      <c r="B20" s="129"/>
      <c r="C20" s="129"/>
      <c r="D20" s="129"/>
      <c r="E20" s="129"/>
      <c r="F20" s="129"/>
      <c r="G20" s="129"/>
      <c r="H20" s="84" t="s">
        <v>6</v>
      </c>
      <c r="I20" s="14">
        <f>SUMIF($H$6:$H$17,"конс*",I$6:I$17)</f>
        <v>131.1</v>
      </c>
      <c r="J20" s="14">
        <f t="shared" ref="J20:O20" si="6">SUMIF($H$6:$H$17,"конс*",J$6:J$17)</f>
        <v>93.1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38</v>
      </c>
      <c r="O20" s="14">
        <f t="shared" si="6"/>
        <v>0</v>
      </c>
      <c r="P20" s="129"/>
    </row>
    <row r="21" spans="2:17" ht="15.75" x14ac:dyDescent="0.2">
      <c r="B21" s="130"/>
      <c r="C21" s="130"/>
      <c r="D21" s="130"/>
      <c r="E21" s="130"/>
      <c r="F21" s="130"/>
      <c r="G21" s="130"/>
      <c r="H21" s="84" t="s">
        <v>5</v>
      </c>
      <c r="I21" s="14">
        <f>SUMIF($H$6:$H$17,"вне*",I$6:I$17)</f>
        <v>0</v>
      </c>
      <c r="J21" s="14">
        <f t="shared" ref="J21:O21" si="7">SUMIF($H$6:$H$17,"вне*",J$6:J$17)</f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7"/>
        <v>0</v>
      </c>
      <c r="O21" s="14">
        <f t="shared" si="7"/>
        <v>0</v>
      </c>
      <c r="P21" s="130"/>
    </row>
    <row r="22" spans="2:17" ht="25.5" customHeight="1" x14ac:dyDescent="0.2">
      <c r="B22" s="111" t="s">
        <v>32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</row>
    <row r="23" spans="2:17" ht="42.75" customHeight="1" outlineLevel="1" x14ac:dyDescent="0.2">
      <c r="B23" s="117" t="s">
        <v>1624</v>
      </c>
      <c r="C23" s="117"/>
      <c r="D23" s="117" t="s">
        <v>142</v>
      </c>
      <c r="E23" s="117">
        <v>2021</v>
      </c>
      <c r="F23" s="117">
        <v>300</v>
      </c>
      <c r="G23" s="117" t="s">
        <v>138</v>
      </c>
      <c r="H23" s="84" t="s">
        <v>3</v>
      </c>
      <c r="I23" s="83">
        <f t="shared" ref="I23:I26" si="8">SUM(J23:O23)</f>
        <v>17</v>
      </c>
      <c r="J23" s="83">
        <f t="shared" ref="J23:O23" si="9">J24+J25+J26</f>
        <v>0</v>
      </c>
      <c r="K23" s="83">
        <f t="shared" si="9"/>
        <v>17</v>
      </c>
      <c r="L23" s="83">
        <f t="shared" si="9"/>
        <v>0</v>
      </c>
      <c r="M23" s="83">
        <f t="shared" si="9"/>
        <v>0</v>
      </c>
      <c r="N23" s="83">
        <f t="shared" si="9"/>
        <v>0</v>
      </c>
      <c r="O23" s="83">
        <f t="shared" si="9"/>
        <v>0</v>
      </c>
      <c r="P23" s="117"/>
    </row>
    <row r="24" spans="2:17" outlineLevel="1" x14ac:dyDescent="0.2">
      <c r="B24" s="118"/>
      <c r="C24" s="132"/>
      <c r="D24" s="118"/>
      <c r="E24" s="118"/>
      <c r="F24" s="118"/>
      <c r="G24" s="118"/>
      <c r="H24" s="84" t="s">
        <v>4</v>
      </c>
      <c r="I24" s="83">
        <f t="shared" si="8"/>
        <v>0</v>
      </c>
      <c r="J24" s="83"/>
      <c r="K24" s="83"/>
      <c r="L24" s="75">
        <v>0</v>
      </c>
      <c r="M24" s="75">
        <v>0</v>
      </c>
      <c r="N24" s="75">
        <v>0</v>
      </c>
      <c r="O24" s="75">
        <v>0</v>
      </c>
      <c r="P24" s="118"/>
    </row>
    <row r="25" spans="2:17" outlineLevel="1" x14ac:dyDescent="0.2">
      <c r="B25" s="118"/>
      <c r="C25" s="132"/>
      <c r="D25" s="118"/>
      <c r="E25" s="118"/>
      <c r="F25" s="118"/>
      <c r="G25" s="118"/>
      <c r="H25" s="84" t="s">
        <v>6</v>
      </c>
      <c r="I25" s="83">
        <f t="shared" si="8"/>
        <v>17</v>
      </c>
      <c r="J25" s="83"/>
      <c r="K25" s="83">
        <v>17</v>
      </c>
      <c r="L25" s="75">
        <v>0</v>
      </c>
      <c r="M25" s="75">
        <v>0</v>
      </c>
      <c r="N25" s="75">
        <v>0</v>
      </c>
      <c r="O25" s="75">
        <v>0</v>
      </c>
      <c r="P25" s="118"/>
    </row>
    <row r="26" spans="2:17" outlineLevel="1" x14ac:dyDescent="0.2">
      <c r="B26" s="119"/>
      <c r="C26" s="133"/>
      <c r="D26" s="119"/>
      <c r="E26" s="119"/>
      <c r="F26" s="119"/>
      <c r="G26" s="119"/>
      <c r="H26" s="84" t="s">
        <v>5</v>
      </c>
      <c r="I26" s="83">
        <f t="shared" si="8"/>
        <v>0</v>
      </c>
      <c r="J26" s="83"/>
      <c r="K26" s="83"/>
      <c r="L26" s="83"/>
      <c r="M26" s="83"/>
      <c r="N26" s="83"/>
      <c r="O26" s="83"/>
      <c r="P26" s="119"/>
    </row>
    <row r="27" spans="2:17" ht="42.75" customHeight="1" outlineLevel="1" x14ac:dyDescent="0.2">
      <c r="B27" s="117" t="s">
        <v>1625</v>
      </c>
      <c r="C27" s="117"/>
      <c r="D27" s="178" t="s">
        <v>1626</v>
      </c>
      <c r="E27" s="117">
        <v>2022</v>
      </c>
      <c r="F27" s="117"/>
      <c r="G27" s="117" t="s">
        <v>138</v>
      </c>
      <c r="H27" s="84" t="s">
        <v>3</v>
      </c>
      <c r="I27" s="83">
        <f>SUM(J27:O27)</f>
        <v>40</v>
      </c>
      <c r="J27" s="83">
        <f t="shared" ref="J27:O27" si="10">J28+J29+J30</f>
        <v>0</v>
      </c>
      <c r="K27" s="83">
        <f t="shared" si="10"/>
        <v>0</v>
      </c>
      <c r="L27" s="83">
        <f t="shared" si="10"/>
        <v>40</v>
      </c>
      <c r="M27" s="83">
        <f t="shared" si="10"/>
        <v>0</v>
      </c>
      <c r="N27" s="83">
        <f t="shared" si="10"/>
        <v>0</v>
      </c>
      <c r="O27" s="83">
        <f t="shared" si="10"/>
        <v>0</v>
      </c>
      <c r="P27" s="117"/>
    </row>
    <row r="28" spans="2:17" outlineLevel="1" x14ac:dyDescent="0.2">
      <c r="B28" s="118"/>
      <c r="C28" s="132"/>
      <c r="D28" s="178"/>
      <c r="E28" s="118"/>
      <c r="F28" s="118"/>
      <c r="G28" s="118"/>
      <c r="H28" s="84" t="s">
        <v>4</v>
      </c>
      <c r="I28" s="83"/>
      <c r="J28" s="83"/>
      <c r="K28" s="83"/>
      <c r="L28" s="75">
        <v>0</v>
      </c>
      <c r="M28" s="75">
        <v>0</v>
      </c>
      <c r="N28" s="75">
        <v>0</v>
      </c>
      <c r="O28" s="75">
        <v>0</v>
      </c>
      <c r="P28" s="118"/>
    </row>
    <row r="29" spans="2:17" outlineLevel="1" x14ac:dyDescent="0.2">
      <c r="B29" s="118"/>
      <c r="C29" s="132"/>
      <c r="D29" s="178"/>
      <c r="E29" s="118"/>
      <c r="F29" s="118"/>
      <c r="G29" s="118"/>
      <c r="H29" s="84" t="s">
        <v>6</v>
      </c>
      <c r="I29" s="83">
        <f>SUM(J29:O29)</f>
        <v>40</v>
      </c>
      <c r="J29" s="83"/>
      <c r="K29" s="83"/>
      <c r="L29" s="75">
        <v>40</v>
      </c>
      <c r="M29" s="75">
        <v>0</v>
      </c>
      <c r="N29" s="75">
        <v>0</v>
      </c>
      <c r="O29" s="75">
        <v>0</v>
      </c>
      <c r="P29" s="118"/>
    </row>
    <row r="30" spans="2:17" outlineLevel="1" x14ac:dyDescent="0.2">
      <c r="B30" s="119"/>
      <c r="C30" s="133"/>
      <c r="D30" s="178"/>
      <c r="E30" s="119"/>
      <c r="F30" s="119"/>
      <c r="G30" s="119"/>
      <c r="H30" s="84" t="s">
        <v>5</v>
      </c>
      <c r="I30" s="83"/>
      <c r="J30" s="83"/>
      <c r="K30" s="83"/>
      <c r="L30" s="83"/>
      <c r="M30" s="83"/>
      <c r="N30" s="83"/>
      <c r="O30" s="83"/>
      <c r="P30" s="119"/>
    </row>
    <row r="31" spans="2:17" ht="42.75" customHeight="1" outlineLevel="1" x14ac:dyDescent="0.2">
      <c r="B31" s="117" t="s">
        <v>1627</v>
      </c>
      <c r="C31" s="117"/>
      <c r="D31" s="117" t="s">
        <v>1628</v>
      </c>
      <c r="E31" s="117">
        <v>2021</v>
      </c>
      <c r="F31" s="117"/>
      <c r="G31" s="117" t="s">
        <v>138</v>
      </c>
      <c r="H31" s="84" t="s">
        <v>3</v>
      </c>
      <c r="I31" s="83">
        <f>SUM(J31:O31)</f>
        <v>96</v>
      </c>
      <c r="J31" s="83">
        <f t="shared" ref="J31:O31" si="11">J32+J33+J34</f>
        <v>0</v>
      </c>
      <c r="K31" s="83">
        <f t="shared" si="11"/>
        <v>96</v>
      </c>
      <c r="L31" s="83">
        <f t="shared" si="11"/>
        <v>0</v>
      </c>
      <c r="M31" s="83">
        <f t="shared" si="11"/>
        <v>0</v>
      </c>
      <c r="N31" s="83">
        <f t="shared" si="11"/>
        <v>0</v>
      </c>
      <c r="O31" s="83">
        <f t="shared" si="11"/>
        <v>0</v>
      </c>
      <c r="P31" s="117">
        <v>5714</v>
      </c>
    </row>
    <row r="32" spans="2:17" outlineLevel="1" x14ac:dyDescent="0.2">
      <c r="B32" s="118"/>
      <c r="C32" s="132"/>
      <c r="D32" s="118"/>
      <c r="E32" s="118"/>
      <c r="F32" s="118"/>
      <c r="G32" s="118"/>
      <c r="H32" s="84" t="s">
        <v>4</v>
      </c>
      <c r="I32" s="83">
        <f>SUM(J32:O32)</f>
        <v>95.04</v>
      </c>
      <c r="J32" s="83"/>
      <c r="K32" s="83">
        <v>95.04</v>
      </c>
      <c r="L32" s="75"/>
      <c r="M32" s="75">
        <v>0</v>
      </c>
      <c r="N32" s="75">
        <v>0</v>
      </c>
      <c r="O32" s="75">
        <v>0</v>
      </c>
      <c r="P32" s="118"/>
    </row>
    <row r="33" spans="2:16" outlineLevel="1" x14ac:dyDescent="0.2">
      <c r="B33" s="118"/>
      <c r="C33" s="132"/>
      <c r="D33" s="118"/>
      <c r="E33" s="118"/>
      <c r="F33" s="118"/>
      <c r="G33" s="118"/>
      <c r="H33" s="84" t="s">
        <v>6</v>
      </c>
      <c r="I33" s="83">
        <f>SUM(J33:O33)</f>
        <v>0.96</v>
      </c>
      <c r="J33" s="83"/>
      <c r="K33" s="83">
        <v>0.96</v>
      </c>
      <c r="L33" s="75"/>
      <c r="M33" s="75">
        <v>0</v>
      </c>
      <c r="N33" s="75">
        <v>0</v>
      </c>
      <c r="O33" s="75">
        <v>0</v>
      </c>
      <c r="P33" s="118"/>
    </row>
    <row r="34" spans="2:16" outlineLevel="1" x14ac:dyDescent="0.2">
      <c r="B34" s="119"/>
      <c r="C34" s="133"/>
      <c r="D34" s="119"/>
      <c r="E34" s="119"/>
      <c r="F34" s="119"/>
      <c r="G34" s="119"/>
      <c r="H34" s="84" t="s">
        <v>5</v>
      </c>
      <c r="I34" s="83"/>
      <c r="J34" s="83"/>
      <c r="K34" s="83"/>
      <c r="L34" s="83"/>
      <c r="M34" s="83"/>
      <c r="N34" s="83"/>
      <c r="O34" s="83"/>
      <c r="P34" s="119"/>
    </row>
    <row r="35" spans="2:16" ht="42.75" customHeight="1" outlineLevel="1" x14ac:dyDescent="0.2">
      <c r="B35" s="117" t="s">
        <v>1629</v>
      </c>
      <c r="C35" s="117"/>
      <c r="D35" s="117" t="s">
        <v>1630</v>
      </c>
      <c r="E35" s="117">
        <v>2022</v>
      </c>
      <c r="F35" s="117"/>
      <c r="G35" s="117" t="s">
        <v>138</v>
      </c>
      <c r="H35" s="84" t="s">
        <v>3</v>
      </c>
      <c r="I35" s="83">
        <f>SUM(J35:O35)</f>
        <v>30.4</v>
      </c>
      <c r="J35" s="83">
        <f t="shared" ref="J35:O35" si="12">J36+J37+J38</f>
        <v>0</v>
      </c>
      <c r="K35" s="83">
        <f t="shared" si="12"/>
        <v>0</v>
      </c>
      <c r="L35" s="83">
        <f t="shared" si="12"/>
        <v>0</v>
      </c>
      <c r="M35" s="83">
        <f t="shared" si="12"/>
        <v>30.4</v>
      </c>
      <c r="N35" s="83">
        <f t="shared" si="12"/>
        <v>0</v>
      </c>
      <c r="O35" s="83">
        <f t="shared" si="12"/>
        <v>0</v>
      </c>
      <c r="P35" s="117">
        <v>1480</v>
      </c>
    </row>
    <row r="36" spans="2:16" outlineLevel="1" x14ac:dyDescent="0.2">
      <c r="B36" s="118"/>
      <c r="C36" s="132"/>
      <c r="D36" s="118"/>
      <c r="E36" s="118"/>
      <c r="F36" s="118"/>
      <c r="G36" s="118"/>
      <c r="H36" s="84" t="s">
        <v>4</v>
      </c>
      <c r="I36" s="83"/>
      <c r="J36" s="83"/>
      <c r="K36" s="83"/>
      <c r="L36" s="75"/>
      <c r="M36" s="75">
        <v>0</v>
      </c>
      <c r="N36" s="75">
        <v>0</v>
      </c>
      <c r="O36" s="75">
        <v>0</v>
      </c>
      <c r="P36" s="118"/>
    </row>
    <row r="37" spans="2:16" outlineLevel="1" x14ac:dyDescent="0.2">
      <c r="B37" s="118"/>
      <c r="C37" s="132"/>
      <c r="D37" s="118"/>
      <c r="E37" s="118"/>
      <c r="F37" s="118"/>
      <c r="G37" s="118"/>
      <c r="H37" s="84" t="s">
        <v>6</v>
      </c>
      <c r="I37" s="83">
        <f>SUM(J37:O37)</f>
        <v>30.4</v>
      </c>
      <c r="J37" s="83"/>
      <c r="K37" s="83"/>
      <c r="L37" s="75"/>
      <c r="M37" s="75">
        <v>30.4</v>
      </c>
      <c r="N37" s="75">
        <v>0</v>
      </c>
      <c r="O37" s="75">
        <v>0</v>
      </c>
      <c r="P37" s="118"/>
    </row>
    <row r="38" spans="2:16" outlineLevel="1" x14ac:dyDescent="0.2">
      <c r="B38" s="119"/>
      <c r="C38" s="133"/>
      <c r="D38" s="119"/>
      <c r="E38" s="119"/>
      <c r="F38" s="119"/>
      <c r="G38" s="119"/>
      <c r="H38" s="84" t="s">
        <v>5</v>
      </c>
      <c r="I38" s="83"/>
      <c r="J38" s="83"/>
      <c r="K38" s="83"/>
      <c r="L38" s="83"/>
      <c r="M38" s="83"/>
      <c r="N38" s="83"/>
      <c r="O38" s="83"/>
      <c r="P38" s="119"/>
    </row>
    <row r="39" spans="2:16" ht="42.75" customHeight="1" outlineLevel="1" x14ac:dyDescent="0.2">
      <c r="B39" s="117" t="s">
        <v>1631</v>
      </c>
      <c r="C39" s="117"/>
      <c r="D39" s="117" t="s">
        <v>1632</v>
      </c>
      <c r="E39" s="117">
        <v>2023</v>
      </c>
      <c r="F39" s="117"/>
      <c r="G39" s="117" t="s">
        <v>138</v>
      </c>
      <c r="H39" s="84" t="s">
        <v>3</v>
      </c>
      <c r="I39" s="83">
        <f>SUM(J39:O39)</f>
        <v>30.4</v>
      </c>
      <c r="J39" s="83">
        <f t="shared" ref="J39:O39" si="13">J40+J41+J42</f>
        <v>0</v>
      </c>
      <c r="K39" s="83">
        <f t="shared" si="13"/>
        <v>0</v>
      </c>
      <c r="L39" s="83">
        <f t="shared" si="13"/>
        <v>0</v>
      </c>
      <c r="M39" s="83">
        <f t="shared" si="13"/>
        <v>0</v>
      </c>
      <c r="N39" s="83">
        <f t="shared" si="13"/>
        <v>30.4</v>
      </c>
      <c r="O39" s="83">
        <f t="shared" si="13"/>
        <v>0</v>
      </c>
      <c r="P39" s="117">
        <v>2068</v>
      </c>
    </row>
    <row r="40" spans="2:16" outlineLevel="1" x14ac:dyDescent="0.2">
      <c r="B40" s="118"/>
      <c r="C40" s="132"/>
      <c r="D40" s="118"/>
      <c r="E40" s="118"/>
      <c r="F40" s="118"/>
      <c r="G40" s="118"/>
      <c r="H40" s="84" t="s">
        <v>4</v>
      </c>
      <c r="I40" s="83">
        <f>SUM(J40:O40)</f>
        <v>0</v>
      </c>
      <c r="J40" s="83"/>
      <c r="K40" s="83"/>
      <c r="L40" s="75"/>
      <c r="M40" s="75">
        <v>0</v>
      </c>
      <c r="N40" s="75">
        <v>0</v>
      </c>
      <c r="O40" s="75">
        <v>0</v>
      </c>
      <c r="P40" s="118"/>
    </row>
    <row r="41" spans="2:16" outlineLevel="1" x14ac:dyDescent="0.2">
      <c r="B41" s="118"/>
      <c r="C41" s="132"/>
      <c r="D41" s="118"/>
      <c r="E41" s="118"/>
      <c r="F41" s="118"/>
      <c r="G41" s="118"/>
      <c r="H41" s="84" t="s">
        <v>6</v>
      </c>
      <c r="I41" s="83">
        <f>SUM(J41:O41)</f>
        <v>30.4</v>
      </c>
      <c r="J41" s="83"/>
      <c r="K41" s="83"/>
      <c r="L41" s="75"/>
      <c r="M41" s="75">
        <v>0</v>
      </c>
      <c r="N41" s="75">
        <v>30.4</v>
      </c>
      <c r="O41" s="75">
        <v>0</v>
      </c>
      <c r="P41" s="118"/>
    </row>
    <row r="42" spans="2:16" outlineLevel="1" x14ac:dyDescent="0.2">
      <c r="B42" s="119"/>
      <c r="C42" s="133"/>
      <c r="D42" s="119"/>
      <c r="E42" s="119"/>
      <c r="F42" s="119"/>
      <c r="G42" s="119"/>
      <c r="H42" s="84" t="s">
        <v>5</v>
      </c>
      <c r="I42" s="83"/>
      <c r="J42" s="83"/>
      <c r="K42" s="83"/>
      <c r="L42" s="83"/>
      <c r="M42" s="83"/>
      <c r="N42" s="83"/>
      <c r="O42" s="83"/>
      <c r="P42" s="119"/>
    </row>
    <row r="43" spans="2:16" ht="42.75" customHeight="1" outlineLevel="1" x14ac:dyDescent="0.2">
      <c r="B43" s="117" t="s">
        <v>1633</v>
      </c>
      <c r="C43" s="117"/>
      <c r="D43" s="178" t="s">
        <v>1634</v>
      </c>
      <c r="E43" s="117">
        <v>2025</v>
      </c>
      <c r="F43" s="117"/>
      <c r="G43" s="117" t="s">
        <v>138</v>
      </c>
      <c r="H43" s="84" t="s">
        <v>3</v>
      </c>
      <c r="I43" s="83">
        <f>SUM(J43:O43)</f>
        <v>4</v>
      </c>
      <c r="J43" s="83">
        <f t="shared" ref="J43:O43" si="14">J44+J45+J46</f>
        <v>0</v>
      </c>
      <c r="K43" s="83">
        <f t="shared" si="14"/>
        <v>0</v>
      </c>
      <c r="L43" s="83">
        <f t="shared" si="14"/>
        <v>0</v>
      </c>
      <c r="M43" s="83">
        <f t="shared" si="14"/>
        <v>0</v>
      </c>
      <c r="N43" s="83">
        <f t="shared" si="14"/>
        <v>0</v>
      </c>
      <c r="O43" s="83">
        <f t="shared" si="14"/>
        <v>4</v>
      </c>
      <c r="P43" s="117">
        <v>1570</v>
      </c>
    </row>
    <row r="44" spans="2:16" outlineLevel="1" x14ac:dyDescent="0.2">
      <c r="B44" s="118"/>
      <c r="C44" s="132"/>
      <c r="D44" s="178"/>
      <c r="E44" s="118"/>
      <c r="F44" s="118"/>
      <c r="G44" s="118"/>
      <c r="H44" s="84" t="s">
        <v>4</v>
      </c>
      <c r="I44" s="83"/>
      <c r="J44" s="83"/>
      <c r="K44" s="83"/>
      <c r="L44" s="75">
        <v>0</v>
      </c>
      <c r="M44" s="75">
        <v>0</v>
      </c>
      <c r="N44" s="75">
        <v>0</v>
      </c>
      <c r="O44" s="75">
        <v>0</v>
      </c>
      <c r="P44" s="118"/>
    </row>
    <row r="45" spans="2:16" outlineLevel="1" x14ac:dyDescent="0.2">
      <c r="B45" s="118"/>
      <c r="C45" s="132"/>
      <c r="D45" s="178"/>
      <c r="E45" s="118"/>
      <c r="F45" s="118"/>
      <c r="G45" s="118"/>
      <c r="H45" s="84" t="s">
        <v>6</v>
      </c>
      <c r="I45" s="83">
        <f>SUM(J45:O45)</f>
        <v>4</v>
      </c>
      <c r="J45" s="83"/>
      <c r="K45" s="83"/>
      <c r="L45" s="75"/>
      <c r="M45" s="75">
        <v>0</v>
      </c>
      <c r="N45" s="75">
        <v>0</v>
      </c>
      <c r="O45" s="75">
        <v>4</v>
      </c>
      <c r="P45" s="118"/>
    </row>
    <row r="46" spans="2:16" outlineLevel="1" x14ac:dyDescent="0.2">
      <c r="B46" s="119"/>
      <c r="C46" s="133"/>
      <c r="D46" s="178"/>
      <c r="E46" s="119"/>
      <c r="F46" s="119"/>
      <c r="G46" s="119"/>
      <c r="H46" s="84" t="s">
        <v>5</v>
      </c>
      <c r="I46" s="83"/>
      <c r="J46" s="83"/>
      <c r="K46" s="83"/>
      <c r="L46" s="83"/>
      <c r="M46" s="83"/>
      <c r="N46" s="83"/>
      <c r="O46" s="83"/>
      <c r="P46" s="119"/>
    </row>
    <row r="47" spans="2:16" ht="42.75" customHeight="1" outlineLevel="1" x14ac:dyDescent="0.2">
      <c r="B47" s="117" t="s">
        <v>1635</v>
      </c>
      <c r="C47" s="117"/>
      <c r="D47" s="117" t="s">
        <v>1636</v>
      </c>
      <c r="E47" s="117">
        <v>2026</v>
      </c>
      <c r="F47" s="117"/>
      <c r="G47" s="117" t="s">
        <v>138</v>
      </c>
      <c r="H47" s="84" t="s">
        <v>3</v>
      </c>
      <c r="I47" s="83">
        <f>SUM(J47:O47)</f>
        <v>96</v>
      </c>
      <c r="J47" s="83">
        <f t="shared" ref="J47:O47" si="15">J48+J49+J50</f>
        <v>0</v>
      </c>
      <c r="K47" s="83">
        <f t="shared" si="15"/>
        <v>96</v>
      </c>
      <c r="L47" s="83">
        <f t="shared" si="15"/>
        <v>0</v>
      </c>
      <c r="M47" s="83">
        <f t="shared" si="15"/>
        <v>0</v>
      </c>
      <c r="N47" s="83">
        <f t="shared" si="15"/>
        <v>0</v>
      </c>
      <c r="O47" s="83">
        <f t="shared" si="15"/>
        <v>0</v>
      </c>
      <c r="P47" s="117">
        <v>2510</v>
      </c>
    </row>
    <row r="48" spans="2:16" outlineLevel="1" x14ac:dyDescent="0.2">
      <c r="B48" s="118"/>
      <c r="C48" s="132"/>
      <c r="D48" s="118"/>
      <c r="E48" s="118"/>
      <c r="F48" s="118"/>
      <c r="G48" s="118"/>
      <c r="H48" s="84" t="s">
        <v>4</v>
      </c>
      <c r="I48" s="83">
        <f>SUM(J48:O48)</f>
        <v>95.04</v>
      </c>
      <c r="J48" s="83"/>
      <c r="K48" s="83">
        <v>95.04</v>
      </c>
      <c r="L48" s="75"/>
      <c r="M48" s="75">
        <v>0</v>
      </c>
      <c r="N48" s="75">
        <v>0</v>
      </c>
      <c r="O48" s="75">
        <v>0</v>
      </c>
      <c r="P48" s="118"/>
    </row>
    <row r="49" spans="2:17" outlineLevel="1" x14ac:dyDescent="0.2">
      <c r="B49" s="118"/>
      <c r="C49" s="132"/>
      <c r="D49" s="118"/>
      <c r="E49" s="118"/>
      <c r="F49" s="118"/>
      <c r="G49" s="118"/>
      <c r="H49" s="84" t="s">
        <v>6</v>
      </c>
      <c r="I49" s="83">
        <f>SUM(J49:O49)</f>
        <v>0.96</v>
      </c>
      <c r="J49" s="83"/>
      <c r="K49" s="83">
        <v>0.96</v>
      </c>
      <c r="L49" s="75"/>
      <c r="M49" s="75">
        <v>0</v>
      </c>
      <c r="N49" s="75">
        <v>0</v>
      </c>
      <c r="O49" s="75">
        <v>0</v>
      </c>
      <c r="P49" s="118"/>
    </row>
    <row r="50" spans="2:17" outlineLevel="1" x14ac:dyDescent="0.2">
      <c r="B50" s="119"/>
      <c r="C50" s="133"/>
      <c r="D50" s="119"/>
      <c r="E50" s="119"/>
      <c r="F50" s="119"/>
      <c r="G50" s="119"/>
      <c r="H50" s="84" t="s">
        <v>5</v>
      </c>
      <c r="I50" s="83"/>
      <c r="J50" s="83"/>
      <c r="K50" s="83"/>
      <c r="L50" s="83"/>
      <c r="M50" s="83"/>
      <c r="N50" s="83"/>
      <c r="O50" s="83"/>
      <c r="P50" s="119"/>
    </row>
    <row r="51" spans="2:17" ht="42.75" customHeight="1" outlineLevel="1" x14ac:dyDescent="0.2">
      <c r="B51" s="117" t="s">
        <v>1637</v>
      </c>
      <c r="C51" s="117"/>
      <c r="D51" s="117" t="s">
        <v>1638</v>
      </c>
      <c r="E51" s="117">
        <v>2024</v>
      </c>
      <c r="F51" s="117"/>
      <c r="G51" s="117" t="s">
        <v>138</v>
      </c>
      <c r="H51" s="84" t="s">
        <v>3</v>
      </c>
      <c r="I51" s="83">
        <f>SUM(J51:O51)</f>
        <v>30.4</v>
      </c>
      <c r="J51" s="83">
        <f t="shared" ref="J51:O51" si="16">J52+J53+J54</f>
        <v>0</v>
      </c>
      <c r="K51" s="83">
        <f t="shared" si="16"/>
        <v>0</v>
      </c>
      <c r="L51" s="83">
        <f t="shared" si="16"/>
        <v>0</v>
      </c>
      <c r="M51" s="83">
        <f t="shared" si="16"/>
        <v>30.4</v>
      </c>
      <c r="N51" s="83">
        <f t="shared" si="16"/>
        <v>0</v>
      </c>
      <c r="O51" s="83">
        <f t="shared" si="16"/>
        <v>0</v>
      </c>
      <c r="P51" s="117">
        <v>1585</v>
      </c>
    </row>
    <row r="52" spans="2:17" outlineLevel="1" x14ac:dyDescent="0.2">
      <c r="B52" s="118"/>
      <c r="C52" s="132"/>
      <c r="D52" s="118"/>
      <c r="E52" s="118"/>
      <c r="F52" s="118"/>
      <c r="G52" s="118"/>
      <c r="H52" s="84" t="s">
        <v>4</v>
      </c>
      <c r="I52" s="83"/>
      <c r="J52" s="83"/>
      <c r="K52" s="83"/>
      <c r="L52" s="75"/>
      <c r="M52" s="75">
        <v>0</v>
      </c>
      <c r="N52" s="75">
        <v>0</v>
      </c>
      <c r="O52" s="75">
        <v>0</v>
      </c>
      <c r="P52" s="118"/>
    </row>
    <row r="53" spans="2:17" outlineLevel="1" x14ac:dyDescent="0.2">
      <c r="B53" s="118"/>
      <c r="C53" s="132"/>
      <c r="D53" s="118"/>
      <c r="E53" s="118"/>
      <c r="F53" s="118"/>
      <c r="G53" s="118"/>
      <c r="H53" s="84" t="s">
        <v>6</v>
      </c>
      <c r="I53" s="83">
        <f>SUM(J53:O53)</f>
        <v>30.4</v>
      </c>
      <c r="J53" s="83"/>
      <c r="K53" s="83"/>
      <c r="L53" s="75"/>
      <c r="M53" s="75">
        <v>30.4</v>
      </c>
      <c r="N53" s="75">
        <v>0</v>
      </c>
      <c r="O53" s="75">
        <v>0</v>
      </c>
      <c r="P53" s="118"/>
    </row>
    <row r="54" spans="2:17" outlineLevel="1" x14ac:dyDescent="0.2">
      <c r="B54" s="119"/>
      <c r="C54" s="133"/>
      <c r="D54" s="119"/>
      <c r="E54" s="119"/>
      <c r="F54" s="119"/>
      <c r="G54" s="119"/>
      <c r="H54" s="84" t="s">
        <v>5</v>
      </c>
      <c r="I54" s="83"/>
      <c r="J54" s="83"/>
      <c r="K54" s="83"/>
      <c r="L54" s="83"/>
      <c r="M54" s="83"/>
      <c r="N54" s="83"/>
      <c r="O54" s="83"/>
      <c r="P54" s="119"/>
    </row>
    <row r="55" spans="2:17" ht="42.75" customHeight="1" outlineLevel="1" x14ac:dyDescent="0.2">
      <c r="B55" s="117" t="s">
        <v>1639</v>
      </c>
      <c r="C55" s="117"/>
      <c r="D55" s="117" t="s">
        <v>1640</v>
      </c>
      <c r="E55" s="117">
        <v>2024</v>
      </c>
      <c r="F55" s="117"/>
      <c r="G55" s="117" t="s">
        <v>138</v>
      </c>
      <c r="H55" s="84" t="s">
        <v>3</v>
      </c>
      <c r="I55" s="83">
        <f>SUM(J55:O55)</f>
        <v>30.4</v>
      </c>
      <c r="J55" s="83">
        <f t="shared" ref="J55:O55" si="17">J56+J57+J58</f>
        <v>0</v>
      </c>
      <c r="K55" s="83">
        <f t="shared" si="17"/>
        <v>0</v>
      </c>
      <c r="L55" s="83">
        <f t="shared" si="17"/>
        <v>0</v>
      </c>
      <c r="M55" s="83">
        <f t="shared" si="17"/>
        <v>0</v>
      </c>
      <c r="N55" s="83">
        <f t="shared" si="17"/>
        <v>30.4</v>
      </c>
      <c r="O55" s="83">
        <f t="shared" si="17"/>
        <v>0</v>
      </c>
      <c r="P55" s="117">
        <v>2316</v>
      </c>
    </row>
    <row r="56" spans="2:17" outlineLevel="1" x14ac:dyDescent="0.2">
      <c r="B56" s="118"/>
      <c r="C56" s="132"/>
      <c r="D56" s="118"/>
      <c r="E56" s="118"/>
      <c r="F56" s="118"/>
      <c r="G56" s="118"/>
      <c r="H56" s="84" t="s">
        <v>4</v>
      </c>
      <c r="I56" s="83">
        <f>SUM(J56:O56)</f>
        <v>0</v>
      </c>
      <c r="J56" s="83"/>
      <c r="K56" s="83"/>
      <c r="L56" s="75"/>
      <c r="M56" s="75">
        <v>0</v>
      </c>
      <c r="N56" s="75">
        <v>0</v>
      </c>
      <c r="O56" s="75">
        <v>0</v>
      </c>
      <c r="P56" s="118"/>
    </row>
    <row r="57" spans="2:17" outlineLevel="1" x14ac:dyDescent="0.2">
      <c r="B57" s="118"/>
      <c r="C57" s="132"/>
      <c r="D57" s="118"/>
      <c r="E57" s="118"/>
      <c r="F57" s="118"/>
      <c r="G57" s="118"/>
      <c r="H57" s="84" t="s">
        <v>6</v>
      </c>
      <c r="I57" s="83">
        <f>SUM(J57:O57)</f>
        <v>30.4</v>
      </c>
      <c r="J57" s="83"/>
      <c r="K57" s="83"/>
      <c r="L57" s="75"/>
      <c r="M57" s="75">
        <v>0</v>
      </c>
      <c r="N57" s="75">
        <v>30.4</v>
      </c>
      <c r="O57" s="75">
        <v>0</v>
      </c>
      <c r="P57" s="118"/>
    </row>
    <row r="58" spans="2:17" outlineLevel="1" x14ac:dyDescent="0.2">
      <c r="B58" s="119"/>
      <c r="C58" s="133"/>
      <c r="D58" s="119"/>
      <c r="E58" s="119"/>
      <c r="F58" s="119"/>
      <c r="G58" s="119"/>
      <c r="H58" s="84" t="s">
        <v>5</v>
      </c>
      <c r="I58" s="83"/>
      <c r="J58" s="83"/>
      <c r="K58" s="83"/>
      <c r="L58" s="83"/>
      <c r="M58" s="83"/>
      <c r="N58" s="83"/>
      <c r="O58" s="83"/>
      <c r="P58" s="119"/>
    </row>
    <row r="59" spans="2:17" ht="42.75" customHeight="1" outlineLevel="1" x14ac:dyDescent="0.2">
      <c r="B59" s="117" t="s">
        <v>1641</v>
      </c>
      <c r="C59" s="117"/>
      <c r="D59" s="117" t="s">
        <v>1238</v>
      </c>
      <c r="E59" s="117">
        <v>2023</v>
      </c>
      <c r="F59" s="117"/>
      <c r="G59" s="117" t="s">
        <v>138</v>
      </c>
      <c r="H59" s="84" t="s">
        <v>3</v>
      </c>
      <c r="I59" s="83">
        <f>SUM(J59:O59)</f>
        <v>30.4</v>
      </c>
      <c r="J59" s="83">
        <f t="shared" ref="J59:O59" si="18">J60+J61+J62</f>
        <v>0</v>
      </c>
      <c r="K59" s="83">
        <f t="shared" si="18"/>
        <v>0</v>
      </c>
      <c r="L59" s="83">
        <f t="shared" si="18"/>
        <v>30.4</v>
      </c>
      <c r="M59" s="83">
        <f t="shared" si="18"/>
        <v>0</v>
      </c>
      <c r="N59" s="83">
        <f t="shared" si="18"/>
        <v>0</v>
      </c>
      <c r="O59" s="83">
        <f t="shared" si="18"/>
        <v>0</v>
      </c>
      <c r="P59" s="117">
        <v>2316</v>
      </c>
    </row>
    <row r="60" spans="2:17" outlineLevel="1" x14ac:dyDescent="0.2">
      <c r="B60" s="118"/>
      <c r="C60" s="132"/>
      <c r="D60" s="118"/>
      <c r="E60" s="118"/>
      <c r="F60" s="118"/>
      <c r="G60" s="118"/>
      <c r="H60" s="84" t="s">
        <v>4</v>
      </c>
      <c r="I60" s="83"/>
      <c r="J60" s="83"/>
      <c r="K60" s="83"/>
      <c r="L60" s="75"/>
      <c r="M60" s="75">
        <v>0</v>
      </c>
      <c r="N60" s="75">
        <v>0</v>
      </c>
      <c r="O60" s="75">
        <v>0</v>
      </c>
      <c r="P60" s="118"/>
    </row>
    <row r="61" spans="2:17" outlineLevel="1" x14ac:dyDescent="0.2">
      <c r="B61" s="118"/>
      <c r="C61" s="132"/>
      <c r="D61" s="118"/>
      <c r="E61" s="118"/>
      <c r="F61" s="118"/>
      <c r="G61" s="118"/>
      <c r="H61" s="84" t="s">
        <v>6</v>
      </c>
      <c r="I61" s="83">
        <f>SUM(J61:O61)</f>
        <v>30.4</v>
      </c>
      <c r="J61" s="83"/>
      <c r="K61" s="83"/>
      <c r="L61" s="75">
        <v>30.4</v>
      </c>
      <c r="M61" s="75">
        <v>0</v>
      </c>
      <c r="N61" s="75">
        <v>0</v>
      </c>
      <c r="O61" s="75">
        <v>0</v>
      </c>
      <c r="P61" s="118"/>
    </row>
    <row r="62" spans="2:17" outlineLevel="1" x14ac:dyDescent="0.2">
      <c r="B62" s="119"/>
      <c r="C62" s="133"/>
      <c r="D62" s="119"/>
      <c r="E62" s="119"/>
      <c r="F62" s="119"/>
      <c r="G62" s="119"/>
      <c r="H62" s="84" t="s">
        <v>5</v>
      </c>
      <c r="I62" s="83"/>
      <c r="J62" s="83"/>
      <c r="K62" s="83"/>
      <c r="L62" s="83"/>
      <c r="M62" s="83"/>
      <c r="N62" s="83"/>
      <c r="O62" s="83"/>
      <c r="P62" s="119"/>
    </row>
    <row r="63" spans="2:17" ht="42.75" x14ac:dyDescent="0.2">
      <c r="B63" s="128" t="s">
        <v>37</v>
      </c>
      <c r="C63" s="128" t="s">
        <v>38</v>
      </c>
      <c r="D63" s="128" t="s">
        <v>38</v>
      </c>
      <c r="E63" s="128" t="s">
        <v>38</v>
      </c>
      <c r="F63" s="128" t="s">
        <v>38</v>
      </c>
      <c r="G63" s="128" t="s">
        <v>38</v>
      </c>
      <c r="H63" s="84" t="s">
        <v>3</v>
      </c>
      <c r="I63" s="14">
        <f t="shared" ref="I63:O63" si="19">SUMIF($H$23:$H$62,"Объем*",I$23:I$62)</f>
        <v>404.99999999999994</v>
      </c>
      <c r="J63" s="14">
        <f t="shared" si="19"/>
        <v>0</v>
      </c>
      <c r="K63" s="14">
        <f t="shared" si="19"/>
        <v>209</v>
      </c>
      <c r="L63" s="14">
        <f t="shared" si="19"/>
        <v>70.400000000000006</v>
      </c>
      <c r="M63" s="14">
        <f t="shared" si="19"/>
        <v>60.8</v>
      </c>
      <c r="N63" s="14">
        <f t="shared" si="19"/>
        <v>60.8</v>
      </c>
      <c r="O63" s="14">
        <f t="shared" si="19"/>
        <v>4</v>
      </c>
      <c r="P63" s="128"/>
      <c r="Q63" s="7"/>
    </row>
    <row r="64" spans="2:17" ht="15.75" x14ac:dyDescent="0.2">
      <c r="B64" s="129"/>
      <c r="C64" s="129"/>
      <c r="D64" s="129"/>
      <c r="E64" s="129"/>
      <c r="F64" s="129"/>
      <c r="G64" s="129"/>
      <c r="H64" s="84" t="s">
        <v>4</v>
      </c>
      <c r="I64" s="14">
        <f t="shared" ref="I64:O64" si="20">SUMIF($H$23:$H$62,"фед*",I$23:I$62)</f>
        <v>190.08</v>
      </c>
      <c r="J64" s="14">
        <f t="shared" si="20"/>
        <v>0</v>
      </c>
      <c r="K64" s="14">
        <f t="shared" si="20"/>
        <v>190.08</v>
      </c>
      <c r="L64" s="14">
        <f t="shared" si="20"/>
        <v>0</v>
      </c>
      <c r="M64" s="14">
        <f t="shared" si="20"/>
        <v>0</v>
      </c>
      <c r="N64" s="14">
        <f t="shared" si="20"/>
        <v>0</v>
      </c>
      <c r="O64" s="14">
        <f t="shared" si="20"/>
        <v>0</v>
      </c>
      <c r="P64" s="129"/>
    </row>
    <row r="65" spans="2:16" ht="15.75" x14ac:dyDescent="0.2">
      <c r="B65" s="129"/>
      <c r="C65" s="129"/>
      <c r="D65" s="129"/>
      <c r="E65" s="129"/>
      <c r="F65" s="129"/>
      <c r="G65" s="129"/>
      <c r="H65" s="84" t="s">
        <v>6</v>
      </c>
      <c r="I65" s="14">
        <f t="shared" ref="I65:O65" si="21">SUMIF($H$23:$H$62,"конс*",I$23:I$62)</f>
        <v>214.92</v>
      </c>
      <c r="J65" s="14">
        <f t="shared" si="21"/>
        <v>0</v>
      </c>
      <c r="K65" s="14">
        <f t="shared" si="21"/>
        <v>18.920000000000002</v>
      </c>
      <c r="L65" s="14">
        <f t="shared" si="21"/>
        <v>70.400000000000006</v>
      </c>
      <c r="M65" s="14">
        <f t="shared" si="21"/>
        <v>60.8</v>
      </c>
      <c r="N65" s="14">
        <f t="shared" si="21"/>
        <v>60.8</v>
      </c>
      <c r="O65" s="14">
        <f t="shared" si="21"/>
        <v>4</v>
      </c>
      <c r="P65" s="129"/>
    </row>
    <row r="66" spans="2:16" ht="15.75" x14ac:dyDescent="0.2">
      <c r="B66" s="130"/>
      <c r="C66" s="130"/>
      <c r="D66" s="130"/>
      <c r="E66" s="130"/>
      <c r="F66" s="130"/>
      <c r="G66" s="130"/>
      <c r="H66" s="84" t="s">
        <v>5</v>
      </c>
      <c r="I66" s="14">
        <f t="shared" ref="I66:O66" si="22">SUMIF($H$23:$H$62,"вне*",I$23:I$62)</f>
        <v>0</v>
      </c>
      <c r="J66" s="14">
        <f t="shared" si="22"/>
        <v>0</v>
      </c>
      <c r="K66" s="14">
        <f t="shared" si="22"/>
        <v>0</v>
      </c>
      <c r="L66" s="14">
        <f t="shared" si="22"/>
        <v>0</v>
      </c>
      <c r="M66" s="14">
        <f t="shared" si="22"/>
        <v>0</v>
      </c>
      <c r="N66" s="14">
        <f t="shared" si="22"/>
        <v>0</v>
      </c>
      <c r="O66" s="14">
        <f t="shared" si="22"/>
        <v>0</v>
      </c>
      <c r="P66" s="130"/>
    </row>
    <row r="67" spans="2:16" ht="25.5" customHeight="1" x14ac:dyDescent="0.2">
      <c r="B67" s="111" t="s">
        <v>39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3"/>
    </row>
    <row r="68" spans="2:16" ht="42.75" outlineLevel="1" x14ac:dyDescent="0.2">
      <c r="B68" s="178" t="s">
        <v>1642</v>
      </c>
      <c r="C68" s="178" t="s">
        <v>1643</v>
      </c>
      <c r="D68" s="178" t="s">
        <v>1644</v>
      </c>
      <c r="E68" s="178">
        <v>2022</v>
      </c>
      <c r="F68" s="178"/>
      <c r="G68" s="178" t="s">
        <v>138</v>
      </c>
      <c r="H68" s="84" t="s">
        <v>3</v>
      </c>
      <c r="I68" s="83">
        <f>SUM(J68:O68)</f>
        <v>75</v>
      </c>
      <c r="J68" s="83">
        <f t="shared" ref="J68:O68" si="23">SUM(J69:J71)</f>
        <v>0</v>
      </c>
      <c r="K68" s="83">
        <f t="shared" si="23"/>
        <v>0</v>
      </c>
      <c r="L68" s="83">
        <f t="shared" si="23"/>
        <v>75</v>
      </c>
      <c r="M68" s="83">
        <f t="shared" si="23"/>
        <v>0</v>
      </c>
      <c r="N68" s="83">
        <f t="shared" si="23"/>
        <v>0</v>
      </c>
      <c r="O68" s="83">
        <f t="shared" si="23"/>
        <v>0</v>
      </c>
      <c r="P68" s="178"/>
    </row>
    <row r="69" spans="2:16" outlineLevel="1" x14ac:dyDescent="0.2">
      <c r="B69" s="178"/>
      <c r="C69" s="143"/>
      <c r="D69" s="178"/>
      <c r="E69" s="178"/>
      <c r="F69" s="178"/>
      <c r="G69" s="178"/>
      <c r="H69" s="84" t="s">
        <v>4</v>
      </c>
      <c r="I69" s="83">
        <f t="shared" ref="I69:I83" si="24">SUM(J69:O69)</f>
        <v>0</v>
      </c>
      <c r="J69" s="75"/>
      <c r="K69" s="75"/>
      <c r="L69" s="75">
        <v>0</v>
      </c>
      <c r="M69" s="75">
        <v>0</v>
      </c>
      <c r="N69" s="75">
        <v>0</v>
      </c>
      <c r="O69" s="75">
        <v>0</v>
      </c>
      <c r="P69" s="178"/>
    </row>
    <row r="70" spans="2:16" outlineLevel="1" x14ac:dyDescent="0.2">
      <c r="B70" s="178"/>
      <c r="C70" s="143"/>
      <c r="D70" s="178"/>
      <c r="E70" s="178"/>
      <c r="F70" s="178"/>
      <c r="G70" s="178"/>
      <c r="H70" s="84" t="s">
        <v>6</v>
      </c>
      <c r="I70" s="83">
        <f t="shared" si="24"/>
        <v>75</v>
      </c>
      <c r="J70" s="75"/>
      <c r="K70" s="75"/>
      <c r="L70" s="75">
        <v>75</v>
      </c>
      <c r="M70" s="75">
        <v>0</v>
      </c>
      <c r="N70" s="75">
        <v>0</v>
      </c>
      <c r="O70" s="75">
        <v>0</v>
      </c>
      <c r="P70" s="178"/>
    </row>
    <row r="71" spans="2:16" outlineLevel="1" x14ac:dyDescent="0.2">
      <c r="B71" s="178"/>
      <c r="C71" s="143"/>
      <c r="D71" s="178"/>
      <c r="E71" s="178"/>
      <c r="F71" s="178"/>
      <c r="G71" s="178"/>
      <c r="H71" s="84" t="s">
        <v>5</v>
      </c>
      <c r="I71" s="83">
        <f t="shared" si="24"/>
        <v>0</v>
      </c>
      <c r="J71" s="75"/>
      <c r="K71" s="75"/>
      <c r="L71" s="75"/>
      <c r="M71" s="75"/>
      <c r="N71" s="75"/>
      <c r="O71" s="75"/>
      <c r="P71" s="178"/>
    </row>
    <row r="72" spans="2:16" ht="42.75" outlineLevel="1" x14ac:dyDescent="0.2">
      <c r="B72" s="178" t="s">
        <v>1645</v>
      </c>
      <c r="C72" s="178" t="s">
        <v>1643</v>
      </c>
      <c r="D72" s="178" t="s">
        <v>1644</v>
      </c>
      <c r="E72" s="178">
        <v>2022</v>
      </c>
      <c r="F72" s="178"/>
      <c r="G72" s="178" t="s">
        <v>138</v>
      </c>
      <c r="H72" s="84" t="s">
        <v>3</v>
      </c>
      <c r="I72" s="83">
        <f t="shared" si="24"/>
        <v>50</v>
      </c>
      <c r="J72" s="83">
        <f t="shared" ref="J72:O72" si="25">SUM(J73:J75)</f>
        <v>0</v>
      </c>
      <c r="K72" s="83">
        <f t="shared" si="25"/>
        <v>0</v>
      </c>
      <c r="L72" s="83">
        <f t="shared" si="25"/>
        <v>50</v>
      </c>
      <c r="M72" s="83">
        <f t="shared" si="25"/>
        <v>0</v>
      </c>
      <c r="N72" s="83">
        <f t="shared" si="25"/>
        <v>0</v>
      </c>
      <c r="O72" s="83">
        <f t="shared" si="25"/>
        <v>0</v>
      </c>
      <c r="P72" s="178"/>
    </row>
    <row r="73" spans="2:16" outlineLevel="1" x14ac:dyDescent="0.2">
      <c r="B73" s="178"/>
      <c r="C73" s="143"/>
      <c r="D73" s="178"/>
      <c r="E73" s="178"/>
      <c r="F73" s="178"/>
      <c r="G73" s="178"/>
      <c r="H73" s="84" t="s">
        <v>4</v>
      </c>
      <c r="I73" s="83">
        <f t="shared" si="24"/>
        <v>0</v>
      </c>
      <c r="J73" s="75"/>
      <c r="K73" s="75"/>
      <c r="L73" s="75"/>
      <c r="M73" s="75"/>
      <c r="N73" s="75"/>
      <c r="O73" s="75"/>
      <c r="P73" s="178"/>
    </row>
    <row r="74" spans="2:16" outlineLevel="1" x14ac:dyDescent="0.2">
      <c r="B74" s="178"/>
      <c r="C74" s="143"/>
      <c r="D74" s="178"/>
      <c r="E74" s="178"/>
      <c r="F74" s="178"/>
      <c r="G74" s="178"/>
      <c r="H74" s="84" t="s">
        <v>6</v>
      </c>
      <c r="I74" s="83">
        <f t="shared" si="24"/>
        <v>50</v>
      </c>
      <c r="J74" s="75"/>
      <c r="K74" s="75"/>
      <c r="L74" s="75">
        <v>50</v>
      </c>
      <c r="M74" s="75"/>
      <c r="N74" s="75"/>
      <c r="O74" s="75"/>
      <c r="P74" s="178"/>
    </row>
    <row r="75" spans="2:16" outlineLevel="1" x14ac:dyDescent="0.2">
      <c r="B75" s="178"/>
      <c r="C75" s="143"/>
      <c r="D75" s="178"/>
      <c r="E75" s="178"/>
      <c r="F75" s="178"/>
      <c r="G75" s="178"/>
      <c r="H75" s="84" t="s">
        <v>5</v>
      </c>
      <c r="I75" s="83">
        <f t="shared" si="24"/>
        <v>0</v>
      </c>
      <c r="J75" s="75"/>
      <c r="K75" s="75"/>
      <c r="L75" s="75"/>
      <c r="M75" s="75"/>
      <c r="N75" s="75"/>
      <c r="O75" s="75"/>
      <c r="P75" s="178"/>
    </row>
    <row r="76" spans="2:16" ht="42.75" outlineLevel="1" x14ac:dyDescent="0.2">
      <c r="B76" s="178" t="s">
        <v>1646</v>
      </c>
      <c r="C76" s="178" t="s">
        <v>1643</v>
      </c>
      <c r="D76" s="178" t="s">
        <v>1647</v>
      </c>
      <c r="E76" s="178">
        <v>2023</v>
      </c>
      <c r="F76" s="178"/>
      <c r="G76" s="178" t="s">
        <v>138</v>
      </c>
      <c r="H76" s="84" t="s">
        <v>3</v>
      </c>
      <c r="I76" s="83">
        <f t="shared" si="24"/>
        <v>35</v>
      </c>
      <c r="J76" s="83">
        <f t="shared" ref="J76:O76" si="26">SUM(J77:J79)</f>
        <v>0</v>
      </c>
      <c r="K76" s="83">
        <f t="shared" si="26"/>
        <v>0</v>
      </c>
      <c r="L76" s="83">
        <f t="shared" si="26"/>
        <v>0</v>
      </c>
      <c r="M76" s="83">
        <f t="shared" si="26"/>
        <v>35</v>
      </c>
      <c r="N76" s="83">
        <f t="shared" si="26"/>
        <v>0</v>
      </c>
      <c r="O76" s="83">
        <f t="shared" si="26"/>
        <v>0</v>
      </c>
      <c r="P76" s="178"/>
    </row>
    <row r="77" spans="2:16" outlineLevel="1" x14ac:dyDescent="0.2">
      <c r="B77" s="178"/>
      <c r="C77" s="143"/>
      <c r="D77" s="178"/>
      <c r="E77" s="178"/>
      <c r="F77" s="178"/>
      <c r="G77" s="178"/>
      <c r="H77" s="84" t="s">
        <v>4</v>
      </c>
      <c r="I77" s="83">
        <f t="shared" si="24"/>
        <v>0</v>
      </c>
      <c r="J77" s="75"/>
      <c r="K77" s="75"/>
      <c r="L77" s="75"/>
      <c r="M77" s="75"/>
      <c r="N77" s="75"/>
      <c r="O77" s="75"/>
      <c r="P77" s="178"/>
    </row>
    <row r="78" spans="2:16" outlineLevel="1" x14ac:dyDescent="0.2">
      <c r="B78" s="178"/>
      <c r="C78" s="143"/>
      <c r="D78" s="178"/>
      <c r="E78" s="178"/>
      <c r="F78" s="178"/>
      <c r="G78" s="178"/>
      <c r="H78" s="84" t="s">
        <v>6</v>
      </c>
      <c r="I78" s="83">
        <f t="shared" si="24"/>
        <v>35</v>
      </c>
      <c r="J78" s="75"/>
      <c r="K78" s="75"/>
      <c r="L78" s="75"/>
      <c r="M78" s="75">
        <v>35</v>
      </c>
      <c r="N78" s="75"/>
      <c r="O78" s="75"/>
      <c r="P78" s="178"/>
    </row>
    <row r="79" spans="2:16" outlineLevel="1" x14ac:dyDescent="0.2">
      <c r="B79" s="178"/>
      <c r="C79" s="143"/>
      <c r="D79" s="178"/>
      <c r="E79" s="178"/>
      <c r="F79" s="178"/>
      <c r="G79" s="178"/>
      <c r="H79" s="84" t="s">
        <v>5</v>
      </c>
      <c r="I79" s="83">
        <f t="shared" si="24"/>
        <v>0</v>
      </c>
      <c r="J79" s="75"/>
      <c r="K79" s="75"/>
      <c r="L79" s="75"/>
      <c r="M79" s="75"/>
      <c r="N79" s="75"/>
      <c r="O79" s="75"/>
      <c r="P79" s="178"/>
    </row>
    <row r="80" spans="2:16" ht="42.75" outlineLevel="1" x14ac:dyDescent="0.2">
      <c r="B80" s="178" t="s">
        <v>1648</v>
      </c>
      <c r="C80" s="178" t="s">
        <v>1643</v>
      </c>
      <c r="D80" s="178" t="s">
        <v>1649</v>
      </c>
      <c r="E80" s="178">
        <v>2022</v>
      </c>
      <c r="F80" s="178"/>
      <c r="G80" s="178" t="s">
        <v>138</v>
      </c>
      <c r="H80" s="84" t="s">
        <v>3</v>
      </c>
      <c r="I80" s="83">
        <f t="shared" si="24"/>
        <v>10</v>
      </c>
      <c r="J80" s="83">
        <f t="shared" ref="J80:O80" si="27">SUM(J81:J83)</f>
        <v>0</v>
      </c>
      <c r="K80" s="83">
        <f t="shared" si="27"/>
        <v>0</v>
      </c>
      <c r="L80" s="83">
        <f t="shared" si="27"/>
        <v>10</v>
      </c>
      <c r="M80" s="83">
        <f t="shared" si="27"/>
        <v>0</v>
      </c>
      <c r="N80" s="83">
        <f t="shared" si="27"/>
        <v>0</v>
      </c>
      <c r="O80" s="83">
        <f t="shared" si="27"/>
        <v>0</v>
      </c>
      <c r="P80" s="178"/>
    </row>
    <row r="81" spans="2:17" outlineLevel="1" x14ac:dyDescent="0.2">
      <c r="B81" s="178"/>
      <c r="C81" s="143"/>
      <c r="D81" s="178"/>
      <c r="E81" s="178"/>
      <c r="F81" s="178"/>
      <c r="G81" s="178"/>
      <c r="H81" s="84" t="s">
        <v>4</v>
      </c>
      <c r="I81" s="83">
        <f t="shared" si="24"/>
        <v>0</v>
      </c>
      <c r="J81" s="75"/>
      <c r="K81" s="75"/>
      <c r="L81" s="75"/>
      <c r="M81" s="75"/>
      <c r="N81" s="75"/>
      <c r="O81" s="75"/>
      <c r="P81" s="178"/>
    </row>
    <row r="82" spans="2:17" outlineLevel="1" x14ac:dyDescent="0.2">
      <c r="B82" s="178"/>
      <c r="C82" s="143"/>
      <c r="D82" s="178"/>
      <c r="E82" s="178"/>
      <c r="F82" s="178"/>
      <c r="G82" s="178"/>
      <c r="H82" s="84" t="s">
        <v>6</v>
      </c>
      <c r="I82" s="83">
        <f t="shared" si="24"/>
        <v>10</v>
      </c>
      <c r="J82" s="75"/>
      <c r="K82" s="75"/>
      <c r="L82" s="75">
        <v>10</v>
      </c>
      <c r="M82" s="75"/>
      <c r="N82" s="75"/>
      <c r="O82" s="75"/>
      <c r="P82" s="178"/>
    </row>
    <row r="83" spans="2:17" outlineLevel="1" x14ac:dyDescent="0.2">
      <c r="B83" s="178"/>
      <c r="C83" s="143"/>
      <c r="D83" s="178"/>
      <c r="E83" s="178"/>
      <c r="F83" s="178"/>
      <c r="G83" s="178"/>
      <c r="H83" s="84" t="s">
        <v>5</v>
      </c>
      <c r="I83" s="83">
        <f t="shared" si="24"/>
        <v>0</v>
      </c>
      <c r="J83" s="75"/>
      <c r="K83" s="75"/>
      <c r="L83" s="75"/>
      <c r="M83" s="75"/>
      <c r="N83" s="75"/>
      <c r="O83" s="75"/>
      <c r="P83" s="178"/>
    </row>
    <row r="84" spans="2:17" ht="42.75" x14ac:dyDescent="0.2">
      <c r="B84" s="128" t="s">
        <v>46</v>
      </c>
      <c r="C84" s="128" t="s">
        <v>38</v>
      </c>
      <c r="D84" s="128" t="s">
        <v>38</v>
      </c>
      <c r="E84" s="128" t="s">
        <v>38</v>
      </c>
      <c r="F84" s="128" t="s">
        <v>38</v>
      </c>
      <c r="G84" s="128" t="s">
        <v>38</v>
      </c>
      <c r="H84" s="84" t="s">
        <v>3</v>
      </c>
      <c r="I84" s="14">
        <f>SUMIF($H$68:$H$83,"Объем*",I$68:I$83)</f>
        <v>170</v>
      </c>
      <c r="J84" s="14">
        <f t="shared" ref="J84:O84" si="28">SUMIF($H$68:$H$83,"Объем*",J$68:J$83)</f>
        <v>0</v>
      </c>
      <c r="K84" s="14">
        <f t="shared" si="28"/>
        <v>0</v>
      </c>
      <c r="L84" s="14">
        <f t="shared" si="28"/>
        <v>135</v>
      </c>
      <c r="M84" s="14">
        <f t="shared" si="28"/>
        <v>35</v>
      </c>
      <c r="N84" s="14">
        <f t="shared" si="28"/>
        <v>0</v>
      </c>
      <c r="O84" s="14">
        <f t="shared" si="28"/>
        <v>0</v>
      </c>
      <c r="P84" s="128"/>
      <c r="Q84" s="7"/>
    </row>
    <row r="85" spans="2:17" ht="15.75" x14ac:dyDescent="0.2">
      <c r="B85" s="129"/>
      <c r="C85" s="129"/>
      <c r="D85" s="129"/>
      <c r="E85" s="129"/>
      <c r="F85" s="129"/>
      <c r="G85" s="129"/>
      <c r="H85" s="84" t="s">
        <v>4</v>
      </c>
      <c r="I85" s="14">
        <f>SUMIF($H$68:$H$83,"фед*",I$68:I$83)</f>
        <v>0</v>
      </c>
      <c r="J85" s="14">
        <f t="shared" ref="J85:O85" si="29">SUMIF($H$68:$H$83,"фед*",J$68:J$83)</f>
        <v>0</v>
      </c>
      <c r="K85" s="14">
        <f t="shared" si="29"/>
        <v>0</v>
      </c>
      <c r="L85" s="14">
        <f t="shared" si="29"/>
        <v>0</v>
      </c>
      <c r="M85" s="14">
        <f t="shared" si="29"/>
        <v>0</v>
      </c>
      <c r="N85" s="14">
        <f t="shared" si="29"/>
        <v>0</v>
      </c>
      <c r="O85" s="14">
        <f t="shared" si="29"/>
        <v>0</v>
      </c>
      <c r="P85" s="129"/>
    </row>
    <row r="86" spans="2:17" ht="15.75" x14ac:dyDescent="0.2">
      <c r="B86" s="129"/>
      <c r="C86" s="129"/>
      <c r="D86" s="129"/>
      <c r="E86" s="129"/>
      <c r="F86" s="129"/>
      <c r="G86" s="129"/>
      <c r="H86" s="84" t="s">
        <v>6</v>
      </c>
      <c r="I86" s="14">
        <f>SUMIF($H$68:$H$83,"конс*",I$68:I$83)</f>
        <v>170</v>
      </c>
      <c r="J86" s="14">
        <f t="shared" ref="J86:O86" si="30">SUMIF($H$68:$H$83,"конс*",J$68:J$83)</f>
        <v>0</v>
      </c>
      <c r="K86" s="14">
        <f t="shared" si="30"/>
        <v>0</v>
      </c>
      <c r="L86" s="14">
        <f t="shared" si="30"/>
        <v>135</v>
      </c>
      <c r="M86" s="14">
        <f t="shared" si="30"/>
        <v>35</v>
      </c>
      <c r="N86" s="14">
        <f t="shared" si="30"/>
        <v>0</v>
      </c>
      <c r="O86" s="14">
        <f t="shared" si="30"/>
        <v>0</v>
      </c>
      <c r="P86" s="129"/>
    </row>
    <row r="87" spans="2:17" ht="15.75" x14ac:dyDescent="0.2">
      <c r="B87" s="130"/>
      <c r="C87" s="130"/>
      <c r="D87" s="130"/>
      <c r="E87" s="130"/>
      <c r="F87" s="130"/>
      <c r="G87" s="130"/>
      <c r="H87" s="84" t="s">
        <v>5</v>
      </c>
      <c r="I87" s="14">
        <f>SUMIF($H$68:$H$83,"вне*",I$68:I$83)</f>
        <v>0</v>
      </c>
      <c r="J87" s="14">
        <f t="shared" ref="J87:O87" si="31">SUMIF($H$68:$H$83,"вне*",J$68:J$83)</f>
        <v>0</v>
      </c>
      <c r="K87" s="14">
        <f t="shared" si="31"/>
        <v>0</v>
      </c>
      <c r="L87" s="14">
        <f t="shared" si="31"/>
        <v>0</v>
      </c>
      <c r="M87" s="14">
        <f t="shared" si="31"/>
        <v>0</v>
      </c>
      <c r="N87" s="14">
        <f t="shared" si="31"/>
        <v>0</v>
      </c>
      <c r="O87" s="14">
        <f t="shared" si="31"/>
        <v>0</v>
      </c>
      <c r="P87" s="130"/>
    </row>
    <row r="88" spans="2:17" ht="25.5" customHeight="1" x14ac:dyDescent="0.2">
      <c r="B88" s="111" t="s">
        <v>223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</row>
    <row r="89" spans="2:17" ht="42.75" outlineLevel="1" x14ac:dyDescent="0.2">
      <c r="B89" s="117" t="s">
        <v>1650</v>
      </c>
      <c r="C89" s="117"/>
      <c r="D89" s="117" t="s">
        <v>1319</v>
      </c>
      <c r="E89" s="117">
        <v>2020</v>
      </c>
      <c r="F89" s="117"/>
      <c r="G89" s="117" t="s">
        <v>138</v>
      </c>
      <c r="H89" s="84" t="s">
        <v>3</v>
      </c>
      <c r="I89" s="83">
        <f>SUM(J89:O89)</f>
        <v>96.7</v>
      </c>
      <c r="J89" s="83">
        <f t="shared" ref="J89:O89" si="32">J90+J91+J92</f>
        <v>31.7</v>
      </c>
      <c r="K89" s="83">
        <f t="shared" si="32"/>
        <v>65</v>
      </c>
      <c r="L89" s="83">
        <f t="shared" si="32"/>
        <v>0</v>
      </c>
      <c r="M89" s="83">
        <f t="shared" si="32"/>
        <v>0</v>
      </c>
      <c r="N89" s="83">
        <f t="shared" si="32"/>
        <v>0</v>
      </c>
      <c r="O89" s="83">
        <f t="shared" si="32"/>
        <v>0</v>
      </c>
      <c r="P89" s="117"/>
    </row>
    <row r="90" spans="2:17" outlineLevel="1" x14ac:dyDescent="0.2">
      <c r="B90" s="118"/>
      <c r="C90" s="132"/>
      <c r="D90" s="118"/>
      <c r="E90" s="118"/>
      <c r="F90" s="118"/>
      <c r="G90" s="118"/>
      <c r="H90" s="84" t="s">
        <v>4</v>
      </c>
      <c r="I90" s="83"/>
      <c r="J90" s="75"/>
      <c r="K90" s="75"/>
      <c r="L90" s="75"/>
      <c r="M90" s="75"/>
      <c r="N90" s="75"/>
      <c r="O90" s="75"/>
      <c r="P90" s="118"/>
    </row>
    <row r="91" spans="2:17" outlineLevel="1" x14ac:dyDescent="0.2">
      <c r="B91" s="118"/>
      <c r="C91" s="132"/>
      <c r="D91" s="118"/>
      <c r="E91" s="118"/>
      <c r="F91" s="118"/>
      <c r="G91" s="118"/>
      <c r="H91" s="84" t="s">
        <v>6</v>
      </c>
      <c r="I91" s="83">
        <f>SUM(J91:O91)</f>
        <v>96.7</v>
      </c>
      <c r="J91" s="75">
        <v>31.7</v>
      </c>
      <c r="K91" s="75">
        <v>65</v>
      </c>
      <c r="L91" s="75"/>
      <c r="M91" s="75"/>
      <c r="N91" s="75"/>
      <c r="O91" s="75"/>
      <c r="P91" s="118"/>
    </row>
    <row r="92" spans="2:17" outlineLevel="1" x14ac:dyDescent="0.2">
      <c r="B92" s="119"/>
      <c r="C92" s="133"/>
      <c r="D92" s="119"/>
      <c r="E92" s="119"/>
      <c r="F92" s="119"/>
      <c r="G92" s="119"/>
      <c r="H92" s="84" t="s">
        <v>5</v>
      </c>
      <c r="I92" s="75"/>
      <c r="J92" s="75"/>
      <c r="K92" s="75"/>
      <c r="L92" s="75"/>
      <c r="M92" s="75"/>
      <c r="N92" s="75"/>
      <c r="O92" s="75"/>
      <c r="P92" s="119"/>
    </row>
    <row r="93" spans="2:17" ht="42.75" outlineLevel="1" x14ac:dyDescent="0.2">
      <c r="B93" s="117" t="s">
        <v>1651</v>
      </c>
      <c r="C93" s="117"/>
      <c r="D93" s="117" t="s">
        <v>223</v>
      </c>
      <c r="E93" s="117" t="s">
        <v>286</v>
      </c>
      <c r="F93" s="117"/>
      <c r="G93" s="117"/>
      <c r="H93" s="84" t="s">
        <v>3</v>
      </c>
      <c r="I93" s="83">
        <f>SUM(J93:O93)</f>
        <v>1000</v>
      </c>
      <c r="J93" s="83">
        <f t="shared" ref="J93:O93" si="33">J94+J95+J96</f>
        <v>0</v>
      </c>
      <c r="K93" s="83">
        <f t="shared" si="33"/>
        <v>0</v>
      </c>
      <c r="L93" s="83">
        <f t="shared" si="33"/>
        <v>0</v>
      </c>
      <c r="M93" s="83">
        <f t="shared" si="33"/>
        <v>333</v>
      </c>
      <c r="N93" s="83">
        <f t="shared" si="33"/>
        <v>333</v>
      </c>
      <c r="O93" s="83">
        <f t="shared" si="33"/>
        <v>334</v>
      </c>
      <c r="P93" s="117"/>
    </row>
    <row r="94" spans="2:17" outlineLevel="1" x14ac:dyDescent="0.2">
      <c r="B94" s="118"/>
      <c r="C94" s="132"/>
      <c r="D94" s="118"/>
      <c r="E94" s="118"/>
      <c r="F94" s="118"/>
      <c r="G94" s="118"/>
      <c r="H94" s="84" t="s">
        <v>4</v>
      </c>
      <c r="I94" s="83">
        <f>SUM(J94:O94)</f>
        <v>930</v>
      </c>
      <c r="J94" s="75"/>
      <c r="K94" s="75"/>
      <c r="L94" s="75"/>
      <c r="M94" s="75">
        <v>310</v>
      </c>
      <c r="N94" s="75">
        <v>310</v>
      </c>
      <c r="O94" s="75">
        <v>310</v>
      </c>
      <c r="P94" s="118"/>
    </row>
    <row r="95" spans="2:17" outlineLevel="1" x14ac:dyDescent="0.2">
      <c r="B95" s="118"/>
      <c r="C95" s="132"/>
      <c r="D95" s="118"/>
      <c r="E95" s="118"/>
      <c r="F95" s="118"/>
      <c r="G95" s="118"/>
      <c r="H95" s="84" t="s">
        <v>6</v>
      </c>
      <c r="I95" s="83">
        <f>SUM(J95:O95)</f>
        <v>70</v>
      </c>
      <c r="J95" s="75"/>
      <c r="K95" s="75"/>
      <c r="L95" s="75"/>
      <c r="M95" s="75">
        <v>23</v>
      </c>
      <c r="N95" s="75">
        <v>23</v>
      </c>
      <c r="O95" s="75">
        <v>24</v>
      </c>
      <c r="P95" s="118"/>
    </row>
    <row r="96" spans="2:17" outlineLevel="1" x14ac:dyDescent="0.2">
      <c r="B96" s="119"/>
      <c r="C96" s="133"/>
      <c r="D96" s="119"/>
      <c r="E96" s="119"/>
      <c r="F96" s="119"/>
      <c r="G96" s="119"/>
      <c r="H96" s="84" t="s">
        <v>5</v>
      </c>
      <c r="I96" s="75"/>
      <c r="J96" s="75"/>
      <c r="K96" s="75"/>
      <c r="L96" s="75"/>
      <c r="M96" s="75"/>
      <c r="N96" s="75"/>
      <c r="O96" s="75"/>
      <c r="P96" s="119"/>
    </row>
    <row r="97" spans="2:17" ht="42.75" x14ac:dyDescent="0.2">
      <c r="B97" s="128" t="s">
        <v>288</v>
      </c>
      <c r="C97" s="128" t="s">
        <v>38</v>
      </c>
      <c r="D97" s="128" t="s">
        <v>38</v>
      </c>
      <c r="E97" s="128" t="s">
        <v>38</v>
      </c>
      <c r="F97" s="128" t="s">
        <v>38</v>
      </c>
      <c r="G97" s="128" t="s">
        <v>38</v>
      </c>
      <c r="H97" s="84" t="s">
        <v>3</v>
      </c>
      <c r="I97" s="14">
        <f>SUMIF($H$89:$H$96,"Объем*",I$89:I$96)</f>
        <v>1096.7</v>
      </c>
      <c r="J97" s="14">
        <f t="shared" ref="J97:O97" si="34">SUMIF($H$89:$H$96,"Объем*",J$89:J$96)</f>
        <v>31.7</v>
      </c>
      <c r="K97" s="14">
        <f t="shared" si="34"/>
        <v>65</v>
      </c>
      <c r="L97" s="14">
        <f t="shared" si="34"/>
        <v>0</v>
      </c>
      <c r="M97" s="14">
        <f t="shared" si="34"/>
        <v>333</v>
      </c>
      <c r="N97" s="14">
        <f t="shared" si="34"/>
        <v>333</v>
      </c>
      <c r="O97" s="14">
        <f t="shared" si="34"/>
        <v>334</v>
      </c>
      <c r="P97" s="128"/>
      <c r="Q97" s="7"/>
    </row>
    <row r="98" spans="2:17" ht="15.75" x14ac:dyDescent="0.2">
      <c r="B98" s="129"/>
      <c r="C98" s="129"/>
      <c r="D98" s="129"/>
      <c r="E98" s="129"/>
      <c r="F98" s="129"/>
      <c r="G98" s="129"/>
      <c r="H98" s="84" t="s">
        <v>4</v>
      </c>
      <c r="I98" s="14">
        <f>SUMIF($H$89:$H$96,"фед*",I$89:I$96)</f>
        <v>930</v>
      </c>
      <c r="J98" s="14">
        <f t="shared" ref="J98:O98" si="35">SUMIF($H$89:$H$96,"фед*",J$89:J$96)</f>
        <v>0</v>
      </c>
      <c r="K98" s="14">
        <f t="shared" si="35"/>
        <v>0</v>
      </c>
      <c r="L98" s="14">
        <f t="shared" si="35"/>
        <v>0</v>
      </c>
      <c r="M98" s="14">
        <f t="shared" si="35"/>
        <v>310</v>
      </c>
      <c r="N98" s="14">
        <f t="shared" si="35"/>
        <v>310</v>
      </c>
      <c r="O98" s="14">
        <f t="shared" si="35"/>
        <v>310</v>
      </c>
      <c r="P98" s="129"/>
    </row>
    <row r="99" spans="2:17" ht="15.75" x14ac:dyDescent="0.2">
      <c r="B99" s="129"/>
      <c r="C99" s="129"/>
      <c r="D99" s="129"/>
      <c r="E99" s="129"/>
      <c r="F99" s="129"/>
      <c r="G99" s="129"/>
      <c r="H99" s="84" t="s">
        <v>6</v>
      </c>
      <c r="I99" s="14">
        <f>SUMIF($H$89:$H$96,"конс*",I$89:I$96)</f>
        <v>166.7</v>
      </c>
      <c r="J99" s="14">
        <f t="shared" ref="J99:O99" si="36">SUMIF($H$89:$H$96,"конс*",J$89:J$96)</f>
        <v>31.7</v>
      </c>
      <c r="K99" s="14">
        <f t="shared" si="36"/>
        <v>65</v>
      </c>
      <c r="L99" s="14">
        <f t="shared" si="36"/>
        <v>0</v>
      </c>
      <c r="M99" s="14">
        <f t="shared" si="36"/>
        <v>23</v>
      </c>
      <c r="N99" s="14">
        <f t="shared" si="36"/>
        <v>23</v>
      </c>
      <c r="O99" s="14">
        <f t="shared" si="36"/>
        <v>24</v>
      </c>
      <c r="P99" s="129"/>
    </row>
    <row r="100" spans="2:17" ht="15.75" x14ac:dyDescent="0.2">
      <c r="B100" s="130"/>
      <c r="C100" s="130"/>
      <c r="D100" s="130"/>
      <c r="E100" s="130"/>
      <c r="F100" s="130"/>
      <c r="G100" s="130"/>
      <c r="H100" s="84" t="s">
        <v>5</v>
      </c>
      <c r="I100" s="14">
        <f>SUMIF($H$89:$H$96,"вне*",I$89:I$96)</f>
        <v>0</v>
      </c>
      <c r="J100" s="14">
        <f t="shared" ref="J100:O100" si="37">SUMIF($H$89:$H$96,"вне*",J$89:J$96)</f>
        <v>0</v>
      </c>
      <c r="K100" s="14">
        <f t="shared" si="37"/>
        <v>0</v>
      </c>
      <c r="L100" s="14">
        <f t="shared" si="37"/>
        <v>0</v>
      </c>
      <c r="M100" s="14">
        <f t="shared" si="37"/>
        <v>0</v>
      </c>
      <c r="N100" s="14">
        <f t="shared" si="37"/>
        <v>0</v>
      </c>
      <c r="O100" s="14">
        <f t="shared" si="37"/>
        <v>0</v>
      </c>
      <c r="P100" s="130"/>
    </row>
    <row r="101" spans="2:17" ht="25.5" customHeight="1" x14ac:dyDescent="0.2">
      <c r="B101" s="111" t="s">
        <v>289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3"/>
    </row>
    <row r="102" spans="2:17" ht="42.75" outlineLevel="1" x14ac:dyDescent="0.2">
      <c r="B102" s="117" t="s">
        <v>1650</v>
      </c>
      <c r="C102" s="117"/>
      <c r="D102" s="117" t="s">
        <v>1652</v>
      </c>
      <c r="E102" s="117">
        <v>2020</v>
      </c>
      <c r="F102" s="117"/>
      <c r="G102" s="117" t="s">
        <v>138</v>
      </c>
      <c r="H102" s="84" t="s">
        <v>3</v>
      </c>
      <c r="I102" s="83">
        <f t="shared" ref="I102:I105" si="38">SUM(J102:O102)</f>
        <v>30.1</v>
      </c>
      <c r="J102" s="83">
        <f t="shared" ref="J102:O102" si="39">J103+J104+J105</f>
        <v>30.1</v>
      </c>
      <c r="K102" s="83">
        <f t="shared" si="39"/>
        <v>0</v>
      </c>
      <c r="L102" s="83">
        <f t="shared" si="39"/>
        <v>0</v>
      </c>
      <c r="M102" s="83">
        <f t="shared" si="39"/>
        <v>0</v>
      </c>
      <c r="N102" s="83">
        <f t="shared" si="39"/>
        <v>0</v>
      </c>
      <c r="O102" s="83">
        <f t="shared" si="39"/>
        <v>0</v>
      </c>
      <c r="P102" s="117"/>
    </row>
    <row r="103" spans="2:17" outlineLevel="1" x14ac:dyDescent="0.2">
      <c r="B103" s="118"/>
      <c r="C103" s="132"/>
      <c r="D103" s="118"/>
      <c r="E103" s="118"/>
      <c r="F103" s="118"/>
      <c r="G103" s="118"/>
      <c r="H103" s="84" t="s">
        <v>4</v>
      </c>
      <c r="I103" s="83">
        <f t="shared" si="38"/>
        <v>0</v>
      </c>
      <c r="J103" s="75"/>
      <c r="K103" s="75"/>
      <c r="L103" s="75"/>
      <c r="M103" s="75"/>
      <c r="N103" s="75"/>
      <c r="O103" s="75"/>
      <c r="P103" s="118"/>
    </row>
    <row r="104" spans="2:17" outlineLevel="1" x14ac:dyDescent="0.2">
      <c r="B104" s="118"/>
      <c r="C104" s="132"/>
      <c r="D104" s="118"/>
      <c r="E104" s="118"/>
      <c r="F104" s="118"/>
      <c r="G104" s="118"/>
      <c r="H104" s="84" t="s">
        <v>6</v>
      </c>
      <c r="I104" s="83">
        <f t="shared" si="38"/>
        <v>30.1</v>
      </c>
      <c r="J104" s="75">
        <v>30.1</v>
      </c>
      <c r="K104" s="75"/>
      <c r="L104" s="75"/>
      <c r="M104" s="75"/>
      <c r="N104" s="75"/>
      <c r="O104" s="75"/>
      <c r="P104" s="118"/>
    </row>
    <row r="105" spans="2:17" outlineLevel="1" x14ac:dyDescent="0.2">
      <c r="B105" s="119"/>
      <c r="C105" s="133"/>
      <c r="D105" s="119"/>
      <c r="E105" s="119"/>
      <c r="F105" s="119"/>
      <c r="G105" s="119"/>
      <c r="H105" s="84" t="s">
        <v>5</v>
      </c>
      <c r="I105" s="83">
        <f t="shared" si="38"/>
        <v>0</v>
      </c>
      <c r="J105" s="75"/>
      <c r="K105" s="75"/>
      <c r="L105" s="75"/>
      <c r="M105" s="75"/>
      <c r="N105" s="75"/>
      <c r="O105" s="75"/>
      <c r="P105" s="119"/>
    </row>
    <row r="106" spans="2:17" ht="42.75" x14ac:dyDescent="0.2">
      <c r="B106" s="128" t="s">
        <v>320</v>
      </c>
      <c r="C106" s="128" t="s">
        <v>38</v>
      </c>
      <c r="D106" s="128" t="s">
        <v>38</v>
      </c>
      <c r="E106" s="128" t="s">
        <v>38</v>
      </c>
      <c r="F106" s="128" t="s">
        <v>38</v>
      </c>
      <c r="G106" s="128" t="s">
        <v>38</v>
      </c>
      <c r="H106" s="84" t="s">
        <v>3</v>
      </c>
      <c r="I106" s="14">
        <f>SUMIF($H$102:$H$105,"Объем*",I$102:I$105)</f>
        <v>30.1</v>
      </c>
      <c r="J106" s="14">
        <f t="shared" ref="J106:O106" si="40">SUMIF($H$102:$H$105,"Объем*",J$102:J$105)</f>
        <v>30.1</v>
      </c>
      <c r="K106" s="14">
        <f t="shared" si="40"/>
        <v>0</v>
      </c>
      <c r="L106" s="14">
        <f t="shared" si="40"/>
        <v>0</v>
      </c>
      <c r="M106" s="14">
        <f t="shared" si="40"/>
        <v>0</v>
      </c>
      <c r="N106" s="14">
        <f t="shared" si="40"/>
        <v>0</v>
      </c>
      <c r="O106" s="14">
        <f t="shared" si="40"/>
        <v>0</v>
      </c>
      <c r="P106" s="128"/>
      <c r="Q106" s="7"/>
    </row>
    <row r="107" spans="2:17" ht="15.75" x14ac:dyDescent="0.2">
      <c r="B107" s="129"/>
      <c r="C107" s="129"/>
      <c r="D107" s="129"/>
      <c r="E107" s="129"/>
      <c r="F107" s="129"/>
      <c r="G107" s="129"/>
      <c r="H107" s="84" t="s">
        <v>4</v>
      </c>
      <c r="I107" s="14">
        <f>SUMIF($H$102:$H$105,"фед*",I$102:I$105)</f>
        <v>0</v>
      </c>
      <c r="J107" s="14">
        <f t="shared" ref="J107:O107" si="41">SUMIF($H$102:$H$105,"фед*",J$102:J$105)</f>
        <v>0</v>
      </c>
      <c r="K107" s="14">
        <f t="shared" si="41"/>
        <v>0</v>
      </c>
      <c r="L107" s="14">
        <f t="shared" si="41"/>
        <v>0</v>
      </c>
      <c r="M107" s="14">
        <f t="shared" si="41"/>
        <v>0</v>
      </c>
      <c r="N107" s="14">
        <f t="shared" si="41"/>
        <v>0</v>
      </c>
      <c r="O107" s="14">
        <f t="shared" si="41"/>
        <v>0</v>
      </c>
      <c r="P107" s="129"/>
    </row>
    <row r="108" spans="2:17" ht="15.75" x14ac:dyDescent="0.2">
      <c r="B108" s="129"/>
      <c r="C108" s="129"/>
      <c r="D108" s="129"/>
      <c r="E108" s="129"/>
      <c r="F108" s="129"/>
      <c r="G108" s="129"/>
      <c r="H108" s="84" t="s">
        <v>6</v>
      </c>
      <c r="I108" s="14">
        <f>SUMIF($H$102:$H$105,"конс*",I$102:I$105)</f>
        <v>30.1</v>
      </c>
      <c r="J108" s="14">
        <f t="shared" ref="J108:O108" si="42">SUMIF($H$102:$H$105,"конс*",J$102:J$105)</f>
        <v>30.1</v>
      </c>
      <c r="K108" s="14">
        <f t="shared" si="42"/>
        <v>0</v>
      </c>
      <c r="L108" s="14">
        <f t="shared" si="42"/>
        <v>0</v>
      </c>
      <c r="M108" s="14">
        <f t="shared" si="42"/>
        <v>0</v>
      </c>
      <c r="N108" s="14">
        <f t="shared" si="42"/>
        <v>0</v>
      </c>
      <c r="O108" s="14">
        <f t="shared" si="42"/>
        <v>0</v>
      </c>
      <c r="P108" s="129"/>
    </row>
    <row r="109" spans="2:17" ht="15.75" x14ac:dyDescent="0.2">
      <c r="B109" s="130"/>
      <c r="C109" s="130"/>
      <c r="D109" s="130"/>
      <c r="E109" s="130"/>
      <c r="F109" s="130"/>
      <c r="G109" s="130"/>
      <c r="H109" s="84" t="s">
        <v>5</v>
      </c>
      <c r="I109" s="14">
        <f>SUMIF($H$102:$H$105,"вне*",I$102:I$105)</f>
        <v>0</v>
      </c>
      <c r="J109" s="14">
        <f t="shared" ref="J109:O109" si="43">SUMIF($H$102:$H$105,"вне*",J$102:J$105)</f>
        <v>0</v>
      </c>
      <c r="K109" s="14">
        <f t="shared" si="43"/>
        <v>0</v>
      </c>
      <c r="L109" s="14">
        <f t="shared" si="43"/>
        <v>0</v>
      </c>
      <c r="M109" s="14">
        <f t="shared" si="43"/>
        <v>0</v>
      </c>
      <c r="N109" s="14">
        <f t="shared" si="43"/>
        <v>0</v>
      </c>
      <c r="O109" s="14">
        <f t="shared" si="43"/>
        <v>0</v>
      </c>
      <c r="P109" s="130"/>
    </row>
    <row r="110" spans="2:17" ht="25.5" customHeight="1" x14ac:dyDescent="0.2">
      <c r="B110" s="111" t="s">
        <v>321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3"/>
    </row>
    <row r="111" spans="2:17" ht="42.75" outlineLevel="1" x14ac:dyDescent="0.2">
      <c r="B111" s="117" t="s">
        <v>1650</v>
      </c>
      <c r="C111" s="117"/>
      <c r="D111" s="117" t="s">
        <v>1333</v>
      </c>
      <c r="E111" s="117">
        <v>2020</v>
      </c>
      <c r="F111" s="117"/>
      <c r="G111" s="117" t="s">
        <v>138</v>
      </c>
      <c r="H111" s="84" t="s">
        <v>3</v>
      </c>
      <c r="I111" s="83">
        <f t="shared" ref="I111:I118" si="44">SUM(J111:O111)</f>
        <v>32</v>
      </c>
      <c r="J111" s="83">
        <f t="shared" ref="J111:O111" si="45">J112+J113+J114</f>
        <v>32</v>
      </c>
      <c r="K111" s="83">
        <f t="shared" si="45"/>
        <v>0</v>
      </c>
      <c r="L111" s="83">
        <f t="shared" si="45"/>
        <v>0</v>
      </c>
      <c r="M111" s="83">
        <f t="shared" si="45"/>
        <v>0</v>
      </c>
      <c r="N111" s="83">
        <f t="shared" si="45"/>
        <v>0</v>
      </c>
      <c r="O111" s="83">
        <f t="shared" si="45"/>
        <v>0</v>
      </c>
      <c r="P111" s="117">
        <v>13670</v>
      </c>
    </row>
    <row r="112" spans="2:17" outlineLevel="1" x14ac:dyDescent="0.2">
      <c r="B112" s="118"/>
      <c r="C112" s="132"/>
      <c r="D112" s="118"/>
      <c r="E112" s="118"/>
      <c r="F112" s="118"/>
      <c r="G112" s="118"/>
      <c r="H112" s="84" t="s">
        <v>4</v>
      </c>
      <c r="I112" s="83">
        <f t="shared" si="44"/>
        <v>0</v>
      </c>
      <c r="J112" s="75"/>
      <c r="K112" s="75"/>
      <c r="L112" s="75"/>
      <c r="M112" s="75"/>
      <c r="N112" s="75"/>
      <c r="O112" s="75"/>
      <c r="P112" s="118"/>
    </row>
    <row r="113" spans="2:17" outlineLevel="1" x14ac:dyDescent="0.2">
      <c r="B113" s="118"/>
      <c r="C113" s="132"/>
      <c r="D113" s="118"/>
      <c r="E113" s="118"/>
      <c r="F113" s="118"/>
      <c r="G113" s="118"/>
      <c r="H113" s="84" t="s">
        <v>6</v>
      </c>
      <c r="I113" s="83">
        <f t="shared" si="44"/>
        <v>32</v>
      </c>
      <c r="J113" s="75">
        <v>32</v>
      </c>
      <c r="K113" s="75"/>
      <c r="L113" s="75"/>
      <c r="M113" s="75"/>
      <c r="N113" s="75"/>
      <c r="O113" s="75"/>
      <c r="P113" s="118"/>
    </row>
    <row r="114" spans="2:17" outlineLevel="1" x14ac:dyDescent="0.2">
      <c r="B114" s="119"/>
      <c r="C114" s="133"/>
      <c r="D114" s="119"/>
      <c r="E114" s="119"/>
      <c r="F114" s="119"/>
      <c r="G114" s="119"/>
      <c r="H114" s="84" t="s">
        <v>5</v>
      </c>
      <c r="I114" s="83">
        <f t="shared" si="44"/>
        <v>0</v>
      </c>
      <c r="J114" s="75"/>
      <c r="K114" s="75"/>
      <c r="L114" s="75"/>
      <c r="M114" s="75"/>
      <c r="N114" s="75"/>
      <c r="O114" s="75"/>
      <c r="P114" s="119"/>
    </row>
    <row r="115" spans="2:17" ht="42.75" outlineLevel="1" x14ac:dyDescent="0.2">
      <c r="B115" s="178" t="s">
        <v>1653</v>
      </c>
      <c r="C115" s="178"/>
      <c r="D115" s="178" t="s">
        <v>321</v>
      </c>
      <c r="E115" s="178">
        <v>2020.2021</v>
      </c>
      <c r="F115" s="178"/>
      <c r="G115" s="178" t="s">
        <v>107</v>
      </c>
      <c r="H115" s="84" t="s">
        <v>3</v>
      </c>
      <c r="I115" s="83">
        <f t="shared" si="44"/>
        <v>26.6</v>
      </c>
      <c r="J115" s="83">
        <f>J116+J117+J118</f>
        <v>1.6</v>
      </c>
      <c r="K115" s="83">
        <f>K116+K117+K118</f>
        <v>25</v>
      </c>
      <c r="L115" s="83">
        <v>0</v>
      </c>
      <c r="M115" s="83">
        <f>M116+M117+M118</f>
        <v>0</v>
      </c>
      <c r="N115" s="83">
        <f>N116+N117+N118</f>
        <v>0</v>
      </c>
      <c r="O115" s="83">
        <f>O116+O117+O118</f>
        <v>0</v>
      </c>
      <c r="P115" s="178">
        <v>13670</v>
      </c>
    </row>
    <row r="116" spans="2:17" outlineLevel="1" x14ac:dyDescent="0.2">
      <c r="B116" s="178"/>
      <c r="C116" s="143"/>
      <c r="D116" s="178"/>
      <c r="E116" s="178"/>
      <c r="F116" s="178"/>
      <c r="G116" s="178"/>
      <c r="H116" s="84" t="s">
        <v>4</v>
      </c>
      <c r="I116" s="83">
        <f t="shared" si="44"/>
        <v>0</v>
      </c>
      <c r="J116" s="83"/>
      <c r="K116" s="83"/>
      <c r="L116" s="83"/>
      <c r="M116" s="83"/>
      <c r="N116" s="83"/>
      <c r="O116" s="83"/>
      <c r="P116" s="178"/>
    </row>
    <row r="117" spans="2:17" outlineLevel="1" x14ac:dyDescent="0.2">
      <c r="B117" s="178"/>
      <c r="C117" s="143"/>
      <c r="D117" s="178"/>
      <c r="E117" s="178"/>
      <c r="F117" s="178"/>
      <c r="G117" s="178"/>
      <c r="H117" s="84" t="s">
        <v>6</v>
      </c>
      <c r="I117" s="83">
        <f t="shared" si="44"/>
        <v>26.6</v>
      </c>
      <c r="J117" s="83">
        <v>1.6</v>
      </c>
      <c r="K117" s="83">
        <v>25</v>
      </c>
      <c r="L117" s="83"/>
      <c r="M117" s="83"/>
      <c r="N117" s="83"/>
      <c r="O117" s="83"/>
      <c r="P117" s="178"/>
    </row>
    <row r="118" spans="2:17" outlineLevel="1" x14ac:dyDescent="0.2">
      <c r="B118" s="178"/>
      <c r="C118" s="143"/>
      <c r="D118" s="178"/>
      <c r="E118" s="178"/>
      <c r="F118" s="178"/>
      <c r="G118" s="178"/>
      <c r="H118" s="84" t="s">
        <v>5</v>
      </c>
      <c r="I118" s="83">
        <f t="shared" si="44"/>
        <v>0</v>
      </c>
      <c r="J118" s="83"/>
      <c r="K118" s="83"/>
      <c r="L118" s="83"/>
      <c r="M118" s="83"/>
      <c r="N118" s="83"/>
      <c r="O118" s="83"/>
      <c r="P118" s="178"/>
    </row>
    <row r="119" spans="2:17" ht="42.75" x14ac:dyDescent="0.2">
      <c r="B119" s="128" t="s">
        <v>337</v>
      </c>
      <c r="C119" s="128" t="s">
        <v>38</v>
      </c>
      <c r="D119" s="128" t="s">
        <v>38</v>
      </c>
      <c r="E119" s="128" t="s">
        <v>38</v>
      </c>
      <c r="F119" s="128" t="s">
        <v>38</v>
      </c>
      <c r="G119" s="128" t="s">
        <v>38</v>
      </c>
      <c r="H119" s="84" t="s">
        <v>3</v>
      </c>
      <c r="I119" s="14">
        <f t="shared" ref="I119:O119" si="46">SUMIF($H$111:$H$118,"Объем*",I$111:I$118)</f>
        <v>58.6</v>
      </c>
      <c r="J119" s="14">
        <f t="shared" si="46"/>
        <v>33.6</v>
      </c>
      <c r="K119" s="14">
        <f t="shared" si="46"/>
        <v>25</v>
      </c>
      <c r="L119" s="14">
        <f t="shared" si="46"/>
        <v>0</v>
      </c>
      <c r="M119" s="14">
        <f t="shared" si="46"/>
        <v>0</v>
      </c>
      <c r="N119" s="14">
        <f t="shared" si="46"/>
        <v>0</v>
      </c>
      <c r="O119" s="14">
        <f t="shared" si="46"/>
        <v>0</v>
      </c>
      <c r="P119" s="128"/>
      <c r="Q119" s="7"/>
    </row>
    <row r="120" spans="2:17" ht="15.75" x14ac:dyDescent="0.2">
      <c r="B120" s="129"/>
      <c r="C120" s="129"/>
      <c r="D120" s="129"/>
      <c r="E120" s="129"/>
      <c r="F120" s="129"/>
      <c r="G120" s="129"/>
      <c r="H120" s="84" t="s">
        <v>4</v>
      </c>
      <c r="I120" s="14">
        <f t="shared" ref="I120:O120" si="47">SUMIF($H$111:$H$118,"фед*",I$111:I$118)</f>
        <v>0</v>
      </c>
      <c r="J120" s="14">
        <f t="shared" si="47"/>
        <v>0</v>
      </c>
      <c r="K120" s="14">
        <f t="shared" si="47"/>
        <v>0</v>
      </c>
      <c r="L120" s="14">
        <f t="shared" si="47"/>
        <v>0</v>
      </c>
      <c r="M120" s="14">
        <f t="shared" si="47"/>
        <v>0</v>
      </c>
      <c r="N120" s="14">
        <f t="shared" si="47"/>
        <v>0</v>
      </c>
      <c r="O120" s="14">
        <f t="shared" si="47"/>
        <v>0</v>
      </c>
      <c r="P120" s="129"/>
    </row>
    <row r="121" spans="2:17" ht="15.75" x14ac:dyDescent="0.2">
      <c r="B121" s="129"/>
      <c r="C121" s="129"/>
      <c r="D121" s="129"/>
      <c r="E121" s="129"/>
      <c r="F121" s="129"/>
      <c r="G121" s="129"/>
      <c r="H121" s="84" t="s">
        <v>6</v>
      </c>
      <c r="I121" s="14">
        <f t="shared" ref="I121:O121" si="48">SUMIF($H$111:$H$118,"конс*",I$111:I$118)</f>
        <v>58.6</v>
      </c>
      <c r="J121" s="14">
        <f t="shared" si="48"/>
        <v>33.6</v>
      </c>
      <c r="K121" s="14">
        <f t="shared" si="48"/>
        <v>25</v>
      </c>
      <c r="L121" s="14">
        <f t="shared" si="48"/>
        <v>0</v>
      </c>
      <c r="M121" s="14">
        <f t="shared" si="48"/>
        <v>0</v>
      </c>
      <c r="N121" s="14">
        <f t="shared" si="48"/>
        <v>0</v>
      </c>
      <c r="O121" s="14">
        <f t="shared" si="48"/>
        <v>0</v>
      </c>
      <c r="P121" s="129"/>
    </row>
    <row r="122" spans="2:17" ht="15.75" x14ac:dyDescent="0.2">
      <c r="B122" s="130"/>
      <c r="C122" s="130"/>
      <c r="D122" s="130"/>
      <c r="E122" s="130"/>
      <c r="F122" s="130"/>
      <c r="G122" s="130"/>
      <c r="H122" s="84" t="s">
        <v>5</v>
      </c>
      <c r="I122" s="14">
        <f t="shared" ref="I122:O122" si="49">SUMIF($H$111:$H$118,"вне*",I$111:I$118)</f>
        <v>0</v>
      </c>
      <c r="J122" s="14">
        <f t="shared" si="49"/>
        <v>0</v>
      </c>
      <c r="K122" s="14">
        <f t="shared" si="49"/>
        <v>0</v>
      </c>
      <c r="L122" s="14">
        <f t="shared" si="49"/>
        <v>0</v>
      </c>
      <c r="M122" s="14">
        <f t="shared" si="49"/>
        <v>0</v>
      </c>
      <c r="N122" s="14">
        <f t="shared" si="49"/>
        <v>0</v>
      </c>
      <c r="O122" s="14">
        <f t="shared" si="49"/>
        <v>0</v>
      </c>
      <c r="P122" s="130"/>
    </row>
    <row r="123" spans="2:17" ht="25.5" customHeight="1" x14ac:dyDescent="0.2">
      <c r="B123" s="111" t="s">
        <v>338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3"/>
    </row>
    <row r="124" spans="2:17" ht="42.75" outlineLevel="1" x14ac:dyDescent="0.2">
      <c r="B124" s="117" t="s">
        <v>1650</v>
      </c>
      <c r="C124" s="117"/>
      <c r="D124" s="117" t="s">
        <v>773</v>
      </c>
      <c r="E124" s="117">
        <v>2020</v>
      </c>
      <c r="F124" s="117"/>
      <c r="G124" s="117" t="s">
        <v>138</v>
      </c>
      <c r="H124" s="84" t="s">
        <v>3</v>
      </c>
      <c r="I124" s="83">
        <f t="shared" ref="I124:I127" si="50">SUM(J124:O124)</f>
        <v>30.4</v>
      </c>
      <c r="J124" s="83">
        <f t="shared" ref="J124:O124" si="51">J125+J126+J127</f>
        <v>30.4</v>
      </c>
      <c r="K124" s="83">
        <f t="shared" si="51"/>
        <v>0</v>
      </c>
      <c r="L124" s="83">
        <f t="shared" si="51"/>
        <v>0</v>
      </c>
      <c r="M124" s="83">
        <f t="shared" si="51"/>
        <v>0</v>
      </c>
      <c r="N124" s="83">
        <f t="shared" si="51"/>
        <v>0</v>
      </c>
      <c r="O124" s="83">
        <f t="shared" si="51"/>
        <v>0</v>
      </c>
      <c r="P124" s="117"/>
    </row>
    <row r="125" spans="2:17" outlineLevel="1" x14ac:dyDescent="0.2">
      <c r="B125" s="118"/>
      <c r="C125" s="132"/>
      <c r="D125" s="118"/>
      <c r="E125" s="118"/>
      <c r="F125" s="118"/>
      <c r="G125" s="118"/>
      <c r="H125" s="84" t="s">
        <v>4</v>
      </c>
      <c r="I125" s="83">
        <f t="shared" si="50"/>
        <v>0</v>
      </c>
      <c r="J125" s="75"/>
      <c r="K125" s="75"/>
      <c r="L125" s="75"/>
      <c r="M125" s="75"/>
      <c r="N125" s="75"/>
      <c r="O125" s="75"/>
      <c r="P125" s="118"/>
    </row>
    <row r="126" spans="2:17" outlineLevel="1" x14ac:dyDescent="0.2">
      <c r="B126" s="118"/>
      <c r="C126" s="132"/>
      <c r="D126" s="118"/>
      <c r="E126" s="118"/>
      <c r="F126" s="118"/>
      <c r="G126" s="118"/>
      <c r="H126" s="84" t="s">
        <v>6</v>
      </c>
      <c r="I126" s="83">
        <f t="shared" si="50"/>
        <v>30.4</v>
      </c>
      <c r="J126" s="75">
        <v>30.4</v>
      </c>
      <c r="K126" s="75"/>
      <c r="L126" s="75"/>
      <c r="M126" s="75"/>
      <c r="N126" s="75"/>
      <c r="O126" s="75"/>
      <c r="P126" s="118"/>
    </row>
    <row r="127" spans="2:17" outlineLevel="1" x14ac:dyDescent="0.2">
      <c r="B127" s="119"/>
      <c r="C127" s="133"/>
      <c r="D127" s="119"/>
      <c r="E127" s="119"/>
      <c r="F127" s="119"/>
      <c r="G127" s="119"/>
      <c r="H127" s="84" t="s">
        <v>5</v>
      </c>
      <c r="I127" s="83">
        <f t="shared" si="50"/>
        <v>0</v>
      </c>
      <c r="J127" s="75"/>
      <c r="K127" s="75"/>
      <c r="L127" s="75"/>
      <c r="M127" s="75"/>
      <c r="N127" s="75"/>
      <c r="O127" s="75"/>
      <c r="P127" s="119"/>
    </row>
    <row r="128" spans="2:17" ht="42.75" x14ac:dyDescent="0.2">
      <c r="B128" s="128" t="s">
        <v>343</v>
      </c>
      <c r="C128" s="128" t="s">
        <v>38</v>
      </c>
      <c r="D128" s="128" t="s">
        <v>38</v>
      </c>
      <c r="E128" s="128" t="s">
        <v>38</v>
      </c>
      <c r="F128" s="128" t="s">
        <v>38</v>
      </c>
      <c r="G128" s="128" t="s">
        <v>38</v>
      </c>
      <c r="H128" s="84" t="s">
        <v>3</v>
      </c>
      <c r="I128" s="14">
        <f>SUMIF($H$124:$H$127,"Объем*",I$124:I$127)</f>
        <v>30.4</v>
      </c>
      <c r="J128" s="14">
        <f t="shared" ref="J128:O128" si="52">SUMIF($H$124:$H$127,"Объем*",J$124:J$127)</f>
        <v>30.4</v>
      </c>
      <c r="K128" s="14">
        <f t="shared" si="52"/>
        <v>0</v>
      </c>
      <c r="L128" s="14">
        <f t="shared" si="52"/>
        <v>0</v>
      </c>
      <c r="M128" s="14">
        <f t="shared" si="52"/>
        <v>0</v>
      </c>
      <c r="N128" s="14">
        <f t="shared" si="52"/>
        <v>0</v>
      </c>
      <c r="O128" s="14">
        <f t="shared" si="52"/>
        <v>0</v>
      </c>
      <c r="P128" s="128"/>
      <c r="Q128" s="7"/>
    </row>
    <row r="129" spans="2:17" ht="15.75" x14ac:dyDescent="0.2">
      <c r="B129" s="129"/>
      <c r="C129" s="129"/>
      <c r="D129" s="129"/>
      <c r="E129" s="129"/>
      <c r="F129" s="129"/>
      <c r="G129" s="129"/>
      <c r="H129" s="84" t="s">
        <v>4</v>
      </c>
      <c r="I129" s="14">
        <f>SUMIF($H$124:$H$127,"фед*",I$124:I$127)</f>
        <v>0</v>
      </c>
      <c r="J129" s="14">
        <f t="shared" ref="J129:O129" si="53">SUMIF($H$124:$H$127,"фед*",J$124:J$127)</f>
        <v>0</v>
      </c>
      <c r="K129" s="14">
        <f t="shared" si="53"/>
        <v>0</v>
      </c>
      <c r="L129" s="14">
        <f t="shared" si="53"/>
        <v>0</v>
      </c>
      <c r="M129" s="14">
        <f t="shared" si="53"/>
        <v>0</v>
      </c>
      <c r="N129" s="14">
        <f t="shared" si="53"/>
        <v>0</v>
      </c>
      <c r="O129" s="14">
        <f t="shared" si="53"/>
        <v>0</v>
      </c>
      <c r="P129" s="129"/>
    </row>
    <row r="130" spans="2:17" ht="15.75" x14ac:dyDescent="0.2">
      <c r="B130" s="129"/>
      <c r="C130" s="129"/>
      <c r="D130" s="129"/>
      <c r="E130" s="129"/>
      <c r="F130" s="129"/>
      <c r="G130" s="129"/>
      <c r="H130" s="84" t="s">
        <v>6</v>
      </c>
      <c r="I130" s="14">
        <f>SUMIF($H$124:$H$127,"конс*",I$124:I$127)</f>
        <v>30.4</v>
      </c>
      <c r="J130" s="14">
        <f t="shared" ref="J130:O130" si="54">SUMIF($H$124:$H$127,"конс*",J$124:J$127)</f>
        <v>30.4</v>
      </c>
      <c r="K130" s="14">
        <f t="shared" si="54"/>
        <v>0</v>
      </c>
      <c r="L130" s="14">
        <f t="shared" si="54"/>
        <v>0</v>
      </c>
      <c r="M130" s="14">
        <f t="shared" si="54"/>
        <v>0</v>
      </c>
      <c r="N130" s="14">
        <f t="shared" si="54"/>
        <v>0</v>
      </c>
      <c r="O130" s="14">
        <f t="shared" si="54"/>
        <v>0</v>
      </c>
      <c r="P130" s="129"/>
    </row>
    <row r="131" spans="2:17" ht="15.75" x14ac:dyDescent="0.2">
      <c r="B131" s="130"/>
      <c r="C131" s="130"/>
      <c r="D131" s="130"/>
      <c r="E131" s="130"/>
      <c r="F131" s="130"/>
      <c r="G131" s="130"/>
      <c r="H131" s="84" t="s">
        <v>5</v>
      </c>
      <c r="I131" s="14">
        <f>SUMIF($H$124:$H$127,"вне*",I$124:I$127)</f>
        <v>0</v>
      </c>
      <c r="J131" s="14">
        <f t="shared" ref="J131:O131" si="55">SUMIF($H$124:$H$127,"вне*",J$124:J$127)</f>
        <v>0</v>
      </c>
      <c r="K131" s="14">
        <f t="shared" si="55"/>
        <v>0</v>
      </c>
      <c r="L131" s="14">
        <f t="shared" si="55"/>
        <v>0</v>
      </c>
      <c r="M131" s="14">
        <f t="shared" si="55"/>
        <v>0</v>
      </c>
      <c r="N131" s="14">
        <f t="shared" si="55"/>
        <v>0</v>
      </c>
      <c r="O131" s="14">
        <f t="shared" si="55"/>
        <v>0</v>
      </c>
      <c r="P131" s="130"/>
    </row>
    <row r="132" spans="2:17" ht="25.5" customHeight="1" x14ac:dyDescent="0.2">
      <c r="B132" s="111" t="s">
        <v>344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3"/>
    </row>
    <row r="133" spans="2:17" ht="42.75" outlineLevel="1" x14ac:dyDescent="0.2">
      <c r="B133" s="117" t="s">
        <v>1654</v>
      </c>
      <c r="C133" s="117"/>
      <c r="D133" s="117" t="s">
        <v>1120</v>
      </c>
      <c r="E133" s="117">
        <v>2020</v>
      </c>
      <c r="F133" s="117"/>
      <c r="G133" s="117" t="s">
        <v>138</v>
      </c>
      <c r="H133" s="84" t="s">
        <v>3</v>
      </c>
      <c r="I133" s="83">
        <f t="shared" ref="I133:I136" si="56">SUM(J133:O133)</f>
        <v>15</v>
      </c>
      <c r="J133" s="83">
        <f t="shared" ref="J133:O133" si="57">J134+J135+J136</f>
        <v>15</v>
      </c>
      <c r="K133" s="83">
        <f t="shared" si="57"/>
        <v>0</v>
      </c>
      <c r="L133" s="83">
        <f t="shared" si="57"/>
        <v>0</v>
      </c>
      <c r="M133" s="83">
        <f t="shared" si="57"/>
        <v>0</v>
      </c>
      <c r="N133" s="83">
        <f t="shared" si="57"/>
        <v>0</v>
      </c>
      <c r="O133" s="83">
        <f t="shared" si="57"/>
        <v>0</v>
      </c>
      <c r="P133" s="117"/>
    </row>
    <row r="134" spans="2:17" outlineLevel="1" x14ac:dyDescent="0.2">
      <c r="B134" s="118"/>
      <c r="C134" s="132"/>
      <c r="D134" s="118"/>
      <c r="E134" s="118"/>
      <c r="F134" s="118"/>
      <c r="G134" s="118"/>
      <c r="H134" s="84" t="s">
        <v>4</v>
      </c>
      <c r="I134" s="83">
        <f t="shared" si="56"/>
        <v>0</v>
      </c>
      <c r="J134" s="75"/>
      <c r="K134" s="75"/>
      <c r="L134" s="75"/>
      <c r="M134" s="75"/>
      <c r="N134" s="75"/>
      <c r="O134" s="75"/>
      <c r="P134" s="118"/>
    </row>
    <row r="135" spans="2:17" outlineLevel="1" x14ac:dyDescent="0.2">
      <c r="B135" s="118"/>
      <c r="C135" s="132"/>
      <c r="D135" s="118"/>
      <c r="E135" s="118"/>
      <c r="F135" s="118"/>
      <c r="G135" s="118"/>
      <c r="H135" s="84" t="s">
        <v>6</v>
      </c>
      <c r="I135" s="83">
        <f t="shared" si="56"/>
        <v>15</v>
      </c>
      <c r="J135" s="75">
        <v>15</v>
      </c>
      <c r="K135" s="75"/>
      <c r="L135" s="75"/>
      <c r="M135" s="75"/>
      <c r="N135" s="75"/>
      <c r="O135" s="75"/>
      <c r="P135" s="118"/>
    </row>
    <row r="136" spans="2:17" outlineLevel="1" x14ac:dyDescent="0.2">
      <c r="B136" s="119"/>
      <c r="C136" s="133"/>
      <c r="D136" s="119"/>
      <c r="E136" s="119"/>
      <c r="F136" s="119"/>
      <c r="G136" s="119"/>
      <c r="H136" s="84" t="s">
        <v>5</v>
      </c>
      <c r="I136" s="83">
        <f t="shared" si="56"/>
        <v>0</v>
      </c>
      <c r="J136" s="75"/>
      <c r="K136" s="75"/>
      <c r="L136" s="75"/>
      <c r="M136" s="75"/>
      <c r="N136" s="75"/>
      <c r="O136" s="75"/>
      <c r="P136" s="119"/>
    </row>
    <row r="137" spans="2:17" ht="42.75" x14ac:dyDescent="0.2">
      <c r="B137" s="128" t="s">
        <v>349</v>
      </c>
      <c r="C137" s="128" t="s">
        <v>38</v>
      </c>
      <c r="D137" s="128" t="s">
        <v>38</v>
      </c>
      <c r="E137" s="128" t="s">
        <v>38</v>
      </c>
      <c r="F137" s="128" t="s">
        <v>38</v>
      </c>
      <c r="G137" s="128" t="s">
        <v>38</v>
      </c>
      <c r="H137" s="84" t="s">
        <v>3</v>
      </c>
      <c r="I137" s="14">
        <f>SUMIF($H$133:$H$136,"Объем*",I$133:I$136)</f>
        <v>15</v>
      </c>
      <c r="J137" s="14">
        <f t="shared" ref="J137:O137" si="58">SUMIF($H$133:$H$136,"Объем*",J$133:J$136)</f>
        <v>15</v>
      </c>
      <c r="K137" s="14">
        <f t="shared" si="58"/>
        <v>0</v>
      </c>
      <c r="L137" s="14">
        <f t="shared" si="58"/>
        <v>0</v>
      </c>
      <c r="M137" s="14">
        <f t="shared" si="58"/>
        <v>0</v>
      </c>
      <c r="N137" s="14">
        <f t="shared" si="58"/>
        <v>0</v>
      </c>
      <c r="O137" s="14">
        <f t="shared" si="58"/>
        <v>0</v>
      </c>
      <c r="P137" s="128"/>
      <c r="Q137" s="7"/>
    </row>
    <row r="138" spans="2:17" ht="15.75" x14ac:dyDescent="0.2">
      <c r="B138" s="129"/>
      <c r="C138" s="129"/>
      <c r="D138" s="129"/>
      <c r="E138" s="129"/>
      <c r="F138" s="129"/>
      <c r="G138" s="129"/>
      <c r="H138" s="84" t="s">
        <v>4</v>
      </c>
      <c r="I138" s="14">
        <f>SUMIF($H$133:$H$136,"фед*",I$133:I$136)</f>
        <v>0</v>
      </c>
      <c r="J138" s="14">
        <f t="shared" ref="J138:O138" si="59">SUMIF($H$133:$H$136,"фед*",J$133:J$136)</f>
        <v>0</v>
      </c>
      <c r="K138" s="14">
        <f t="shared" si="59"/>
        <v>0</v>
      </c>
      <c r="L138" s="14">
        <f t="shared" si="59"/>
        <v>0</v>
      </c>
      <c r="M138" s="14">
        <f t="shared" si="59"/>
        <v>0</v>
      </c>
      <c r="N138" s="14">
        <f t="shared" si="59"/>
        <v>0</v>
      </c>
      <c r="O138" s="14">
        <f t="shared" si="59"/>
        <v>0</v>
      </c>
      <c r="P138" s="129"/>
    </row>
    <row r="139" spans="2:17" ht="15.75" x14ac:dyDescent="0.2">
      <c r="B139" s="129"/>
      <c r="C139" s="129"/>
      <c r="D139" s="129"/>
      <c r="E139" s="129"/>
      <c r="F139" s="129"/>
      <c r="G139" s="129"/>
      <c r="H139" s="84" t="s">
        <v>6</v>
      </c>
      <c r="I139" s="14">
        <f>SUMIF($H$133:$H$136,"конс*",I$133:I$136)</f>
        <v>15</v>
      </c>
      <c r="J139" s="14">
        <f t="shared" ref="J139:O139" si="60">SUMIF($H$133:$H$136,"конс*",J$133:J$136)</f>
        <v>15</v>
      </c>
      <c r="K139" s="14">
        <f t="shared" si="60"/>
        <v>0</v>
      </c>
      <c r="L139" s="14">
        <f t="shared" si="60"/>
        <v>0</v>
      </c>
      <c r="M139" s="14">
        <f t="shared" si="60"/>
        <v>0</v>
      </c>
      <c r="N139" s="14">
        <f t="shared" si="60"/>
        <v>0</v>
      </c>
      <c r="O139" s="14">
        <f t="shared" si="60"/>
        <v>0</v>
      </c>
      <c r="P139" s="129"/>
    </row>
    <row r="140" spans="2:17" ht="15.75" x14ac:dyDescent="0.2">
      <c r="B140" s="130"/>
      <c r="C140" s="130"/>
      <c r="D140" s="130"/>
      <c r="E140" s="130"/>
      <c r="F140" s="130"/>
      <c r="G140" s="130"/>
      <c r="H140" s="84" t="s">
        <v>5</v>
      </c>
      <c r="I140" s="14">
        <f>SUMIF($H$133:$H$136,"вне*",I$133:I$136)</f>
        <v>0</v>
      </c>
      <c r="J140" s="14">
        <f t="shared" ref="J140:O140" si="61">SUMIF($H$133:$H$136,"вне*",J$133:J$136)</f>
        <v>0</v>
      </c>
      <c r="K140" s="14">
        <f t="shared" si="61"/>
        <v>0</v>
      </c>
      <c r="L140" s="14">
        <f t="shared" si="61"/>
        <v>0</v>
      </c>
      <c r="M140" s="14">
        <f t="shared" si="61"/>
        <v>0</v>
      </c>
      <c r="N140" s="14">
        <f t="shared" si="61"/>
        <v>0</v>
      </c>
      <c r="O140" s="14">
        <f t="shared" si="61"/>
        <v>0</v>
      </c>
      <c r="P140" s="130"/>
    </row>
    <row r="141" spans="2:17" ht="25.5" customHeight="1" x14ac:dyDescent="0.2">
      <c r="B141" s="111" t="s">
        <v>350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3"/>
    </row>
    <row r="142" spans="2:17" ht="42.75" outlineLevel="1" x14ac:dyDescent="0.2">
      <c r="B142" s="117" t="s">
        <v>1650</v>
      </c>
      <c r="C142" s="117"/>
      <c r="D142" s="117" t="s">
        <v>1655</v>
      </c>
      <c r="E142" s="117">
        <v>2020</v>
      </c>
      <c r="F142" s="117"/>
      <c r="G142" s="117" t="s">
        <v>138</v>
      </c>
      <c r="H142" s="84" t="s">
        <v>3</v>
      </c>
      <c r="I142" s="83">
        <f t="shared" ref="I142:I145" si="62">SUM(J142:O142)</f>
        <v>29.8</v>
      </c>
      <c r="J142" s="83">
        <f t="shared" ref="J142:O142" si="63">J143+J144+J145</f>
        <v>29.8</v>
      </c>
      <c r="K142" s="83">
        <f t="shared" si="63"/>
        <v>0</v>
      </c>
      <c r="L142" s="83">
        <f t="shared" si="63"/>
        <v>0</v>
      </c>
      <c r="M142" s="83">
        <f t="shared" si="63"/>
        <v>0</v>
      </c>
      <c r="N142" s="83">
        <f t="shared" si="63"/>
        <v>0</v>
      </c>
      <c r="O142" s="83">
        <f t="shared" si="63"/>
        <v>0</v>
      </c>
      <c r="P142" s="117"/>
    </row>
    <row r="143" spans="2:17" outlineLevel="1" x14ac:dyDescent="0.2">
      <c r="B143" s="118"/>
      <c r="C143" s="132"/>
      <c r="D143" s="118"/>
      <c r="E143" s="118"/>
      <c r="F143" s="118"/>
      <c r="G143" s="118"/>
      <c r="H143" s="84" t="s">
        <v>4</v>
      </c>
      <c r="I143" s="83">
        <f t="shared" si="62"/>
        <v>0</v>
      </c>
      <c r="J143" s="75"/>
      <c r="K143" s="75"/>
      <c r="L143" s="75"/>
      <c r="M143" s="75"/>
      <c r="N143" s="75"/>
      <c r="O143" s="75"/>
      <c r="P143" s="118"/>
    </row>
    <row r="144" spans="2:17" outlineLevel="1" x14ac:dyDescent="0.2">
      <c r="B144" s="118"/>
      <c r="C144" s="132"/>
      <c r="D144" s="118"/>
      <c r="E144" s="118"/>
      <c r="F144" s="118"/>
      <c r="G144" s="118"/>
      <c r="H144" s="84" t="s">
        <v>6</v>
      </c>
      <c r="I144" s="83">
        <f t="shared" si="62"/>
        <v>29.8</v>
      </c>
      <c r="J144" s="75">
        <v>29.8</v>
      </c>
      <c r="K144" s="75"/>
      <c r="L144" s="75"/>
      <c r="M144" s="75"/>
      <c r="N144" s="75"/>
      <c r="O144" s="75"/>
      <c r="P144" s="118"/>
    </row>
    <row r="145" spans="2:17" outlineLevel="1" x14ac:dyDescent="0.2">
      <c r="B145" s="119"/>
      <c r="C145" s="133"/>
      <c r="D145" s="119"/>
      <c r="E145" s="119"/>
      <c r="F145" s="119"/>
      <c r="G145" s="119"/>
      <c r="H145" s="84" t="s">
        <v>5</v>
      </c>
      <c r="I145" s="83">
        <f t="shared" si="62"/>
        <v>0</v>
      </c>
      <c r="J145" s="75"/>
      <c r="K145" s="75"/>
      <c r="L145" s="75"/>
      <c r="M145" s="75"/>
      <c r="N145" s="75"/>
      <c r="O145" s="75"/>
      <c r="P145" s="119"/>
    </row>
    <row r="146" spans="2:17" ht="42.75" x14ac:dyDescent="0.2">
      <c r="B146" s="128" t="s">
        <v>357</v>
      </c>
      <c r="C146" s="128" t="s">
        <v>38</v>
      </c>
      <c r="D146" s="128" t="s">
        <v>38</v>
      </c>
      <c r="E146" s="128" t="s">
        <v>38</v>
      </c>
      <c r="F146" s="128" t="s">
        <v>38</v>
      </c>
      <c r="G146" s="128" t="s">
        <v>38</v>
      </c>
      <c r="H146" s="84" t="s">
        <v>3</v>
      </c>
      <c r="I146" s="14">
        <f>SUMIF($H$142:$H$145,"Объем*",I$142:I$145)</f>
        <v>29.8</v>
      </c>
      <c r="J146" s="14">
        <f t="shared" ref="J146:O146" si="64">SUMIF($H$142:$H$145,"Объем*",J$142:J$145)</f>
        <v>29.8</v>
      </c>
      <c r="K146" s="14">
        <f t="shared" si="64"/>
        <v>0</v>
      </c>
      <c r="L146" s="14">
        <f t="shared" si="64"/>
        <v>0</v>
      </c>
      <c r="M146" s="14">
        <f t="shared" si="64"/>
        <v>0</v>
      </c>
      <c r="N146" s="14">
        <f t="shared" si="64"/>
        <v>0</v>
      </c>
      <c r="O146" s="14">
        <f t="shared" si="64"/>
        <v>0</v>
      </c>
      <c r="P146" s="128"/>
      <c r="Q146" s="7"/>
    </row>
    <row r="147" spans="2:17" ht="15.75" x14ac:dyDescent="0.2">
      <c r="B147" s="129"/>
      <c r="C147" s="129"/>
      <c r="D147" s="129"/>
      <c r="E147" s="129"/>
      <c r="F147" s="129"/>
      <c r="G147" s="129"/>
      <c r="H147" s="84" t="s">
        <v>4</v>
      </c>
      <c r="I147" s="14">
        <f>SUMIF($H$142:$H$145,"фед*",I$142:I$145)</f>
        <v>0</v>
      </c>
      <c r="J147" s="14">
        <f t="shared" ref="J147:O147" si="65">SUMIF($H$142:$H$145,"фед*",J$142:J$145)</f>
        <v>0</v>
      </c>
      <c r="K147" s="14">
        <f t="shared" si="65"/>
        <v>0</v>
      </c>
      <c r="L147" s="14">
        <f t="shared" si="65"/>
        <v>0</v>
      </c>
      <c r="M147" s="14">
        <f t="shared" si="65"/>
        <v>0</v>
      </c>
      <c r="N147" s="14">
        <f t="shared" si="65"/>
        <v>0</v>
      </c>
      <c r="O147" s="14">
        <f t="shared" si="65"/>
        <v>0</v>
      </c>
      <c r="P147" s="129"/>
    </row>
    <row r="148" spans="2:17" ht="15.75" x14ac:dyDescent="0.2">
      <c r="B148" s="129"/>
      <c r="C148" s="129"/>
      <c r="D148" s="129"/>
      <c r="E148" s="129"/>
      <c r="F148" s="129"/>
      <c r="G148" s="129"/>
      <c r="H148" s="84" t="s">
        <v>6</v>
      </c>
      <c r="I148" s="14">
        <f>SUMIF($H$142:$H$145,"конс*",I$142:I$145)</f>
        <v>29.8</v>
      </c>
      <c r="J148" s="14">
        <f t="shared" ref="J148:O148" si="66">SUMIF($H$142:$H$145,"конс*",J$142:J$145)</f>
        <v>29.8</v>
      </c>
      <c r="K148" s="14">
        <f t="shared" si="66"/>
        <v>0</v>
      </c>
      <c r="L148" s="14">
        <f t="shared" si="66"/>
        <v>0</v>
      </c>
      <c r="M148" s="14">
        <f t="shared" si="66"/>
        <v>0</v>
      </c>
      <c r="N148" s="14">
        <f t="shared" si="66"/>
        <v>0</v>
      </c>
      <c r="O148" s="14">
        <f t="shared" si="66"/>
        <v>0</v>
      </c>
      <c r="P148" s="129"/>
    </row>
    <row r="149" spans="2:17" ht="15.75" x14ac:dyDescent="0.2">
      <c r="B149" s="130"/>
      <c r="C149" s="130"/>
      <c r="D149" s="130"/>
      <c r="E149" s="130"/>
      <c r="F149" s="130"/>
      <c r="G149" s="130"/>
      <c r="H149" s="84" t="s">
        <v>5</v>
      </c>
      <c r="I149" s="14">
        <f>SUMIF($H$142:$H$145,"вне*",I$142:I$145)</f>
        <v>0</v>
      </c>
      <c r="J149" s="14">
        <f t="shared" ref="J149:O149" si="67">SUMIF($H$142:$H$145,"вне*",J$142:J$145)</f>
        <v>0</v>
      </c>
      <c r="K149" s="14">
        <f t="shared" si="67"/>
        <v>0</v>
      </c>
      <c r="L149" s="14">
        <f t="shared" si="67"/>
        <v>0</v>
      </c>
      <c r="M149" s="14">
        <f t="shared" si="67"/>
        <v>0</v>
      </c>
      <c r="N149" s="14">
        <f t="shared" si="67"/>
        <v>0</v>
      </c>
      <c r="O149" s="14">
        <f t="shared" si="67"/>
        <v>0</v>
      </c>
      <c r="P149" s="130"/>
    </row>
    <row r="150" spans="2:17" ht="25.5" customHeight="1" x14ac:dyDescent="0.2">
      <c r="B150" s="111" t="s">
        <v>47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</row>
    <row r="151" spans="2:17" ht="42.75" outlineLevel="1" x14ac:dyDescent="0.2">
      <c r="B151" s="117" t="s">
        <v>1656</v>
      </c>
      <c r="C151" s="117" t="s">
        <v>1657</v>
      </c>
      <c r="D151" s="117" t="s">
        <v>1658</v>
      </c>
      <c r="E151" s="117">
        <v>2020</v>
      </c>
      <c r="F151" s="117"/>
      <c r="G151" s="117" t="s">
        <v>138</v>
      </c>
      <c r="H151" s="84" t="s">
        <v>3</v>
      </c>
      <c r="I151" s="83">
        <f t="shared" ref="I151:I198" si="68">SUM(J151:O151)</f>
        <v>14.5</v>
      </c>
      <c r="J151" s="83">
        <f t="shared" ref="J151:O151" si="69">J152+J153+J154</f>
        <v>14.5</v>
      </c>
      <c r="K151" s="83">
        <f t="shared" si="69"/>
        <v>0</v>
      </c>
      <c r="L151" s="83">
        <f t="shared" si="69"/>
        <v>0</v>
      </c>
      <c r="M151" s="83">
        <f t="shared" si="69"/>
        <v>0</v>
      </c>
      <c r="N151" s="83">
        <f t="shared" si="69"/>
        <v>0</v>
      </c>
      <c r="O151" s="83">
        <f t="shared" si="69"/>
        <v>0</v>
      </c>
      <c r="P151" s="117"/>
    </row>
    <row r="152" spans="2:17" outlineLevel="1" x14ac:dyDescent="0.2">
      <c r="B152" s="118"/>
      <c r="C152" s="132"/>
      <c r="D152" s="118"/>
      <c r="E152" s="118"/>
      <c r="F152" s="118"/>
      <c r="G152" s="118"/>
      <c r="H152" s="84" t="s">
        <v>4</v>
      </c>
      <c r="I152" s="83">
        <f t="shared" si="68"/>
        <v>0</v>
      </c>
      <c r="J152" s="75"/>
      <c r="K152" s="75"/>
      <c r="L152" s="75"/>
      <c r="M152" s="75"/>
      <c r="N152" s="75"/>
      <c r="O152" s="75"/>
      <c r="P152" s="118"/>
    </row>
    <row r="153" spans="2:17" outlineLevel="1" x14ac:dyDescent="0.2">
      <c r="B153" s="118"/>
      <c r="C153" s="132"/>
      <c r="D153" s="118"/>
      <c r="E153" s="118"/>
      <c r="F153" s="118"/>
      <c r="G153" s="118"/>
      <c r="H153" s="84" t="s">
        <v>6</v>
      </c>
      <c r="I153" s="83">
        <f t="shared" si="68"/>
        <v>14.5</v>
      </c>
      <c r="J153" s="75">
        <v>14.5</v>
      </c>
      <c r="K153" s="75"/>
      <c r="L153" s="75"/>
      <c r="M153" s="75"/>
      <c r="N153" s="75"/>
      <c r="O153" s="75"/>
      <c r="P153" s="118"/>
    </row>
    <row r="154" spans="2:17" outlineLevel="1" x14ac:dyDescent="0.2">
      <c r="B154" s="119"/>
      <c r="C154" s="133"/>
      <c r="D154" s="119"/>
      <c r="E154" s="119"/>
      <c r="F154" s="119"/>
      <c r="G154" s="119"/>
      <c r="H154" s="84" t="s">
        <v>5</v>
      </c>
      <c r="I154" s="83">
        <f t="shared" si="68"/>
        <v>0</v>
      </c>
      <c r="J154" s="75"/>
      <c r="K154" s="75"/>
      <c r="L154" s="75"/>
      <c r="M154" s="75"/>
      <c r="N154" s="75"/>
      <c r="O154" s="75"/>
      <c r="P154" s="119"/>
    </row>
    <row r="155" spans="2:17" ht="42.75" outlineLevel="1" x14ac:dyDescent="0.2">
      <c r="B155" s="117" t="s">
        <v>1659</v>
      </c>
      <c r="C155" s="117" t="s">
        <v>1657</v>
      </c>
      <c r="D155" s="117" t="s">
        <v>1658</v>
      </c>
      <c r="E155" s="117">
        <v>2020</v>
      </c>
      <c r="F155" s="117"/>
      <c r="G155" s="117" t="s">
        <v>138</v>
      </c>
      <c r="H155" s="84" t="s">
        <v>3</v>
      </c>
      <c r="I155" s="83">
        <f t="shared" si="68"/>
        <v>21.3</v>
      </c>
      <c r="J155" s="83">
        <f t="shared" ref="J155:O155" si="70">J156+J157+J158</f>
        <v>21.3</v>
      </c>
      <c r="K155" s="83">
        <f t="shared" si="70"/>
        <v>0</v>
      </c>
      <c r="L155" s="83">
        <f t="shared" si="70"/>
        <v>0</v>
      </c>
      <c r="M155" s="83">
        <f t="shared" si="70"/>
        <v>0</v>
      </c>
      <c r="N155" s="83">
        <f t="shared" si="70"/>
        <v>0</v>
      </c>
      <c r="O155" s="83">
        <f t="shared" si="70"/>
        <v>0</v>
      </c>
      <c r="P155" s="117"/>
    </row>
    <row r="156" spans="2:17" outlineLevel="1" x14ac:dyDescent="0.2">
      <c r="B156" s="118"/>
      <c r="C156" s="132"/>
      <c r="D156" s="118"/>
      <c r="E156" s="118"/>
      <c r="F156" s="118"/>
      <c r="G156" s="118"/>
      <c r="H156" s="84" t="s">
        <v>4</v>
      </c>
      <c r="I156" s="83">
        <f t="shared" si="68"/>
        <v>0</v>
      </c>
      <c r="J156" s="75"/>
      <c r="K156" s="75"/>
      <c r="L156" s="75"/>
      <c r="M156" s="75"/>
      <c r="N156" s="75"/>
      <c r="O156" s="75"/>
      <c r="P156" s="118"/>
    </row>
    <row r="157" spans="2:17" outlineLevel="1" x14ac:dyDescent="0.2">
      <c r="B157" s="118"/>
      <c r="C157" s="132"/>
      <c r="D157" s="118"/>
      <c r="E157" s="118"/>
      <c r="F157" s="118"/>
      <c r="G157" s="118"/>
      <c r="H157" s="84" t="s">
        <v>6</v>
      </c>
      <c r="I157" s="83">
        <f t="shared" si="68"/>
        <v>21.3</v>
      </c>
      <c r="J157" s="75">
        <v>21.3</v>
      </c>
      <c r="K157" s="75"/>
      <c r="L157" s="75"/>
      <c r="M157" s="75"/>
      <c r="N157" s="75"/>
      <c r="O157" s="75"/>
      <c r="P157" s="118"/>
    </row>
    <row r="158" spans="2:17" outlineLevel="1" x14ac:dyDescent="0.2">
      <c r="B158" s="119"/>
      <c r="C158" s="133"/>
      <c r="D158" s="119"/>
      <c r="E158" s="119"/>
      <c r="F158" s="119"/>
      <c r="G158" s="119"/>
      <c r="H158" s="84" t="s">
        <v>5</v>
      </c>
      <c r="I158" s="83">
        <f t="shared" si="68"/>
        <v>0</v>
      </c>
      <c r="J158" s="75"/>
      <c r="K158" s="75"/>
      <c r="L158" s="75"/>
      <c r="M158" s="75"/>
      <c r="N158" s="75"/>
      <c r="O158" s="75"/>
      <c r="P158" s="119"/>
    </row>
    <row r="159" spans="2:17" ht="42.75" outlineLevel="1" x14ac:dyDescent="0.2">
      <c r="B159" s="117" t="s">
        <v>1660</v>
      </c>
      <c r="C159" s="117" t="s">
        <v>1657</v>
      </c>
      <c r="D159" s="117" t="s">
        <v>1658</v>
      </c>
      <c r="E159" s="117">
        <v>2021</v>
      </c>
      <c r="F159" s="117"/>
      <c r="G159" s="117" t="s">
        <v>138</v>
      </c>
      <c r="H159" s="84" t="s">
        <v>3</v>
      </c>
      <c r="I159" s="83">
        <f t="shared" si="68"/>
        <v>14.6</v>
      </c>
      <c r="J159" s="83">
        <f t="shared" ref="J159:O159" si="71">J160+J161+J162</f>
        <v>0</v>
      </c>
      <c r="K159" s="83">
        <f t="shared" si="71"/>
        <v>14.6</v>
      </c>
      <c r="L159" s="83">
        <f t="shared" si="71"/>
        <v>0</v>
      </c>
      <c r="M159" s="83">
        <f t="shared" si="71"/>
        <v>0</v>
      </c>
      <c r="N159" s="83">
        <f t="shared" si="71"/>
        <v>0</v>
      </c>
      <c r="O159" s="83">
        <f t="shared" si="71"/>
        <v>0</v>
      </c>
      <c r="P159" s="117"/>
    </row>
    <row r="160" spans="2:17" outlineLevel="1" x14ac:dyDescent="0.2">
      <c r="B160" s="118"/>
      <c r="C160" s="132"/>
      <c r="D160" s="118"/>
      <c r="E160" s="118"/>
      <c r="F160" s="118"/>
      <c r="G160" s="118"/>
      <c r="H160" s="84" t="s">
        <v>4</v>
      </c>
      <c r="I160" s="83">
        <f t="shared" si="68"/>
        <v>0</v>
      </c>
      <c r="J160" s="75"/>
      <c r="K160" s="75"/>
      <c r="L160" s="75"/>
      <c r="M160" s="75"/>
      <c r="N160" s="75"/>
      <c r="O160" s="75"/>
      <c r="P160" s="118"/>
    </row>
    <row r="161" spans="2:16" outlineLevel="1" x14ac:dyDescent="0.2">
      <c r="B161" s="118"/>
      <c r="C161" s="132"/>
      <c r="D161" s="118"/>
      <c r="E161" s="118"/>
      <c r="F161" s="118"/>
      <c r="G161" s="118"/>
      <c r="H161" s="84" t="s">
        <v>6</v>
      </c>
      <c r="I161" s="83">
        <f t="shared" si="68"/>
        <v>14.6</v>
      </c>
      <c r="J161" s="75"/>
      <c r="K161" s="75">
        <v>14.6</v>
      </c>
      <c r="L161" s="75"/>
      <c r="M161" s="75"/>
      <c r="N161" s="75"/>
      <c r="O161" s="75"/>
      <c r="P161" s="118"/>
    </row>
    <row r="162" spans="2:16" outlineLevel="1" x14ac:dyDescent="0.2">
      <c r="B162" s="119"/>
      <c r="C162" s="133"/>
      <c r="D162" s="119"/>
      <c r="E162" s="119"/>
      <c r="F162" s="119"/>
      <c r="G162" s="119"/>
      <c r="H162" s="84" t="s">
        <v>5</v>
      </c>
      <c r="I162" s="83">
        <f t="shared" si="68"/>
        <v>0</v>
      </c>
      <c r="J162" s="75"/>
      <c r="K162" s="75"/>
      <c r="L162" s="75"/>
      <c r="M162" s="75"/>
      <c r="N162" s="75"/>
      <c r="O162" s="75"/>
      <c r="P162" s="119"/>
    </row>
    <row r="163" spans="2:16" ht="42.75" outlineLevel="1" x14ac:dyDescent="0.2">
      <c r="B163" s="117" t="s">
        <v>1661</v>
      </c>
      <c r="C163" s="117" t="s">
        <v>1657</v>
      </c>
      <c r="D163" s="117" t="s">
        <v>1658</v>
      </c>
      <c r="E163" s="117">
        <v>2022</v>
      </c>
      <c r="F163" s="117"/>
      <c r="G163" s="117" t="s">
        <v>138</v>
      </c>
      <c r="H163" s="84" t="s">
        <v>3</v>
      </c>
      <c r="I163" s="83">
        <f t="shared" si="68"/>
        <v>30.4</v>
      </c>
      <c r="J163" s="83">
        <f t="shared" ref="J163:O163" si="72">J164+J165+J166</f>
        <v>0</v>
      </c>
      <c r="K163" s="83">
        <f t="shared" si="72"/>
        <v>0</v>
      </c>
      <c r="L163" s="83">
        <f t="shared" si="72"/>
        <v>30.4</v>
      </c>
      <c r="M163" s="83">
        <f t="shared" si="72"/>
        <v>0</v>
      </c>
      <c r="N163" s="83">
        <f t="shared" si="72"/>
        <v>0</v>
      </c>
      <c r="O163" s="83">
        <f t="shared" si="72"/>
        <v>0</v>
      </c>
      <c r="P163" s="117"/>
    </row>
    <row r="164" spans="2:16" outlineLevel="1" x14ac:dyDescent="0.2">
      <c r="B164" s="118"/>
      <c r="C164" s="132"/>
      <c r="D164" s="118"/>
      <c r="E164" s="118"/>
      <c r="F164" s="118"/>
      <c r="G164" s="118"/>
      <c r="H164" s="84" t="s">
        <v>4</v>
      </c>
      <c r="I164" s="83">
        <f t="shared" si="68"/>
        <v>0</v>
      </c>
      <c r="J164" s="75"/>
      <c r="K164" s="75"/>
      <c r="L164" s="75"/>
      <c r="M164" s="75"/>
      <c r="N164" s="75"/>
      <c r="O164" s="75"/>
      <c r="P164" s="118"/>
    </row>
    <row r="165" spans="2:16" outlineLevel="1" x14ac:dyDescent="0.2">
      <c r="B165" s="118"/>
      <c r="C165" s="132"/>
      <c r="D165" s="118"/>
      <c r="E165" s="118"/>
      <c r="F165" s="118"/>
      <c r="G165" s="118"/>
      <c r="H165" s="84" t="s">
        <v>6</v>
      </c>
      <c r="I165" s="83">
        <f t="shared" si="68"/>
        <v>30.4</v>
      </c>
      <c r="J165" s="75"/>
      <c r="K165" s="75"/>
      <c r="L165" s="75">
        <v>30.4</v>
      </c>
      <c r="M165" s="75"/>
      <c r="N165" s="75"/>
      <c r="O165" s="75"/>
      <c r="P165" s="118"/>
    </row>
    <row r="166" spans="2:16" outlineLevel="1" x14ac:dyDescent="0.2">
      <c r="B166" s="119"/>
      <c r="C166" s="133"/>
      <c r="D166" s="119"/>
      <c r="E166" s="119"/>
      <c r="F166" s="119"/>
      <c r="G166" s="119"/>
      <c r="H166" s="84" t="s">
        <v>5</v>
      </c>
      <c r="I166" s="83">
        <f t="shared" si="68"/>
        <v>0</v>
      </c>
      <c r="J166" s="75"/>
      <c r="K166" s="75"/>
      <c r="L166" s="75"/>
      <c r="M166" s="75"/>
      <c r="N166" s="75"/>
      <c r="O166" s="75"/>
      <c r="P166" s="119"/>
    </row>
    <row r="167" spans="2:16" ht="42.75" outlineLevel="1" x14ac:dyDescent="0.2">
      <c r="B167" s="117" t="s">
        <v>1662</v>
      </c>
      <c r="C167" s="117" t="s">
        <v>1657</v>
      </c>
      <c r="D167" s="117" t="s">
        <v>1658</v>
      </c>
      <c r="E167" s="117">
        <v>2022</v>
      </c>
      <c r="F167" s="117"/>
      <c r="G167" s="117" t="s">
        <v>138</v>
      </c>
      <c r="H167" s="84" t="s">
        <v>3</v>
      </c>
      <c r="I167" s="83">
        <f t="shared" si="68"/>
        <v>3.8</v>
      </c>
      <c r="J167" s="83">
        <f t="shared" ref="J167:O167" si="73">J168+J169+J170</f>
        <v>0</v>
      </c>
      <c r="K167" s="83">
        <f t="shared" si="73"/>
        <v>0</v>
      </c>
      <c r="L167" s="83">
        <f t="shared" si="73"/>
        <v>3.8</v>
      </c>
      <c r="M167" s="83">
        <f t="shared" si="73"/>
        <v>0</v>
      </c>
      <c r="N167" s="83">
        <f t="shared" si="73"/>
        <v>0</v>
      </c>
      <c r="O167" s="83">
        <f t="shared" si="73"/>
        <v>0</v>
      </c>
      <c r="P167" s="117"/>
    </row>
    <row r="168" spans="2:16" outlineLevel="1" x14ac:dyDescent="0.2">
      <c r="B168" s="118"/>
      <c r="C168" s="132"/>
      <c r="D168" s="118"/>
      <c r="E168" s="118"/>
      <c r="F168" s="118"/>
      <c r="G168" s="118"/>
      <c r="H168" s="84" t="s">
        <v>4</v>
      </c>
      <c r="I168" s="83">
        <f t="shared" si="68"/>
        <v>0</v>
      </c>
      <c r="J168" s="75"/>
      <c r="K168" s="75"/>
      <c r="L168" s="75"/>
      <c r="M168" s="75"/>
      <c r="N168" s="75"/>
      <c r="O168" s="75"/>
      <c r="P168" s="118"/>
    </row>
    <row r="169" spans="2:16" outlineLevel="1" x14ac:dyDescent="0.2">
      <c r="B169" s="118"/>
      <c r="C169" s="132"/>
      <c r="D169" s="118"/>
      <c r="E169" s="118"/>
      <c r="F169" s="118"/>
      <c r="G169" s="118"/>
      <c r="H169" s="84" t="s">
        <v>6</v>
      </c>
      <c r="I169" s="83">
        <f t="shared" si="68"/>
        <v>3.8</v>
      </c>
      <c r="J169" s="75"/>
      <c r="K169" s="75"/>
      <c r="L169" s="75">
        <v>3.8</v>
      </c>
      <c r="M169" s="75"/>
      <c r="N169" s="75"/>
      <c r="O169" s="75"/>
      <c r="P169" s="118"/>
    </row>
    <row r="170" spans="2:16" outlineLevel="1" x14ac:dyDescent="0.2">
      <c r="B170" s="119"/>
      <c r="C170" s="133"/>
      <c r="D170" s="119"/>
      <c r="E170" s="119"/>
      <c r="F170" s="119"/>
      <c r="G170" s="119"/>
      <c r="H170" s="84" t="s">
        <v>5</v>
      </c>
      <c r="I170" s="83">
        <f t="shared" si="68"/>
        <v>0</v>
      </c>
      <c r="J170" s="75"/>
      <c r="K170" s="75"/>
      <c r="L170" s="75"/>
      <c r="M170" s="75"/>
      <c r="N170" s="75"/>
      <c r="O170" s="75"/>
      <c r="P170" s="119"/>
    </row>
    <row r="171" spans="2:16" ht="42.75" outlineLevel="1" x14ac:dyDescent="0.2">
      <c r="B171" s="117" t="s">
        <v>1663</v>
      </c>
      <c r="C171" s="117" t="s">
        <v>1657</v>
      </c>
      <c r="D171" s="117" t="s">
        <v>1658</v>
      </c>
      <c r="E171" s="117">
        <v>2023</v>
      </c>
      <c r="F171" s="117"/>
      <c r="G171" s="117" t="s">
        <v>138</v>
      </c>
      <c r="H171" s="84" t="s">
        <v>3</v>
      </c>
      <c r="I171" s="83">
        <f t="shared" si="68"/>
        <v>4.0999999999999996</v>
      </c>
      <c r="J171" s="83">
        <f t="shared" ref="J171:O171" si="74">J172+J173+J174</f>
        <v>0</v>
      </c>
      <c r="K171" s="83">
        <f t="shared" si="74"/>
        <v>0</v>
      </c>
      <c r="L171" s="83">
        <f t="shared" si="74"/>
        <v>0</v>
      </c>
      <c r="M171" s="83">
        <f t="shared" si="74"/>
        <v>4.0999999999999996</v>
      </c>
      <c r="N171" s="83">
        <f t="shared" si="74"/>
        <v>0</v>
      </c>
      <c r="O171" s="83">
        <f t="shared" si="74"/>
        <v>0</v>
      </c>
      <c r="P171" s="117"/>
    </row>
    <row r="172" spans="2:16" outlineLevel="1" x14ac:dyDescent="0.2">
      <c r="B172" s="118"/>
      <c r="C172" s="132"/>
      <c r="D172" s="118"/>
      <c r="E172" s="118"/>
      <c r="F172" s="118"/>
      <c r="G172" s="118"/>
      <c r="H172" s="84" t="s">
        <v>4</v>
      </c>
      <c r="I172" s="83">
        <f t="shared" si="68"/>
        <v>0</v>
      </c>
      <c r="J172" s="75"/>
      <c r="K172" s="75"/>
      <c r="L172" s="75"/>
      <c r="M172" s="75"/>
      <c r="N172" s="75"/>
      <c r="O172" s="75"/>
      <c r="P172" s="118"/>
    </row>
    <row r="173" spans="2:16" outlineLevel="1" x14ac:dyDescent="0.2">
      <c r="B173" s="118"/>
      <c r="C173" s="132"/>
      <c r="D173" s="118"/>
      <c r="E173" s="118"/>
      <c r="F173" s="118"/>
      <c r="G173" s="118"/>
      <c r="H173" s="84" t="s">
        <v>6</v>
      </c>
      <c r="I173" s="83">
        <f t="shared" si="68"/>
        <v>4.0999999999999996</v>
      </c>
      <c r="J173" s="75"/>
      <c r="K173" s="75"/>
      <c r="L173" s="75"/>
      <c r="M173" s="75">
        <v>4.0999999999999996</v>
      </c>
      <c r="N173" s="75"/>
      <c r="O173" s="75"/>
      <c r="P173" s="118"/>
    </row>
    <row r="174" spans="2:16" outlineLevel="1" x14ac:dyDescent="0.2">
      <c r="B174" s="119"/>
      <c r="C174" s="133"/>
      <c r="D174" s="119"/>
      <c r="E174" s="119"/>
      <c r="F174" s="119"/>
      <c r="G174" s="119"/>
      <c r="H174" s="84" t="s">
        <v>5</v>
      </c>
      <c r="I174" s="83">
        <f t="shared" si="68"/>
        <v>0</v>
      </c>
      <c r="J174" s="75"/>
      <c r="K174" s="75"/>
      <c r="L174" s="75"/>
      <c r="M174" s="75"/>
      <c r="N174" s="75"/>
      <c r="O174" s="75"/>
      <c r="P174" s="119"/>
    </row>
    <row r="175" spans="2:16" ht="42.75" outlineLevel="1" x14ac:dyDescent="0.2">
      <c r="B175" s="117" t="s">
        <v>1664</v>
      </c>
      <c r="C175" s="117" t="s">
        <v>1657</v>
      </c>
      <c r="D175" s="117" t="s">
        <v>1658</v>
      </c>
      <c r="E175" s="117">
        <v>2024</v>
      </c>
      <c r="F175" s="117"/>
      <c r="G175" s="117" t="s">
        <v>138</v>
      </c>
      <c r="H175" s="84" t="s">
        <v>3</v>
      </c>
      <c r="I175" s="83">
        <f t="shared" si="68"/>
        <v>4.0999999999999996</v>
      </c>
      <c r="J175" s="83">
        <f t="shared" ref="J175:O175" si="75">J176+J177+J178</f>
        <v>0</v>
      </c>
      <c r="K175" s="83">
        <f t="shared" si="75"/>
        <v>0</v>
      </c>
      <c r="L175" s="83">
        <f t="shared" si="75"/>
        <v>0</v>
      </c>
      <c r="M175" s="83">
        <f t="shared" si="75"/>
        <v>0</v>
      </c>
      <c r="N175" s="83">
        <f t="shared" si="75"/>
        <v>4.0999999999999996</v>
      </c>
      <c r="O175" s="83">
        <f t="shared" si="75"/>
        <v>0</v>
      </c>
      <c r="P175" s="117"/>
    </row>
    <row r="176" spans="2:16" outlineLevel="1" x14ac:dyDescent="0.2">
      <c r="B176" s="118"/>
      <c r="C176" s="132"/>
      <c r="D176" s="118"/>
      <c r="E176" s="118"/>
      <c r="F176" s="118"/>
      <c r="G176" s="118"/>
      <c r="H176" s="84" t="s">
        <v>4</v>
      </c>
      <c r="I176" s="83">
        <f t="shared" si="68"/>
        <v>0</v>
      </c>
      <c r="J176" s="75"/>
      <c r="K176" s="75"/>
      <c r="L176" s="75"/>
      <c r="M176" s="75"/>
      <c r="N176" s="75"/>
      <c r="O176" s="75"/>
      <c r="P176" s="118"/>
    </row>
    <row r="177" spans="2:16" outlineLevel="1" x14ac:dyDescent="0.2">
      <c r="B177" s="118"/>
      <c r="C177" s="132"/>
      <c r="D177" s="118"/>
      <c r="E177" s="118"/>
      <c r="F177" s="118"/>
      <c r="G177" s="118"/>
      <c r="H177" s="84" t="s">
        <v>6</v>
      </c>
      <c r="I177" s="83">
        <f t="shared" si="68"/>
        <v>4.0999999999999996</v>
      </c>
      <c r="J177" s="75"/>
      <c r="K177" s="75"/>
      <c r="L177" s="75"/>
      <c r="M177" s="75"/>
      <c r="N177" s="75">
        <v>4.0999999999999996</v>
      </c>
      <c r="O177" s="75"/>
      <c r="P177" s="118"/>
    </row>
    <row r="178" spans="2:16" outlineLevel="1" x14ac:dyDescent="0.2">
      <c r="B178" s="119"/>
      <c r="C178" s="133"/>
      <c r="D178" s="119"/>
      <c r="E178" s="119"/>
      <c r="F178" s="119"/>
      <c r="G178" s="119"/>
      <c r="H178" s="84" t="s">
        <v>5</v>
      </c>
      <c r="I178" s="83">
        <f t="shared" si="68"/>
        <v>0</v>
      </c>
      <c r="J178" s="75"/>
      <c r="K178" s="75"/>
      <c r="L178" s="75"/>
      <c r="M178" s="75"/>
      <c r="N178" s="75"/>
      <c r="O178" s="75"/>
      <c r="P178" s="119"/>
    </row>
    <row r="179" spans="2:16" ht="42.75" outlineLevel="1" x14ac:dyDescent="0.2">
      <c r="B179" s="117" t="s">
        <v>1665</v>
      </c>
      <c r="C179" s="117" t="s">
        <v>1657</v>
      </c>
      <c r="D179" s="117" t="s">
        <v>1658</v>
      </c>
      <c r="E179" s="117">
        <v>2021</v>
      </c>
      <c r="F179" s="117"/>
      <c r="G179" s="117" t="s">
        <v>138</v>
      </c>
      <c r="H179" s="84" t="s">
        <v>3</v>
      </c>
      <c r="I179" s="83">
        <f t="shared" si="68"/>
        <v>20.5</v>
      </c>
      <c r="J179" s="83">
        <f t="shared" ref="J179:O179" si="76">J180+J181+J182</f>
        <v>0</v>
      </c>
      <c r="K179" s="83">
        <f t="shared" si="76"/>
        <v>20.5</v>
      </c>
      <c r="L179" s="83">
        <f t="shared" si="76"/>
        <v>0</v>
      </c>
      <c r="M179" s="83">
        <f t="shared" si="76"/>
        <v>0</v>
      </c>
      <c r="N179" s="83">
        <f t="shared" si="76"/>
        <v>0</v>
      </c>
      <c r="O179" s="83">
        <f t="shared" si="76"/>
        <v>0</v>
      </c>
      <c r="P179" s="117"/>
    </row>
    <row r="180" spans="2:16" outlineLevel="1" x14ac:dyDescent="0.2">
      <c r="B180" s="118"/>
      <c r="C180" s="132"/>
      <c r="D180" s="118"/>
      <c r="E180" s="118"/>
      <c r="F180" s="118"/>
      <c r="G180" s="118"/>
      <c r="H180" s="84" t="s">
        <v>4</v>
      </c>
      <c r="I180" s="83">
        <f t="shared" si="68"/>
        <v>0</v>
      </c>
      <c r="J180" s="75"/>
      <c r="K180" s="75"/>
      <c r="L180" s="75"/>
      <c r="M180" s="75"/>
      <c r="N180" s="75"/>
      <c r="O180" s="75"/>
      <c r="P180" s="118"/>
    </row>
    <row r="181" spans="2:16" outlineLevel="1" x14ac:dyDescent="0.2">
      <c r="B181" s="118"/>
      <c r="C181" s="132"/>
      <c r="D181" s="118"/>
      <c r="E181" s="118"/>
      <c r="F181" s="118"/>
      <c r="G181" s="118"/>
      <c r="H181" s="84" t="s">
        <v>6</v>
      </c>
      <c r="I181" s="83">
        <f t="shared" si="68"/>
        <v>20.5</v>
      </c>
      <c r="J181" s="75"/>
      <c r="K181" s="75">
        <v>20.5</v>
      </c>
      <c r="L181" s="75"/>
      <c r="M181" s="75"/>
      <c r="N181" s="75"/>
      <c r="O181" s="75"/>
      <c r="P181" s="118"/>
    </row>
    <row r="182" spans="2:16" outlineLevel="1" x14ac:dyDescent="0.2">
      <c r="B182" s="119"/>
      <c r="C182" s="133"/>
      <c r="D182" s="119"/>
      <c r="E182" s="119"/>
      <c r="F182" s="119"/>
      <c r="G182" s="119"/>
      <c r="H182" s="84" t="s">
        <v>5</v>
      </c>
      <c r="I182" s="83">
        <f t="shared" si="68"/>
        <v>0</v>
      </c>
      <c r="J182" s="75"/>
      <c r="K182" s="75"/>
      <c r="L182" s="75"/>
      <c r="M182" s="75"/>
      <c r="N182" s="75"/>
      <c r="O182" s="75"/>
      <c r="P182" s="119"/>
    </row>
    <row r="183" spans="2:16" ht="42.75" outlineLevel="1" x14ac:dyDescent="0.2">
      <c r="B183" s="117" t="s">
        <v>1666</v>
      </c>
      <c r="C183" s="117" t="s">
        <v>1657</v>
      </c>
      <c r="D183" s="117" t="s">
        <v>1667</v>
      </c>
      <c r="E183" s="117">
        <v>2023</v>
      </c>
      <c r="F183" s="117"/>
      <c r="G183" s="117" t="s">
        <v>138</v>
      </c>
      <c r="H183" s="84" t="s">
        <v>3</v>
      </c>
      <c r="I183" s="83">
        <f t="shared" si="68"/>
        <v>20.5</v>
      </c>
      <c r="J183" s="83">
        <f t="shared" ref="J183:O183" si="77">J184+J185+J186</f>
        <v>0</v>
      </c>
      <c r="K183" s="83">
        <f t="shared" si="77"/>
        <v>0</v>
      </c>
      <c r="L183" s="83">
        <f t="shared" si="77"/>
        <v>0</v>
      </c>
      <c r="M183" s="83">
        <f t="shared" si="77"/>
        <v>20.5</v>
      </c>
      <c r="N183" s="83">
        <f t="shared" si="77"/>
        <v>0</v>
      </c>
      <c r="O183" s="83">
        <f t="shared" si="77"/>
        <v>0</v>
      </c>
      <c r="P183" s="117"/>
    </row>
    <row r="184" spans="2:16" outlineLevel="1" x14ac:dyDescent="0.2">
      <c r="B184" s="118"/>
      <c r="C184" s="132"/>
      <c r="D184" s="118"/>
      <c r="E184" s="118"/>
      <c r="F184" s="118"/>
      <c r="G184" s="118"/>
      <c r="H184" s="84" t="s">
        <v>4</v>
      </c>
      <c r="I184" s="83">
        <f t="shared" si="68"/>
        <v>0</v>
      </c>
      <c r="J184" s="75"/>
      <c r="K184" s="75"/>
      <c r="L184" s="75"/>
      <c r="M184" s="75"/>
      <c r="N184" s="75"/>
      <c r="O184" s="75"/>
      <c r="P184" s="118"/>
    </row>
    <row r="185" spans="2:16" outlineLevel="1" x14ac:dyDescent="0.2">
      <c r="B185" s="118"/>
      <c r="C185" s="132"/>
      <c r="D185" s="118"/>
      <c r="E185" s="118"/>
      <c r="F185" s="118"/>
      <c r="G185" s="118"/>
      <c r="H185" s="84" t="s">
        <v>6</v>
      </c>
      <c r="I185" s="83">
        <f t="shared" si="68"/>
        <v>20.5</v>
      </c>
      <c r="J185" s="75"/>
      <c r="K185" s="75"/>
      <c r="L185" s="75"/>
      <c r="M185" s="75">
        <v>20.5</v>
      </c>
      <c r="N185" s="75"/>
      <c r="O185" s="75"/>
      <c r="P185" s="118"/>
    </row>
    <row r="186" spans="2:16" outlineLevel="1" x14ac:dyDescent="0.2">
      <c r="B186" s="119"/>
      <c r="C186" s="133"/>
      <c r="D186" s="119"/>
      <c r="E186" s="119"/>
      <c r="F186" s="119"/>
      <c r="G186" s="119"/>
      <c r="H186" s="84" t="s">
        <v>5</v>
      </c>
      <c r="I186" s="83">
        <f t="shared" si="68"/>
        <v>0</v>
      </c>
      <c r="J186" s="75"/>
      <c r="K186" s="75"/>
      <c r="L186" s="75"/>
      <c r="M186" s="75"/>
      <c r="N186" s="75"/>
      <c r="O186" s="75"/>
      <c r="P186" s="119"/>
    </row>
    <row r="187" spans="2:16" ht="42.75" outlineLevel="1" x14ac:dyDescent="0.2">
      <c r="B187" s="117" t="s">
        <v>1668</v>
      </c>
      <c r="C187" s="117" t="s">
        <v>1657</v>
      </c>
      <c r="D187" s="117" t="s">
        <v>1669</v>
      </c>
      <c r="E187" s="117">
        <v>2024</v>
      </c>
      <c r="F187" s="117"/>
      <c r="G187" s="117" t="s">
        <v>138</v>
      </c>
      <c r="H187" s="84" t="s">
        <v>3</v>
      </c>
      <c r="I187" s="83">
        <f t="shared" si="68"/>
        <v>20.5</v>
      </c>
      <c r="J187" s="83">
        <f t="shared" ref="J187:O187" si="78">J188+J189+J190</f>
        <v>0</v>
      </c>
      <c r="K187" s="83">
        <f t="shared" si="78"/>
        <v>0</v>
      </c>
      <c r="L187" s="83">
        <f t="shared" si="78"/>
        <v>0</v>
      </c>
      <c r="M187" s="83">
        <f t="shared" si="78"/>
        <v>0</v>
      </c>
      <c r="N187" s="83">
        <f t="shared" si="78"/>
        <v>20.5</v>
      </c>
      <c r="O187" s="83">
        <f t="shared" si="78"/>
        <v>0</v>
      </c>
      <c r="P187" s="117"/>
    </row>
    <row r="188" spans="2:16" outlineLevel="1" x14ac:dyDescent="0.2">
      <c r="B188" s="118"/>
      <c r="C188" s="132"/>
      <c r="D188" s="118"/>
      <c r="E188" s="118"/>
      <c r="F188" s="118"/>
      <c r="G188" s="118"/>
      <c r="H188" s="84" t="s">
        <v>4</v>
      </c>
      <c r="I188" s="83">
        <f t="shared" si="68"/>
        <v>0</v>
      </c>
      <c r="J188" s="75"/>
      <c r="K188" s="75"/>
      <c r="L188" s="75"/>
      <c r="M188" s="75"/>
      <c r="N188" s="75"/>
      <c r="O188" s="75"/>
      <c r="P188" s="118"/>
    </row>
    <row r="189" spans="2:16" outlineLevel="1" x14ac:dyDescent="0.2">
      <c r="B189" s="118"/>
      <c r="C189" s="132"/>
      <c r="D189" s="118"/>
      <c r="E189" s="118"/>
      <c r="F189" s="118"/>
      <c r="G189" s="118"/>
      <c r="H189" s="84" t="s">
        <v>6</v>
      </c>
      <c r="I189" s="83">
        <f t="shared" si="68"/>
        <v>20.5</v>
      </c>
      <c r="J189" s="75"/>
      <c r="K189" s="75"/>
      <c r="L189" s="75"/>
      <c r="M189" s="75"/>
      <c r="N189" s="75">
        <v>20.5</v>
      </c>
      <c r="O189" s="75"/>
      <c r="P189" s="118"/>
    </row>
    <row r="190" spans="2:16" outlineLevel="1" x14ac:dyDescent="0.2">
      <c r="B190" s="119"/>
      <c r="C190" s="133"/>
      <c r="D190" s="119"/>
      <c r="E190" s="119"/>
      <c r="F190" s="119"/>
      <c r="G190" s="119"/>
      <c r="H190" s="84" t="s">
        <v>5</v>
      </c>
      <c r="I190" s="83">
        <f t="shared" si="68"/>
        <v>0</v>
      </c>
      <c r="J190" s="75"/>
      <c r="K190" s="75"/>
      <c r="L190" s="75"/>
      <c r="M190" s="75"/>
      <c r="N190" s="75"/>
      <c r="O190" s="75"/>
      <c r="P190" s="119"/>
    </row>
    <row r="191" spans="2:16" ht="42.75" outlineLevel="1" x14ac:dyDescent="0.2">
      <c r="B191" s="117" t="s">
        <v>1670</v>
      </c>
      <c r="C191" s="117" t="s">
        <v>1657</v>
      </c>
      <c r="D191" s="117" t="s">
        <v>1671</v>
      </c>
      <c r="E191" s="117">
        <v>2024</v>
      </c>
      <c r="F191" s="117"/>
      <c r="G191" s="117" t="s">
        <v>138</v>
      </c>
      <c r="H191" s="84" t="s">
        <v>3</v>
      </c>
      <c r="I191" s="83">
        <f t="shared" si="68"/>
        <v>20.5</v>
      </c>
      <c r="J191" s="83">
        <f t="shared" ref="J191:O191" si="79">J192+J193+J194</f>
        <v>0</v>
      </c>
      <c r="K191" s="83">
        <f t="shared" si="79"/>
        <v>0</v>
      </c>
      <c r="L191" s="83">
        <f t="shared" si="79"/>
        <v>0</v>
      </c>
      <c r="M191" s="83">
        <f t="shared" si="79"/>
        <v>0</v>
      </c>
      <c r="N191" s="83">
        <f t="shared" si="79"/>
        <v>20.5</v>
      </c>
      <c r="O191" s="83">
        <f t="shared" si="79"/>
        <v>0</v>
      </c>
      <c r="P191" s="117"/>
    </row>
    <row r="192" spans="2:16" outlineLevel="1" x14ac:dyDescent="0.2">
      <c r="B192" s="118"/>
      <c r="C192" s="132"/>
      <c r="D192" s="118"/>
      <c r="E192" s="118"/>
      <c r="F192" s="118"/>
      <c r="G192" s="118"/>
      <c r="H192" s="84" t="s">
        <v>4</v>
      </c>
      <c r="I192" s="83">
        <f t="shared" si="68"/>
        <v>0</v>
      </c>
      <c r="J192" s="75"/>
      <c r="K192" s="75"/>
      <c r="L192" s="75"/>
      <c r="M192" s="75"/>
      <c r="N192" s="75"/>
      <c r="O192" s="75"/>
      <c r="P192" s="118"/>
    </row>
    <row r="193" spans="2:17" outlineLevel="1" x14ac:dyDescent="0.2">
      <c r="B193" s="118"/>
      <c r="C193" s="132"/>
      <c r="D193" s="118"/>
      <c r="E193" s="118"/>
      <c r="F193" s="118"/>
      <c r="G193" s="118"/>
      <c r="H193" s="84" t="s">
        <v>6</v>
      </c>
      <c r="I193" s="83">
        <f t="shared" si="68"/>
        <v>20.5</v>
      </c>
      <c r="J193" s="75"/>
      <c r="K193" s="75"/>
      <c r="L193" s="75"/>
      <c r="M193" s="75"/>
      <c r="N193" s="75">
        <v>20.5</v>
      </c>
      <c r="O193" s="75"/>
      <c r="P193" s="118"/>
    </row>
    <row r="194" spans="2:17" outlineLevel="1" x14ac:dyDescent="0.2">
      <c r="B194" s="119"/>
      <c r="C194" s="133"/>
      <c r="D194" s="119"/>
      <c r="E194" s="119"/>
      <c r="F194" s="119"/>
      <c r="G194" s="119"/>
      <c r="H194" s="84" t="s">
        <v>5</v>
      </c>
      <c r="I194" s="83">
        <f t="shared" si="68"/>
        <v>0</v>
      </c>
      <c r="J194" s="75"/>
      <c r="K194" s="75"/>
      <c r="L194" s="75"/>
      <c r="M194" s="75"/>
      <c r="N194" s="75"/>
      <c r="O194" s="75"/>
      <c r="P194" s="119"/>
    </row>
    <row r="195" spans="2:17" ht="42.75" outlineLevel="1" x14ac:dyDescent="0.2">
      <c r="B195" s="117" t="s">
        <v>1672</v>
      </c>
      <c r="C195" s="117" t="s">
        <v>1657</v>
      </c>
      <c r="D195" s="117" t="s">
        <v>1673</v>
      </c>
      <c r="E195" s="117">
        <v>2024</v>
      </c>
      <c r="F195" s="117"/>
      <c r="G195" s="117" t="s">
        <v>138</v>
      </c>
      <c r="H195" s="84" t="s">
        <v>3</v>
      </c>
      <c r="I195" s="83">
        <f t="shared" si="68"/>
        <v>20.5</v>
      </c>
      <c r="J195" s="83">
        <f t="shared" ref="J195:O195" si="80">J196+J197+J198</f>
        <v>0</v>
      </c>
      <c r="K195" s="83">
        <f t="shared" si="80"/>
        <v>0</v>
      </c>
      <c r="L195" s="83">
        <f t="shared" si="80"/>
        <v>0</v>
      </c>
      <c r="M195" s="83">
        <f t="shared" si="80"/>
        <v>0</v>
      </c>
      <c r="N195" s="83">
        <f t="shared" si="80"/>
        <v>20.5</v>
      </c>
      <c r="O195" s="83">
        <f t="shared" si="80"/>
        <v>0</v>
      </c>
      <c r="P195" s="117">
        <v>824</v>
      </c>
    </row>
    <row r="196" spans="2:17" outlineLevel="1" x14ac:dyDescent="0.2">
      <c r="B196" s="118"/>
      <c r="C196" s="132"/>
      <c r="D196" s="118"/>
      <c r="E196" s="118"/>
      <c r="F196" s="118"/>
      <c r="G196" s="118"/>
      <c r="H196" s="84" t="s">
        <v>4</v>
      </c>
      <c r="I196" s="83">
        <f t="shared" si="68"/>
        <v>0</v>
      </c>
      <c r="J196" s="75"/>
      <c r="K196" s="75"/>
      <c r="L196" s="75"/>
      <c r="M196" s="75"/>
      <c r="N196" s="75"/>
      <c r="O196" s="75"/>
      <c r="P196" s="118"/>
    </row>
    <row r="197" spans="2:17" outlineLevel="1" x14ac:dyDescent="0.2">
      <c r="B197" s="118"/>
      <c r="C197" s="132"/>
      <c r="D197" s="118"/>
      <c r="E197" s="118"/>
      <c r="F197" s="118"/>
      <c r="G197" s="118"/>
      <c r="H197" s="84" t="s">
        <v>6</v>
      </c>
      <c r="I197" s="83">
        <f t="shared" si="68"/>
        <v>20.5</v>
      </c>
      <c r="J197" s="75"/>
      <c r="K197" s="75"/>
      <c r="L197" s="75"/>
      <c r="M197" s="75"/>
      <c r="N197" s="75">
        <v>20.5</v>
      </c>
      <c r="O197" s="75"/>
      <c r="P197" s="118"/>
    </row>
    <row r="198" spans="2:17" outlineLevel="1" x14ac:dyDescent="0.2">
      <c r="B198" s="119"/>
      <c r="C198" s="133"/>
      <c r="D198" s="119"/>
      <c r="E198" s="119"/>
      <c r="F198" s="119"/>
      <c r="G198" s="119"/>
      <c r="H198" s="84" t="s">
        <v>5</v>
      </c>
      <c r="I198" s="83">
        <f t="shared" si="68"/>
        <v>0</v>
      </c>
      <c r="J198" s="75"/>
      <c r="K198" s="75"/>
      <c r="L198" s="75"/>
      <c r="M198" s="75"/>
      <c r="N198" s="75"/>
      <c r="O198" s="75"/>
      <c r="P198" s="119"/>
    </row>
    <row r="199" spans="2:17" ht="42.75" x14ac:dyDescent="0.2">
      <c r="B199" s="128" t="s">
        <v>57</v>
      </c>
      <c r="C199" s="128" t="s">
        <v>38</v>
      </c>
      <c r="D199" s="128" t="s">
        <v>38</v>
      </c>
      <c r="E199" s="128" t="s">
        <v>38</v>
      </c>
      <c r="F199" s="128" t="s">
        <v>38</v>
      </c>
      <c r="G199" s="128" t="s">
        <v>38</v>
      </c>
      <c r="H199" s="84" t="s">
        <v>3</v>
      </c>
      <c r="I199" s="14">
        <f>SUMIF($H$151:$H$198,"Объем*",I$151:I$198)</f>
        <v>195.29999999999998</v>
      </c>
      <c r="J199" s="14">
        <f t="shared" ref="J199:O199" si="81">SUMIF($H$151:$H$198,"Объем*",J$151:J$198)</f>
        <v>35.799999999999997</v>
      </c>
      <c r="K199" s="14">
        <f t="shared" si="81"/>
        <v>35.1</v>
      </c>
      <c r="L199" s="14">
        <f t="shared" si="81"/>
        <v>34.199999999999996</v>
      </c>
      <c r="M199" s="14">
        <f t="shared" si="81"/>
        <v>24.6</v>
      </c>
      <c r="N199" s="14">
        <f t="shared" si="81"/>
        <v>65.599999999999994</v>
      </c>
      <c r="O199" s="14">
        <f t="shared" si="81"/>
        <v>0</v>
      </c>
      <c r="P199" s="128"/>
      <c r="Q199" s="7"/>
    </row>
    <row r="200" spans="2:17" ht="15.75" x14ac:dyDescent="0.2">
      <c r="B200" s="129"/>
      <c r="C200" s="129"/>
      <c r="D200" s="129"/>
      <c r="E200" s="129"/>
      <c r="F200" s="129"/>
      <c r="G200" s="129"/>
      <c r="H200" s="84" t="s">
        <v>4</v>
      </c>
      <c r="I200" s="14">
        <f>SUMIF($H$151:$H$198,"фед*",I$151:I$198)</f>
        <v>0</v>
      </c>
      <c r="J200" s="14">
        <f t="shared" ref="J200:O200" si="82">SUMIF($H$151:$H$198,"фед*",J$151:J$198)</f>
        <v>0</v>
      </c>
      <c r="K200" s="14">
        <f t="shared" si="82"/>
        <v>0</v>
      </c>
      <c r="L200" s="14">
        <f t="shared" si="82"/>
        <v>0</v>
      </c>
      <c r="M200" s="14">
        <f t="shared" si="82"/>
        <v>0</v>
      </c>
      <c r="N200" s="14">
        <f t="shared" si="82"/>
        <v>0</v>
      </c>
      <c r="O200" s="14">
        <f t="shared" si="82"/>
        <v>0</v>
      </c>
      <c r="P200" s="129"/>
    </row>
    <row r="201" spans="2:17" ht="15.75" x14ac:dyDescent="0.2">
      <c r="B201" s="129"/>
      <c r="C201" s="129"/>
      <c r="D201" s="129"/>
      <c r="E201" s="129"/>
      <c r="F201" s="129"/>
      <c r="G201" s="129"/>
      <c r="H201" s="84" t="s">
        <v>6</v>
      </c>
      <c r="I201" s="14">
        <f>SUMIF($H$151:$H$198,"конс*",I$151:I$198)</f>
        <v>195.29999999999998</v>
      </c>
      <c r="J201" s="14">
        <f t="shared" ref="J201:O201" si="83">SUMIF($H$151:$H$198,"конс*",J$151:J$198)</f>
        <v>35.799999999999997</v>
      </c>
      <c r="K201" s="14">
        <f t="shared" si="83"/>
        <v>35.1</v>
      </c>
      <c r="L201" s="14">
        <f t="shared" si="83"/>
        <v>34.199999999999996</v>
      </c>
      <c r="M201" s="14">
        <f t="shared" si="83"/>
        <v>24.6</v>
      </c>
      <c r="N201" s="14">
        <f t="shared" si="83"/>
        <v>65.599999999999994</v>
      </c>
      <c r="O201" s="14">
        <f t="shared" si="83"/>
        <v>0</v>
      </c>
      <c r="P201" s="129"/>
    </row>
    <row r="202" spans="2:17" ht="15.75" x14ac:dyDescent="0.2">
      <c r="B202" s="130"/>
      <c r="C202" s="130"/>
      <c r="D202" s="130"/>
      <c r="E202" s="130"/>
      <c r="F202" s="130"/>
      <c r="G202" s="130"/>
      <c r="H202" s="84" t="s">
        <v>5</v>
      </c>
      <c r="I202" s="14">
        <f>SUMIF($H$151:$H$198,"вне*",I$151:I$198)</f>
        <v>0</v>
      </c>
      <c r="J202" s="14">
        <f t="shared" ref="J202:O202" si="84">SUMIF($H$151:$H$198,"вне*",J$151:J$198)</f>
        <v>0</v>
      </c>
      <c r="K202" s="14">
        <f t="shared" si="84"/>
        <v>0</v>
      </c>
      <c r="L202" s="14">
        <f t="shared" si="84"/>
        <v>0</v>
      </c>
      <c r="M202" s="14">
        <f t="shared" si="84"/>
        <v>0</v>
      </c>
      <c r="N202" s="14">
        <f t="shared" si="84"/>
        <v>0</v>
      </c>
      <c r="O202" s="14">
        <f t="shared" si="84"/>
        <v>0</v>
      </c>
      <c r="P202" s="130"/>
    </row>
    <row r="203" spans="2:17" ht="25.5" customHeight="1" x14ac:dyDescent="0.2">
      <c r="B203" s="111" t="s">
        <v>409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3"/>
    </row>
    <row r="204" spans="2:17" ht="42.75" outlineLevel="1" x14ac:dyDescent="0.2">
      <c r="B204" s="117" t="s">
        <v>1650</v>
      </c>
      <c r="C204" s="117"/>
      <c r="D204" s="117" t="s">
        <v>1674</v>
      </c>
      <c r="E204" s="117">
        <v>2020</v>
      </c>
      <c r="F204" s="117"/>
      <c r="G204" s="117" t="s">
        <v>138</v>
      </c>
      <c r="H204" s="84" t="s">
        <v>3</v>
      </c>
      <c r="I204" s="83">
        <f t="shared" ref="I204:I207" si="85">SUM(J204:O204)</f>
        <v>30.4</v>
      </c>
      <c r="J204" s="83">
        <f t="shared" ref="J204:O204" si="86">J205+J206+J207</f>
        <v>30.4</v>
      </c>
      <c r="K204" s="83">
        <f t="shared" si="86"/>
        <v>0</v>
      </c>
      <c r="L204" s="83">
        <f t="shared" si="86"/>
        <v>0</v>
      </c>
      <c r="M204" s="83">
        <f t="shared" si="86"/>
        <v>0</v>
      </c>
      <c r="N204" s="83">
        <f t="shared" si="86"/>
        <v>0</v>
      </c>
      <c r="O204" s="83">
        <f t="shared" si="86"/>
        <v>0</v>
      </c>
      <c r="P204" s="117"/>
    </row>
    <row r="205" spans="2:17" outlineLevel="1" x14ac:dyDescent="0.2">
      <c r="B205" s="118"/>
      <c r="C205" s="132"/>
      <c r="D205" s="118"/>
      <c r="E205" s="118"/>
      <c r="F205" s="118"/>
      <c r="G205" s="118"/>
      <c r="H205" s="84" t="s">
        <v>4</v>
      </c>
      <c r="I205" s="83">
        <f t="shared" si="85"/>
        <v>0</v>
      </c>
      <c r="J205" s="75"/>
      <c r="K205" s="75"/>
      <c r="L205" s="75"/>
      <c r="M205" s="75"/>
      <c r="N205" s="75"/>
      <c r="O205" s="75"/>
      <c r="P205" s="118"/>
    </row>
    <row r="206" spans="2:17" outlineLevel="1" x14ac:dyDescent="0.2">
      <c r="B206" s="118"/>
      <c r="C206" s="132"/>
      <c r="D206" s="118"/>
      <c r="E206" s="118"/>
      <c r="F206" s="118"/>
      <c r="G206" s="118"/>
      <c r="H206" s="84" t="s">
        <v>6</v>
      </c>
      <c r="I206" s="83">
        <f t="shared" si="85"/>
        <v>30.4</v>
      </c>
      <c r="J206" s="75">
        <v>30.4</v>
      </c>
      <c r="K206" s="75"/>
      <c r="L206" s="75"/>
      <c r="M206" s="75"/>
      <c r="N206" s="75"/>
      <c r="O206" s="75"/>
      <c r="P206" s="118"/>
    </row>
    <row r="207" spans="2:17" outlineLevel="1" x14ac:dyDescent="0.2">
      <c r="B207" s="119"/>
      <c r="C207" s="133"/>
      <c r="D207" s="119"/>
      <c r="E207" s="119"/>
      <c r="F207" s="119"/>
      <c r="G207" s="119"/>
      <c r="H207" s="84" t="s">
        <v>5</v>
      </c>
      <c r="I207" s="83">
        <f t="shared" si="85"/>
        <v>0</v>
      </c>
      <c r="J207" s="75"/>
      <c r="K207" s="75"/>
      <c r="L207" s="75"/>
      <c r="M207" s="75"/>
      <c r="N207" s="75"/>
      <c r="O207" s="75"/>
      <c r="P207" s="119"/>
    </row>
    <row r="208" spans="2:17" ht="42.75" x14ac:dyDescent="0.2">
      <c r="B208" s="128" t="s">
        <v>414</v>
      </c>
      <c r="C208" s="128" t="s">
        <v>38</v>
      </c>
      <c r="D208" s="128" t="s">
        <v>38</v>
      </c>
      <c r="E208" s="128" t="s">
        <v>38</v>
      </c>
      <c r="F208" s="128" t="s">
        <v>38</v>
      </c>
      <c r="G208" s="128" t="s">
        <v>38</v>
      </c>
      <c r="H208" s="84" t="s">
        <v>3</v>
      </c>
      <c r="I208" s="14">
        <f>SUMIF($H$204:$H$207,"Объем*",I$204:I$207)</f>
        <v>30.4</v>
      </c>
      <c r="J208" s="14">
        <f t="shared" ref="J208:O208" si="87">SUMIF($H$204:$H$207,"Объем*",J$204:J$207)</f>
        <v>30.4</v>
      </c>
      <c r="K208" s="14">
        <f t="shared" si="87"/>
        <v>0</v>
      </c>
      <c r="L208" s="14">
        <f t="shared" si="87"/>
        <v>0</v>
      </c>
      <c r="M208" s="14">
        <f t="shared" si="87"/>
        <v>0</v>
      </c>
      <c r="N208" s="14">
        <f t="shared" si="87"/>
        <v>0</v>
      </c>
      <c r="O208" s="14">
        <f t="shared" si="87"/>
        <v>0</v>
      </c>
      <c r="P208" s="128"/>
      <c r="Q208" s="7"/>
    </row>
    <row r="209" spans="2:17" ht="15.75" x14ac:dyDescent="0.2">
      <c r="B209" s="129"/>
      <c r="C209" s="129"/>
      <c r="D209" s="129"/>
      <c r="E209" s="129"/>
      <c r="F209" s="129"/>
      <c r="G209" s="129"/>
      <c r="H209" s="84" t="s">
        <v>4</v>
      </c>
      <c r="I209" s="14">
        <f>SUMIF($H$204:$H$207,"фед*",I$204:I$207)</f>
        <v>0</v>
      </c>
      <c r="J209" s="14">
        <f t="shared" ref="J209:O209" si="88">SUMIF($H$204:$H$207,"фед*",J$204:J$207)</f>
        <v>0</v>
      </c>
      <c r="K209" s="14">
        <f t="shared" si="88"/>
        <v>0</v>
      </c>
      <c r="L209" s="14">
        <f t="shared" si="88"/>
        <v>0</v>
      </c>
      <c r="M209" s="14">
        <f t="shared" si="88"/>
        <v>0</v>
      </c>
      <c r="N209" s="14">
        <f t="shared" si="88"/>
        <v>0</v>
      </c>
      <c r="O209" s="14">
        <f t="shared" si="88"/>
        <v>0</v>
      </c>
      <c r="P209" s="129"/>
    </row>
    <row r="210" spans="2:17" ht="15.75" x14ac:dyDescent="0.2">
      <c r="B210" s="129"/>
      <c r="C210" s="129"/>
      <c r="D210" s="129"/>
      <c r="E210" s="129"/>
      <c r="F210" s="129"/>
      <c r="G210" s="129"/>
      <c r="H210" s="84" t="s">
        <v>6</v>
      </c>
      <c r="I210" s="14">
        <f>SUMIF($H$204:$H$207,"конс*",I$204:I$207)</f>
        <v>30.4</v>
      </c>
      <c r="J210" s="14">
        <f t="shared" ref="J210:O210" si="89">SUMIF($H$204:$H$207,"конс*",J$204:J$207)</f>
        <v>30.4</v>
      </c>
      <c r="K210" s="14">
        <f t="shared" si="89"/>
        <v>0</v>
      </c>
      <c r="L210" s="14">
        <f t="shared" si="89"/>
        <v>0</v>
      </c>
      <c r="M210" s="14">
        <f t="shared" si="89"/>
        <v>0</v>
      </c>
      <c r="N210" s="14">
        <f t="shared" si="89"/>
        <v>0</v>
      </c>
      <c r="O210" s="14">
        <f t="shared" si="89"/>
        <v>0</v>
      </c>
      <c r="P210" s="129"/>
    </row>
    <row r="211" spans="2:17" ht="15.75" x14ac:dyDescent="0.2">
      <c r="B211" s="130"/>
      <c r="C211" s="130"/>
      <c r="D211" s="130"/>
      <c r="E211" s="130"/>
      <c r="F211" s="130"/>
      <c r="G211" s="130"/>
      <c r="H211" s="84" t="s">
        <v>5</v>
      </c>
      <c r="I211" s="14">
        <f>SUMIF($H$204:$H$207,"вне*",I$204:I$207)</f>
        <v>0</v>
      </c>
      <c r="J211" s="14">
        <f t="shared" ref="J211:O211" si="90">SUMIF($H$204:$H$207,"вне*",J$204:J$207)</f>
        <v>0</v>
      </c>
      <c r="K211" s="14">
        <f t="shared" si="90"/>
        <v>0</v>
      </c>
      <c r="L211" s="14">
        <f t="shared" si="90"/>
        <v>0</v>
      </c>
      <c r="M211" s="14">
        <f t="shared" si="90"/>
        <v>0</v>
      </c>
      <c r="N211" s="14">
        <f t="shared" si="90"/>
        <v>0</v>
      </c>
      <c r="O211" s="14">
        <f t="shared" si="90"/>
        <v>0</v>
      </c>
      <c r="P211" s="130"/>
    </row>
    <row r="212" spans="2:17" ht="25.5" customHeight="1" x14ac:dyDescent="0.2">
      <c r="B212" s="111" t="s">
        <v>58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3"/>
    </row>
    <row r="213" spans="2:17" ht="42.75" outlineLevel="1" x14ac:dyDescent="0.2">
      <c r="B213" s="117" t="s">
        <v>1675</v>
      </c>
      <c r="C213" s="117" t="s">
        <v>1620</v>
      </c>
      <c r="D213" s="150" t="s">
        <v>418</v>
      </c>
      <c r="E213" s="117" t="s">
        <v>34</v>
      </c>
      <c r="F213" s="117"/>
      <c r="G213" s="139"/>
      <c r="H213" s="84" t="s">
        <v>3</v>
      </c>
      <c r="I213" s="83">
        <f>SUM(J213:O213)</f>
        <v>510</v>
      </c>
      <c r="J213" s="83">
        <f t="shared" ref="J213:O213" si="91">J214+J215+J216</f>
        <v>0</v>
      </c>
      <c r="K213" s="83">
        <f t="shared" si="91"/>
        <v>10</v>
      </c>
      <c r="L213" s="83">
        <f t="shared" si="91"/>
        <v>0</v>
      </c>
      <c r="M213" s="83">
        <f t="shared" si="91"/>
        <v>500</v>
      </c>
      <c r="N213" s="83">
        <f t="shared" si="91"/>
        <v>0</v>
      </c>
      <c r="O213" s="83">
        <f t="shared" si="91"/>
        <v>0</v>
      </c>
      <c r="P213" s="178">
        <v>34927</v>
      </c>
    </row>
    <row r="214" spans="2:17" ht="17.25" customHeight="1" outlineLevel="1" x14ac:dyDescent="0.2">
      <c r="B214" s="118"/>
      <c r="C214" s="118"/>
      <c r="D214" s="151"/>
      <c r="E214" s="118"/>
      <c r="F214" s="118"/>
      <c r="G214" s="140"/>
      <c r="H214" s="84" t="s">
        <v>4</v>
      </c>
      <c r="I214" s="83"/>
      <c r="J214" s="83"/>
      <c r="K214" s="83"/>
      <c r="L214" s="75"/>
      <c r="M214" s="83"/>
      <c r="N214" s="83"/>
      <c r="O214" s="83"/>
      <c r="P214" s="178"/>
    </row>
    <row r="215" spans="2:17" ht="17.25" customHeight="1" outlineLevel="1" x14ac:dyDescent="0.2">
      <c r="B215" s="118"/>
      <c r="C215" s="118"/>
      <c r="D215" s="151"/>
      <c r="E215" s="118"/>
      <c r="F215" s="118"/>
      <c r="G215" s="140"/>
      <c r="H215" s="84" t="s">
        <v>6</v>
      </c>
      <c r="I215" s="83">
        <f>SUM(J215:O215)</f>
        <v>510</v>
      </c>
      <c r="J215" s="83"/>
      <c r="K215" s="83">
        <v>10</v>
      </c>
      <c r="L215" s="75"/>
      <c r="M215" s="83">
        <v>500</v>
      </c>
      <c r="N215" s="83"/>
      <c r="O215" s="83"/>
      <c r="P215" s="178"/>
    </row>
    <row r="216" spans="2:17" ht="17.25" customHeight="1" outlineLevel="1" x14ac:dyDescent="0.2">
      <c r="B216" s="119"/>
      <c r="C216" s="119"/>
      <c r="D216" s="152"/>
      <c r="E216" s="119"/>
      <c r="F216" s="119"/>
      <c r="G216" s="141"/>
      <c r="H216" s="84" t="s">
        <v>5</v>
      </c>
      <c r="I216" s="83"/>
      <c r="J216" s="75"/>
      <c r="K216" s="75"/>
      <c r="L216" s="75"/>
      <c r="M216" s="75"/>
      <c r="N216" s="75"/>
      <c r="O216" s="75"/>
      <c r="P216" s="178"/>
    </row>
    <row r="217" spans="2:17" ht="42.75" x14ac:dyDescent="0.2">
      <c r="B217" s="128" t="s">
        <v>64</v>
      </c>
      <c r="C217" s="128" t="s">
        <v>38</v>
      </c>
      <c r="D217" s="128" t="s">
        <v>38</v>
      </c>
      <c r="E217" s="128" t="s">
        <v>38</v>
      </c>
      <c r="F217" s="128" t="s">
        <v>38</v>
      </c>
      <c r="G217" s="128" t="s">
        <v>38</v>
      </c>
      <c r="H217" s="84" t="s">
        <v>3</v>
      </c>
      <c r="I217" s="14">
        <f>SUMIF($H$213:$H$216,"Объем*",I$213:I$216)</f>
        <v>510</v>
      </c>
      <c r="J217" s="14">
        <f t="shared" ref="J217:O217" si="92">SUMIF($H$213:$H$216,"Объем*",J$213:J$216)</f>
        <v>0</v>
      </c>
      <c r="K217" s="14">
        <f t="shared" si="92"/>
        <v>10</v>
      </c>
      <c r="L217" s="14">
        <f t="shared" si="92"/>
        <v>0</v>
      </c>
      <c r="M217" s="14">
        <f t="shared" si="92"/>
        <v>500</v>
      </c>
      <c r="N217" s="14">
        <f t="shared" si="92"/>
        <v>0</v>
      </c>
      <c r="O217" s="14">
        <f t="shared" si="92"/>
        <v>0</v>
      </c>
      <c r="P217" s="128"/>
      <c r="Q217" s="7"/>
    </row>
    <row r="218" spans="2:17" ht="15.75" x14ac:dyDescent="0.2">
      <c r="B218" s="129"/>
      <c r="C218" s="129"/>
      <c r="D218" s="129"/>
      <c r="E218" s="129"/>
      <c r="F218" s="129"/>
      <c r="G218" s="129"/>
      <c r="H218" s="84" t="s">
        <v>4</v>
      </c>
      <c r="I218" s="14">
        <f>SUMIF($H$213:$H$216,"фед*",I$213:I$216)</f>
        <v>0</v>
      </c>
      <c r="J218" s="14">
        <f t="shared" ref="J218:O218" si="93">SUMIF($H$213:$H$216,"фед*",J$213:J$216)</f>
        <v>0</v>
      </c>
      <c r="K218" s="14">
        <f t="shared" si="93"/>
        <v>0</v>
      </c>
      <c r="L218" s="14">
        <f t="shared" si="93"/>
        <v>0</v>
      </c>
      <c r="M218" s="14">
        <f t="shared" si="93"/>
        <v>0</v>
      </c>
      <c r="N218" s="14">
        <f t="shared" si="93"/>
        <v>0</v>
      </c>
      <c r="O218" s="14">
        <f t="shared" si="93"/>
        <v>0</v>
      </c>
      <c r="P218" s="129"/>
      <c r="Q218" s="7"/>
    </row>
    <row r="219" spans="2:17" ht="15.75" x14ac:dyDescent="0.2">
      <c r="B219" s="129"/>
      <c r="C219" s="129"/>
      <c r="D219" s="129"/>
      <c r="E219" s="129"/>
      <c r="F219" s="129"/>
      <c r="G219" s="129"/>
      <c r="H219" s="84" t="s">
        <v>6</v>
      </c>
      <c r="I219" s="14">
        <f>SUMIF($H$213:$H$216,"конс*",I$213:I$216)</f>
        <v>510</v>
      </c>
      <c r="J219" s="14">
        <f t="shared" ref="J219:O219" si="94">SUMIF($H$213:$H$216,"конс*",J$213:J$216)</f>
        <v>0</v>
      </c>
      <c r="K219" s="14">
        <f t="shared" si="94"/>
        <v>10</v>
      </c>
      <c r="L219" s="14">
        <f t="shared" si="94"/>
        <v>0</v>
      </c>
      <c r="M219" s="14">
        <f t="shared" si="94"/>
        <v>500</v>
      </c>
      <c r="N219" s="14">
        <f t="shared" si="94"/>
        <v>0</v>
      </c>
      <c r="O219" s="14">
        <f t="shared" si="94"/>
        <v>0</v>
      </c>
      <c r="P219" s="129"/>
      <c r="Q219" s="7"/>
    </row>
    <row r="220" spans="2:17" ht="15.75" x14ac:dyDescent="0.2">
      <c r="B220" s="130"/>
      <c r="C220" s="130"/>
      <c r="D220" s="130"/>
      <c r="E220" s="130"/>
      <c r="F220" s="130"/>
      <c r="G220" s="130"/>
      <c r="H220" s="84" t="s">
        <v>5</v>
      </c>
      <c r="I220" s="14">
        <f>SUMIF($H$213:$H$216,"вне*",I$213:I$216)</f>
        <v>0</v>
      </c>
      <c r="J220" s="14">
        <f t="shared" ref="J220:O220" si="95">SUMIF($H$213:$H$216,"вне*",J$213:J$216)</f>
        <v>0</v>
      </c>
      <c r="K220" s="14">
        <f t="shared" si="95"/>
        <v>0</v>
      </c>
      <c r="L220" s="14">
        <f t="shared" si="95"/>
        <v>0</v>
      </c>
      <c r="M220" s="14">
        <f t="shared" si="95"/>
        <v>0</v>
      </c>
      <c r="N220" s="14">
        <f t="shared" si="95"/>
        <v>0</v>
      </c>
      <c r="O220" s="14">
        <f t="shared" si="95"/>
        <v>0</v>
      </c>
      <c r="P220" s="130"/>
      <c r="Q220" s="7"/>
    </row>
    <row r="221" spans="2:17" ht="25.5" customHeight="1" x14ac:dyDescent="0.2">
      <c r="B221" s="111" t="s">
        <v>430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3"/>
    </row>
    <row r="222" spans="2:17" ht="42.75" outlineLevel="1" x14ac:dyDescent="0.2">
      <c r="B222" s="117" t="s">
        <v>1650</v>
      </c>
      <c r="C222" s="117"/>
      <c r="D222" s="117" t="s">
        <v>430</v>
      </c>
      <c r="E222" s="117">
        <v>2020</v>
      </c>
      <c r="F222" s="117"/>
      <c r="G222" s="117" t="s">
        <v>138</v>
      </c>
      <c r="H222" s="84" t="s">
        <v>3</v>
      </c>
      <c r="I222" s="83">
        <f>SUM(J222:O222)</f>
        <v>29.8</v>
      </c>
      <c r="J222" s="83">
        <f t="shared" ref="J222:O222" si="96">J223+J224+J225</f>
        <v>29.8</v>
      </c>
      <c r="K222" s="83">
        <f t="shared" si="96"/>
        <v>0</v>
      </c>
      <c r="L222" s="83">
        <f t="shared" si="96"/>
        <v>0</v>
      </c>
      <c r="M222" s="83">
        <f t="shared" si="96"/>
        <v>0</v>
      </c>
      <c r="N222" s="83">
        <f t="shared" si="96"/>
        <v>0</v>
      </c>
      <c r="O222" s="83">
        <f t="shared" si="96"/>
        <v>0</v>
      </c>
      <c r="P222" s="117"/>
    </row>
    <row r="223" spans="2:17" outlineLevel="1" x14ac:dyDescent="0.2">
      <c r="B223" s="118"/>
      <c r="C223" s="132"/>
      <c r="D223" s="118"/>
      <c r="E223" s="118"/>
      <c r="F223" s="118"/>
      <c r="G223" s="118"/>
      <c r="H223" s="84" t="s">
        <v>4</v>
      </c>
      <c r="I223" s="83">
        <f t="shared" ref="I223:I229" si="97">SUM(J223:O223)</f>
        <v>0</v>
      </c>
      <c r="J223" s="75"/>
      <c r="K223" s="75"/>
      <c r="L223" s="75"/>
      <c r="M223" s="75"/>
      <c r="N223" s="75"/>
      <c r="O223" s="75"/>
      <c r="P223" s="118"/>
    </row>
    <row r="224" spans="2:17" outlineLevel="1" x14ac:dyDescent="0.2">
      <c r="B224" s="118"/>
      <c r="C224" s="132"/>
      <c r="D224" s="118"/>
      <c r="E224" s="118"/>
      <c r="F224" s="118"/>
      <c r="G224" s="118"/>
      <c r="H224" s="84" t="s">
        <v>6</v>
      </c>
      <c r="I224" s="83">
        <f t="shared" si="97"/>
        <v>29.8</v>
      </c>
      <c r="J224" s="75">
        <v>29.8</v>
      </c>
      <c r="K224" s="75"/>
      <c r="L224" s="75"/>
      <c r="M224" s="75"/>
      <c r="N224" s="75"/>
      <c r="O224" s="75"/>
      <c r="P224" s="118"/>
    </row>
    <row r="225" spans="2:17" outlineLevel="1" x14ac:dyDescent="0.2">
      <c r="B225" s="119"/>
      <c r="C225" s="133"/>
      <c r="D225" s="119"/>
      <c r="E225" s="119"/>
      <c r="F225" s="119"/>
      <c r="G225" s="119"/>
      <c r="H225" s="84" t="s">
        <v>5</v>
      </c>
      <c r="I225" s="83">
        <f t="shared" si="97"/>
        <v>0</v>
      </c>
      <c r="J225" s="75"/>
      <c r="K225" s="75"/>
      <c r="L225" s="75"/>
      <c r="M225" s="75"/>
      <c r="N225" s="75"/>
      <c r="O225" s="75"/>
      <c r="P225" s="119"/>
    </row>
    <row r="226" spans="2:17" ht="42.75" outlineLevel="1" x14ac:dyDescent="0.2">
      <c r="B226" s="117" t="s">
        <v>1676</v>
      </c>
      <c r="C226" s="117" t="s">
        <v>1620</v>
      </c>
      <c r="D226" s="117" t="s">
        <v>1677</v>
      </c>
      <c r="E226" s="117">
        <v>2021</v>
      </c>
      <c r="F226" s="117"/>
      <c r="G226" s="117" t="s">
        <v>138</v>
      </c>
      <c r="H226" s="84" t="s">
        <v>3</v>
      </c>
      <c r="I226" s="83">
        <f t="shared" si="97"/>
        <v>176.1</v>
      </c>
      <c r="J226" s="83">
        <f t="shared" ref="J226:O226" si="98">J227+J228+J229</f>
        <v>0</v>
      </c>
      <c r="K226" s="83">
        <f t="shared" si="98"/>
        <v>176.1</v>
      </c>
      <c r="L226" s="83">
        <f t="shared" si="98"/>
        <v>0</v>
      </c>
      <c r="M226" s="83">
        <f t="shared" si="98"/>
        <v>0</v>
      </c>
      <c r="N226" s="83">
        <f t="shared" si="98"/>
        <v>0</v>
      </c>
      <c r="O226" s="83">
        <f t="shared" si="98"/>
        <v>0</v>
      </c>
      <c r="P226" s="117"/>
    </row>
    <row r="227" spans="2:17" outlineLevel="1" x14ac:dyDescent="0.2">
      <c r="B227" s="118"/>
      <c r="C227" s="132"/>
      <c r="D227" s="118"/>
      <c r="E227" s="118"/>
      <c r="F227" s="118"/>
      <c r="G227" s="118"/>
      <c r="H227" s="84" t="s">
        <v>4</v>
      </c>
      <c r="I227" s="83">
        <f t="shared" si="97"/>
        <v>144.9</v>
      </c>
      <c r="J227" s="75"/>
      <c r="K227" s="75">
        <v>144.9</v>
      </c>
      <c r="L227" s="75"/>
      <c r="M227" s="75"/>
      <c r="N227" s="75"/>
      <c r="O227" s="75"/>
      <c r="P227" s="118"/>
    </row>
    <row r="228" spans="2:17" outlineLevel="1" x14ac:dyDescent="0.2">
      <c r="B228" s="118"/>
      <c r="C228" s="132"/>
      <c r="D228" s="118"/>
      <c r="E228" s="118"/>
      <c r="F228" s="118"/>
      <c r="G228" s="118"/>
      <c r="H228" s="84" t="s">
        <v>6</v>
      </c>
      <c r="I228" s="83">
        <f t="shared" si="97"/>
        <v>31.2</v>
      </c>
      <c r="J228" s="75"/>
      <c r="K228" s="75">
        <v>31.2</v>
      </c>
      <c r="L228" s="75"/>
      <c r="M228" s="75"/>
      <c r="N228" s="75"/>
      <c r="O228" s="75"/>
      <c r="P228" s="118"/>
    </row>
    <row r="229" spans="2:17" outlineLevel="1" x14ac:dyDescent="0.2">
      <c r="B229" s="119"/>
      <c r="C229" s="133"/>
      <c r="D229" s="119"/>
      <c r="E229" s="119"/>
      <c r="F229" s="119"/>
      <c r="G229" s="119"/>
      <c r="H229" s="84" t="s">
        <v>5</v>
      </c>
      <c r="I229" s="83">
        <f t="shared" si="97"/>
        <v>0</v>
      </c>
      <c r="J229" s="75"/>
      <c r="K229" s="75"/>
      <c r="L229" s="75"/>
      <c r="M229" s="75"/>
      <c r="N229" s="75"/>
      <c r="O229" s="75"/>
      <c r="P229" s="119"/>
    </row>
    <row r="230" spans="2:17" ht="42.75" x14ac:dyDescent="0.2">
      <c r="B230" s="128" t="s">
        <v>448</v>
      </c>
      <c r="C230" s="128" t="s">
        <v>38</v>
      </c>
      <c r="D230" s="128" t="s">
        <v>38</v>
      </c>
      <c r="E230" s="128" t="s">
        <v>38</v>
      </c>
      <c r="F230" s="128" t="s">
        <v>38</v>
      </c>
      <c r="G230" s="128" t="s">
        <v>38</v>
      </c>
      <c r="H230" s="84" t="s">
        <v>3</v>
      </c>
      <c r="I230" s="14">
        <f>SUMIF($H$222:$H$229,"Объем*",I$222:I$229)</f>
        <v>205.9</v>
      </c>
      <c r="J230" s="14">
        <f t="shared" ref="J230:O230" si="99">SUMIF($H$222:$H$229,"Объем*",J$222:J$229)</f>
        <v>29.8</v>
      </c>
      <c r="K230" s="14">
        <f t="shared" si="99"/>
        <v>176.1</v>
      </c>
      <c r="L230" s="14">
        <f t="shared" si="99"/>
        <v>0</v>
      </c>
      <c r="M230" s="14">
        <f t="shared" si="99"/>
        <v>0</v>
      </c>
      <c r="N230" s="14">
        <f t="shared" si="99"/>
        <v>0</v>
      </c>
      <c r="O230" s="14">
        <f t="shared" si="99"/>
        <v>0</v>
      </c>
      <c r="P230" s="128"/>
      <c r="Q230" s="7"/>
    </row>
    <row r="231" spans="2:17" ht="15.75" x14ac:dyDescent="0.2">
      <c r="B231" s="129"/>
      <c r="C231" s="129"/>
      <c r="D231" s="129"/>
      <c r="E231" s="129"/>
      <c r="F231" s="129"/>
      <c r="G231" s="129"/>
      <c r="H231" s="84" t="s">
        <v>4</v>
      </c>
      <c r="I231" s="14">
        <f>SUMIF($H$222:$H$229,"фед*",I$222:I$229)</f>
        <v>144.9</v>
      </c>
      <c r="J231" s="14">
        <f t="shared" ref="J231:O231" si="100">SUMIF($H$222:$H$229,"фед*",J$222:J$229)</f>
        <v>0</v>
      </c>
      <c r="K231" s="14">
        <f t="shared" si="100"/>
        <v>144.9</v>
      </c>
      <c r="L231" s="14">
        <f t="shared" si="100"/>
        <v>0</v>
      </c>
      <c r="M231" s="14">
        <f t="shared" si="100"/>
        <v>0</v>
      </c>
      <c r="N231" s="14">
        <f t="shared" si="100"/>
        <v>0</v>
      </c>
      <c r="O231" s="14">
        <f t="shared" si="100"/>
        <v>0</v>
      </c>
      <c r="P231" s="129"/>
    </row>
    <row r="232" spans="2:17" ht="15.75" x14ac:dyDescent="0.2">
      <c r="B232" s="129"/>
      <c r="C232" s="129"/>
      <c r="D232" s="129"/>
      <c r="E232" s="129"/>
      <c r="F232" s="129"/>
      <c r="G232" s="129"/>
      <c r="H232" s="84" t="s">
        <v>6</v>
      </c>
      <c r="I232" s="14">
        <f>SUMIF($H$222:$H$229,"конс*",I$222:I$229)</f>
        <v>61</v>
      </c>
      <c r="J232" s="14">
        <f t="shared" ref="J232:O232" si="101">SUMIF($H$222:$H$229,"конс*",J$222:J$229)</f>
        <v>29.8</v>
      </c>
      <c r="K232" s="14">
        <f t="shared" si="101"/>
        <v>31.2</v>
      </c>
      <c r="L232" s="14">
        <f t="shared" si="101"/>
        <v>0</v>
      </c>
      <c r="M232" s="14">
        <f t="shared" si="101"/>
        <v>0</v>
      </c>
      <c r="N232" s="14">
        <f t="shared" si="101"/>
        <v>0</v>
      </c>
      <c r="O232" s="14">
        <f t="shared" si="101"/>
        <v>0</v>
      </c>
      <c r="P232" s="129"/>
    </row>
    <row r="233" spans="2:17" ht="15.75" x14ac:dyDescent="0.2">
      <c r="B233" s="130"/>
      <c r="C233" s="130"/>
      <c r="D233" s="130"/>
      <c r="E233" s="130"/>
      <c r="F233" s="130"/>
      <c r="G233" s="130"/>
      <c r="H233" s="84" t="s">
        <v>5</v>
      </c>
      <c r="I233" s="14">
        <f>SUMIF($H$222:$H$229,"вне*",I$222:I$229)</f>
        <v>0</v>
      </c>
      <c r="J233" s="14">
        <f t="shared" ref="J233:O233" si="102">SUMIF($H$222:$H$229,"вне*",J$222:J$229)</f>
        <v>0</v>
      </c>
      <c r="K233" s="14">
        <f t="shared" si="102"/>
        <v>0</v>
      </c>
      <c r="L233" s="14">
        <f t="shared" si="102"/>
        <v>0</v>
      </c>
      <c r="M233" s="14">
        <f t="shared" si="102"/>
        <v>0</v>
      </c>
      <c r="N233" s="14">
        <f t="shared" si="102"/>
        <v>0</v>
      </c>
      <c r="O233" s="14">
        <f t="shared" si="102"/>
        <v>0</v>
      </c>
      <c r="P233" s="130"/>
    </row>
    <row r="234" spans="2:17" ht="25.5" customHeight="1" x14ac:dyDescent="0.2">
      <c r="B234" s="111" t="s">
        <v>493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3"/>
    </row>
    <row r="235" spans="2:17" ht="60.75" customHeight="1" outlineLevel="1" x14ac:dyDescent="0.2">
      <c r="B235" s="117" t="s">
        <v>1678</v>
      </c>
      <c r="C235" s="117"/>
      <c r="D235" s="117" t="s">
        <v>1170</v>
      </c>
      <c r="E235" s="117">
        <v>2020</v>
      </c>
      <c r="F235" s="117"/>
      <c r="G235" s="117" t="s">
        <v>138</v>
      </c>
      <c r="H235" s="84" t="s">
        <v>3</v>
      </c>
      <c r="I235" s="83">
        <f>SUM(J235:O235)</f>
        <v>29</v>
      </c>
      <c r="J235" s="83">
        <f t="shared" ref="J235:O235" si="103">J236+J237+J238</f>
        <v>29</v>
      </c>
      <c r="K235" s="83">
        <f t="shared" si="103"/>
        <v>0</v>
      </c>
      <c r="L235" s="83">
        <f t="shared" si="103"/>
        <v>0</v>
      </c>
      <c r="M235" s="83">
        <f t="shared" si="103"/>
        <v>0</v>
      </c>
      <c r="N235" s="83">
        <f t="shared" si="103"/>
        <v>0</v>
      </c>
      <c r="O235" s="83">
        <f t="shared" si="103"/>
        <v>0</v>
      </c>
      <c r="P235" s="117"/>
    </row>
    <row r="236" spans="2:17" outlineLevel="1" x14ac:dyDescent="0.2">
      <c r="B236" s="118"/>
      <c r="C236" s="132"/>
      <c r="D236" s="118"/>
      <c r="E236" s="118"/>
      <c r="F236" s="118"/>
      <c r="G236" s="118"/>
      <c r="H236" s="84" t="s">
        <v>4</v>
      </c>
      <c r="I236" s="83"/>
      <c r="J236" s="75"/>
      <c r="K236" s="75"/>
      <c r="L236" s="75"/>
      <c r="M236" s="75"/>
      <c r="N236" s="75"/>
      <c r="O236" s="75"/>
      <c r="P236" s="118"/>
    </row>
    <row r="237" spans="2:17" outlineLevel="1" x14ac:dyDescent="0.2">
      <c r="B237" s="118"/>
      <c r="C237" s="132"/>
      <c r="D237" s="118"/>
      <c r="E237" s="118"/>
      <c r="F237" s="118"/>
      <c r="G237" s="118"/>
      <c r="H237" s="84" t="s">
        <v>6</v>
      </c>
      <c r="I237" s="83">
        <f>SUM(J237:O237)</f>
        <v>29</v>
      </c>
      <c r="J237" s="75">
        <v>29</v>
      </c>
      <c r="K237" s="75"/>
      <c r="L237" s="75"/>
      <c r="M237" s="75"/>
      <c r="N237" s="75"/>
      <c r="O237" s="75"/>
      <c r="P237" s="118"/>
    </row>
    <row r="238" spans="2:17" outlineLevel="1" x14ac:dyDescent="0.2">
      <c r="B238" s="119"/>
      <c r="C238" s="133"/>
      <c r="D238" s="119"/>
      <c r="E238" s="119"/>
      <c r="F238" s="119"/>
      <c r="G238" s="119"/>
      <c r="H238" s="84" t="s">
        <v>5</v>
      </c>
      <c r="I238" s="75"/>
      <c r="J238" s="75"/>
      <c r="K238" s="75"/>
      <c r="L238" s="75"/>
      <c r="M238" s="75"/>
      <c r="N238" s="75"/>
      <c r="O238" s="75"/>
      <c r="P238" s="119"/>
    </row>
    <row r="239" spans="2:17" ht="42.75" outlineLevel="1" x14ac:dyDescent="0.2">
      <c r="B239" s="117" t="s">
        <v>1679</v>
      </c>
      <c r="C239" s="117"/>
      <c r="D239" s="117" t="s">
        <v>1170</v>
      </c>
      <c r="E239" s="117" t="s">
        <v>203</v>
      </c>
      <c r="F239" s="117"/>
      <c r="G239" s="117" t="s">
        <v>101</v>
      </c>
      <c r="H239" s="84" t="s">
        <v>3</v>
      </c>
      <c r="I239" s="83">
        <f>SUM(J239:O239)</f>
        <v>42.6</v>
      </c>
      <c r="J239" s="83">
        <v>0</v>
      </c>
      <c r="K239" s="83">
        <f t="shared" ref="K239:O239" si="104">K240+K241+K242</f>
        <v>42.6</v>
      </c>
      <c r="L239" s="83">
        <f t="shared" si="104"/>
        <v>0</v>
      </c>
      <c r="M239" s="83">
        <f t="shared" si="104"/>
        <v>0</v>
      </c>
      <c r="N239" s="83">
        <f t="shared" si="104"/>
        <v>0</v>
      </c>
      <c r="O239" s="83">
        <f t="shared" si="104"/>
        <v>0</v>
      </c>
      <c r="P239" s="117">
        <v>8189</v>
      </c>
    </row>
    <row r="240" spans="2:17" outlineLevel="1" x14ac:dyDescent="0.2">
      <c r="B240" s="118"/>
      <c r="C240" s="132"/>
      <c r="D240" s="118"/>
      <c r="E240" s="118"/>
      <c r="F240" s="118"/>
      <c r="G240" s="118"/>
      <c r="H240" s="84" t="s">
        <v>4</v>
      </c>
      <c r="I240" s="83"/>
      <c r="J240" s="75"/>
      <c r="K240" s="75"/>
      <c r="L240" s="75"/>
      <c r="M240" s="75"/>
      <c r="N240" s="75"/>
      <c r="O240" s="75"/>
      <c r="P240" s="118"/>
    </row>
    <row r="241" spans="2:17" outlineLevel="1" x14ac:dyDescent="0.2">
      <c r="B241" s="118"/>
      <c r="C241" s="132"/>
      <c r="D241" s="118"/>
      <c r="E241" s="118"/>
      <c r="F241" s="118"/>
      <c r="G241" s="118"/>
      <c r="H241" s="84" t="s">
        <v>6</v>
      </c>
      <c r="I241" s="83">
        <f>SUM(J241:O241)</f>
        <v>42.6</v>
      </c>
      <c r="J241" s="75"/>
      <c r="K241" s="75">
        <v>42.6</v>
      </c>
      <c r="L241" s="75"/>
      <c r="M241" s="75"/>
      <c r="N241" s="75"/>
      <c r="O241" s="75"/>
      <c r="P241" s="118"/>
    </row>
    <row r="242" spans="2:17" outlineLevel="1" x14ac:dyDescent="0.2">
      <c r="B242" s="119"/>
      <c r="C242" s="133"/>
      <c r="D242" s="119"/>
      <c r="E242" s="119"/>
      <c r="F242" s="119"/>
      <c r="G242" s="119"/>
      <c r="H242" s="84" t="s">
        <v>5</v>
      </c>
      <c r="I242" s="75"/>
      <c r="J242" s="75"/>
      <c r="K242" s="75"/>
      <c r="L242" s="75"/>
      <c r="M242" s="75"/>
      <c r="N242" s="75"/>
      <c r="O242" s="75"/>
      <c r="P242" s="119"/>
    </row>
    <row r="243" spans="2:17" ht="42.75" x14ac:dyDescent="0.2">
      <c r="B243" s="128" t="s">
        <v>510</v>
      </c>
      <c r="C243" s="128" t="s">
        <v>38</v>
      </c>
      <c r="D243" s="128" t="s">
        <v>38</v>
      </c>
      <c r="E243" s="128" t="s">
        <v>38</v>
      </c>
      <c r="F243" s="128" t="s">
        <v>38</v>
      </c>
      <c r="G243" s="128" t="s">
        <v>38</v>
      </c>
      <c r="H243" s="84" t="s">
        <v>3</v>
      </c>
      <c r="I243" s="14">
        <f>SUMIF($H$235:$H$242,"Объем*",I$235:I$242)</f>
        <v>71.599999999999994</v>
      </c>
      <c r="J243" s="14">
        <f t="shared" ref="J243:O243" si="105">SUMIF($H$235:$H$242,"Объем*",J$235:J$242)</f>
        <v>29</v>
      </c>
      <c r="K243" s="14">
        <f t="shared" si="105"/>
        <v>42.6</v>
      </c>
      <c r="L243" s="14">
        <f t="shared" si="105"/>
        <v>0</v>
      </c>
      <c r="M243" s="14">
        <f t="shared" si="105"/>
        <v>0</v>
      </c>
      <c r="N243" s="14">
        <f t="shared" si="105"/>
        <v>0</v>
      </c>
      <c r="O243" s="14">
        <f t="shared" si="105"/>
        <v>0</v>
      </c>
      <c r="P243" s="128"/>
      <c r="Q243" s="7"/>
    </row>
    <row r="244" spans="2:17" ht="15.75" x14ac:dyDescent="0.2">
      <c r="B244" s="129"/>
      <c r="C244" s="129"/>
      <c r="D244" s="129"/>
      <c r="E244" s="129"/>
      <c r="F244" s="129"/>
      <c r="G244" s="129"/>
      <c r="H244" s="84" t="s">
        <v>4</v>
      </c>
      <c r="I244" s="14">
        <f>SUMIF($H$235:$H$242,"фед*",I$235:I$242)</f>
        <v>0</v>
      </c>
      <c r="J244" s="14">
        <f t="shared" ref="J244:O244" si="106">SUMIF($H$235:$H$242,"фед*",J$235:J$242)</f>
        <v>0</v>
      </c>
      <c r="K244" s="14">
        <f t="shared" si="106"/>
        <v>0</v>
      </c>
      <c r="L244" s="14">
        <f t="shared" si="106"/>
        <v>0</v>
      </c>
      <c r="M244" s="14">
        <f t="shared" si="106"/>
        <v>0</v>
      </c>
      <c r="N244" s="14">
        <f t="shared" si="106"/>
        <v>0</v>
      </c>
      <c r="O244" s="14">
        <f t="shared" si="106"/>
        <v>0</v>
      </c>
      <c r="P244" s="129"/>
    </row>
    <row r="245" spans="2:17" ht="15.75" x14ac:dyDescent="0.2">
      <c r="B245" s="129"/>
      <c r="C245" s="129"/>
      <c r="D245" s="129"/>
      <c r="E245" s="129"/>
      <c r="F245" s="129"/>
      <c r="G245" s="129"/>
      <c r="H245" s="84" t="s">
        <v>6</v>
      </c>
      <c r="I245" s="14">
        <f>SUMIF($H$235:$H$242,"конс*",I$235:I$242)</f>
        <v>71.599999999999994</v>
      </c>
      <c r="J245" s="14">
        <f t="shared" ref="J245:O245" si="107">SUMIF($H$235:$H$242,"конс*",J$235:J$242)</f>
        <v>29</v>
      </c>
      <c r="K245" s="14">
        <f t="shared" si="107"/>
        <v>42.6</v>
      </c>
      <c r="L245" s="14">
        <f t="shared" si="107"/>
        <v>0</v>
      </c>
      <c r="M245" s="14">
        <f t="shared" si="107"/>
        <v>0</v>
      </c>
      <c r="N245" s="14">
        <f t="shared" si="107"/>
        <v>0</v>
      </c>
      <c r="O245" s="14">
        <f t="shared" si="107"/>
        <v>0</v>
      </c>
      <c r="P245" s="129"/>
    </row>
    <row r="246" spans="2:17" ht="15.75" x14ac:dyDescent="0.2">
      <c r="B246" s="130"/>
      <c r="C246" s="130"/>
      <c r="D246" s="130"/>
      <c r="E246" s="130"/>
      <c r="F246" s="130"/>
      <c r="G246" s="130"/>
      <c r="H246" s="84" t="s">
        <v>5</v>
      </c>
      <c r="I246" s="14">
        <f>SUMIF($H$235:$H$242,"вне*",I$235:I$242)</f>
        <v>0</v>
      </c>
      <c r="J246" s="14">
        <f t="shared" ref="J246:O246" si="108">SUMIF($H$235:$H$242,"вне*",J$235:J$242)</f>
        <v>0</v>
      </c>
      <c r="K246" s="14">
        <f t="shared" si="108"/>
        <v>0</v>
      </c>
      <c r="L246" s="14">
        <f t="shared" si="108"/>
        <v>0</v>
      </c>
      <c r="M246" s="14">
        <f t="shared" si="108"/>
        <v>0</v>
      </c>
      <c r="N246" s="14">
        <f t="shared" si="108"/>
        <v>0</v>
      </c>
      <c r="O246" s="14">
        <f t="shared" si="108"/>
        <v>0</v>
      </c>
      <c r="P246" s="130"/>
    </row>
    <row r="247" spans="2:17" ht="25.5" customHeight="1" x14ac:dyDescent="0.2">
      <c r="B247" s="111" t="s">
        <v>511</v>
      </c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3"/>
    </row>
    <row r="248" spans="2:17" ht="42.75" outlineLevel="1" x14ac:dyDescent="0.2">
      <c r="B248" s="117" t="s">
        <v>1680</v>
      </c>
      <c r="C248" s="117"/>
      <c r="D248" s="117" t="s">
        <v>1681</v>
      </c>
      <c r="E248" s="117">
        <v>2020</v>
      </c>
      <c r="F248" s="117"/>
      <c r="G248" s="117" t="s">
        <v>138</v>
      </c>
      <c r="H248" s="84" t="s">
        <v>3</v>
      </c>
      <c r="I248" s="83">
        <f>SUM(J248:O248)</f>
        <v>30.4</v>
      </c>
      <c r="J248" s="83">
        <f t="shared" ref="J248:O248" si="109">J249+J250+J251</f>
        <v>30.4</v>
      </c>
      <c r="K248" s="83">
        <f t="shared" si="109"/>
        <v>0</v>
      </c>
      <c r="L248" s="83">
        <f t="shared" si="109"/>
        <v>0</v>
      </c>
      <c r="M248" s="83">
        <f t="shared" si="109"/>
        <v>0</v>
      </c>
      <c r="N248" s="83">
        <f t="shared" si="109"/>
        <v>0</v>
      </c>
      <c r="O248" s="83">
        <f t="shared" si="109"/>
        <v>0</v>
      </c>
      <c r="P248" s="117"/>
    </row>
    <row r="249" spans="2:17" outlineLevel="1" x14ac:dyDescent="0.2">
      <c r="B249" s="118"/>
      <c r="C249" s="132"/>
      <c r="D249" s="118"/>
      <c r="E249" s="118"/>
      <c r="F249" s="118"/>
      <c r="G249" s="118"/>
      <c r="H249" s="84" t="s">
        <v>4</v>
      </c>
      <c r="I249" s="83"/>
      <c r="J249" s="75"/>
      <c r="K249" s="75"/>
      <c r="L249" s="75"/>
      <c r="M249" s="75"/>
      <c r="N249" s="75"/>
      <c r="O249" s="75"/>
      <c r="P249" s="118"/>
    </row>
    <row r="250" spans="2:17" outlineLevel="1" x14ac:dyDescent="0.2">
      <c r="B250" s="118"/>
      <c r="C250" s="132"/>
      <c r="D250" s="118"/>
      <c r="E250" s="118"/>
      <c r="F250" s="118"/>
      <c r="G250" s="118"/>
      <c r="H250" s="84" t="s">
        <v>6</v>
      </c>
      <c r="I250" s="83">
        <f>SUM(J250:O250)</f>
        <v>30.4</v>
      </c>
      <c r="J250" s="75">
        <v>30.4</v>
      </c>
      <c r="K250" s="75"/>
      <c r="L250" s="75"/>
      <c r="M250" s="75"/>
      <c r="N250" s="75"/>
      <c r="O250" s="75"/>
      <c r="P250" s="118"/>
    </row>
    <row r="251" spans="2:17" outlineLevel="1" x14ac:dyDescent="0.2">
      <c r="B251" s="119"/>
      <c r="C251" s="133"/>
      <c r="D251" s="119"/>
      <c r="E251" s="119"/>
      <c r="F251" s="119"/>
      <c r="G251" s="119"/>
      <c r="H251" s="84" t="s">
        <v>5</v>
      </c>
      <c r="I251" s="75"/>
      <c r="J251" s="75"/>
      <c r="K251" s="75"/>
      <c r="L251" s="75"/>
      <c r="M251" s="75"/>
      <c r="N251" s="75"/>
      <c r="O251" s="75"/>
      <c r="P251" s="119"/>
    </row>
    <row r="252" spans="2:17" ht="42.75" customHeight="1" outlineLevel="1" x14ac:dyDescent="0.2">
      <c r="B252" s="117" t="s">
        <v>1893</v>
      </c>
      <c r="C252" s="117"/>
      <c r="D252" s="117" t="s">
        <v>511</v>
      </c>
      <c r="E252" s="117">
        <v>2021</v>
      </c>
      <c r="F252" s="117"/>
      <c r="G252" s="117" t="s">
        <v>63</v>
      </c>
      <c r="H252" s="84" t="s">
        <v>3</v>
      </c>
      <c r="I252" s="83">
        <f>SUM(J252:O252)</f>
        <v>28.8</v>
      </c>
      <c r="J252" s="83">
        <v>0</v>
      </c>
      <c r="K252" s="83">
        <f t="shared" ref="K252:O252" si="110">K253+K254+K255</f>
        <v>28.8</v>
      </c>
      <c r="L252" s="83">
        <f t="shared" si="110"/>
        <v>0</v>
      </c>
      <c r="M252" s="83">
        <f t="shared" si="110"/>
        <v>0</v>
      </c>
      <c r="N252" s="83">
        <f t="shared" si="110"/>
        <v>0</v>
      </c>
      <c r="O252" s="83">
        <f t="shared" si="110"/>
        <v>0</v>
      </c>
      <c r="P252" s="117">
        <v>676</v>
      </c>
    </row>
    <row r="253" spans="2:17" outlineLevel="1" x14ac:dyDescent="0.2">
      <c r="B253" s="118"/>
      <c r="C253" s="132"/>
      <c r="D253" s="118"/>
      <c r="E253" s="118"/>
      <c r="F253" s="118"/>
      <c r="G253" s="118"/>
      <c r="H253" s="84" t="s">
        <v>4</v>
      </c>
      <c r="I253" s="75"/>
      <c r="J253" s="75"/>
      <c r="K253" s="75"/>
      <c r="L253" s="75"/>
      <c r="M253" s="75"/>
      <c r="N253" s="75"/>
      <c r="O253" s="75"/>
      <c r="P253" s="118"/>
    </row>
    <row r="254" spans="2:17" outlineLevel="1" x14ac:dyDescent="0.2">
      <c r="B254" s="118"/>
      <c r="C254" s="132"/>
      <c r="D254" s="118"/>
      <c r="E254" s="118"/>
      <c r="F254" s="118"/>
      <c r="G254" s="118"/>
      <c r="H254" s="84" t="s">
        <v>6</v>
      </c>
      <c r="I254" s="83">
        <f>SUM(J254:O254)</f>
        <v>28.8</v>
      </c>
      <c r="J254" s="75"/>
      <c r="K254" s="75">
        <v>28.8</v>
      </c>
      <c r="L254" s="75"/>
      <c r="M254" s="75"/>
      <c r="N254" s="75"/>
      <c r="O254" s="75"/>
      <c r="P254" s="118"/>
    </row>
    <row r="255" spans="2:17" outlineLevel="1" x14ac:dyDescent="0.2">
      <c r="B255" s="119"/>
      <c r="C255" s="133"/>
      <c r="D255" s="119"/>
      <c r="E255" s="119"/>
      <c r="F255" s="119"/>
      <c r="G255" s="119"/>
      <c r="H255" s="84" t="s">
        <v>5</v>
      </c>
      <c r="I255" s="75"/>
      <c r="J255" s="75"/>
      <c r="K255" s="75"/>
      <c r="L255" s="75"/>
      <c r="M255" s="75"/>
      <c r="N255" s="75"/>
      <c r="O255" s="75"/>
      <c r="P255" s="119"/>
    </row>
    <row r="256" spans="2:17" ht="42.75" customHeight="1" outlineLevel="1" x14ac:dyDescent="0.2">
      <c r="B256" s="117" t="s">
        <v>1894</v>
      </c>
      <c r="C256" s="117"/>
      <c r="D256" s="117" t="s">
        <v>1879</v>
      </c>
      <c r="E256" s="117">
        <v>2022</v>
      </c>
      <c r="F256" s="117"/>
      <c r="G256" s="117" t="s">
        <v>63</v>
      </c>
      <c r="H256" s="84" t="s">
        <v>3</v>
      </c>
      <c r="I256" s="83">
        <f>SUM(J256:O256)</f>
        <v>275</v>
      </c>
      <c r="J256" s="83">
        <v>0</v>
      </c>
      <c r="K256" s="83">
        <f t="shared" ref="K256:O256" si="111">K257+K258+K259</f>
        <v>0</v>
      </c>
      <c r="L256" s="83">
        <f t="shared" si="111"/>
        <v>275</v>
      </c>
      <c r="M256" s="83">
        <f t="shared" si="111"/>
        <v>0</v>
      </c>
      <c r="N256" s="83">
        <f t="shared" si="111"/>
        <v>0</v>
      </c>
      <c r="O256" s="83">
        <f t="shared" si="111"/>
        <v>0</v>
      </c>
      <c r="P256" s="117"/>
    </row>
    <row r="257" spans="2:17" outlineLevel="1" x14ac:dyDescent="0.2">
      <c r="B257" s="118"/>
      <c r="C257" s="132"/>
      <c r="D257" s="118"/>
      <c r="E257" s="118"/>
      <c r="F257" s="118"/>
      <c r="G257" s="118"/>
      <c r="H257" s="84" t="s">
        <v>4</v>
      </c>
      <c r="I257" s="75"/>
      <c r="J257" s="75"/>
      <c r="K257" s="75"/>
      <c r="L257" s="75"/>
      <c r="M257" s="75"/>
      <c r="N257" s="75"/>
      <c r="O257" s="75"/>
      <c r="P257" s="118"/>
    </row>
    <row r="258" spans="2:17" outlineLevel="1" x14ac:dyDescent="0.2">
      <c r="B258" s="118"/>
      <c r="C258" s="132"/>
      <c r="D258" s="118"/>
      <c r="E258" s="118"/>
      <c r="F258" s="118"/>
      <c r="G258" s="118"/>
      <c r="H258" s="84" t="s">
        <v>6</v>
      </c>
      <c r="I258" s="83">
        <f>SUM(J258:O258)</f>
        <v>275</v>
      </c>
      <c r="J258" s="75"/>
      <c r="K258" s="75"/>
      <c r="L258" s="75">
        <v>275</v>
      </c>
      <c r="M258" s="75"/>
      <c r="N258" s="75"/>
      <c r="O258" s="75"/>
      <c r="P258" s="118"/>
    </row>
    <row r="259" spans="2:17" outlineLevel="1" x14ac:dyDescent="0.2">
      <c r="B259" s="119"/>
      <c r="C259" s="133"/>
      <c r="D259" s="119"/>
      <c r="E259" s="119"/>
      <c r="F259" s="119"/>
      <c r="G259" s="119"/>
      <c r="H259" s="84" t="s">
        <v>5</v>
      </c>
      <c r="I259" s="75"/>
      <c r="J259" s="75"/>
      <c r="K259" s="75"/>
      <c r="L259" s="75"/>
      <c r="M259" s="75"/>
      <c r="N259" s="75"/>
      <c r="O259" s="75"/>
      <c r="P259" s="119"/>
    </row>
    <row r="260" spans="2:17" ht="42.75" x14ac:dyDescent="0.2">
      <c r="B260" s="128" t="s">
        <v>519</v>
      </c>
      <c r="C260" s="128" t="s">
        <v>38</v>
      </c>
      <c r="D260" s="128" t="s">
        <v>38</v>
      </c>
      <c r="E260" s="128" t="s">
        <v>38</v>
      </c>
      <c r="F260" s="128" t="s">
        <v>38</v>
      </c>
      <c r="G260" s="128" t="s">
        <v>38</v>
      </c>
      <c r="H260" s="84" t="s">
        <v>3</v>
      </c>
      <c r="I260" s="14">
        <f>SUMIF($H$248:$H$259,"Объем*",I$248:I$259)</f>
        <v>334.2</v>
      </c>
      <c r="J260" s="14">
        <f t="shared" ref="J260:O260" si="112">SUMIF($H$248:$H$259,"Объем*",J$248:J$259)</f>
        <v>30.4</v>
      </c>
      <c r="K260" s="14">
        <f t="shared" si="112"/>
        <v>28.8</v>
      </c>
      <c r="L260" s="14">
        <f t="shared" si="112"/>
        <v>275</v>
      </c>
      <c r="M260" s="14">
        <f t="shared" si="112"/>
        <v>0</v>
      </c>
      <c r="N260" s="14">
        <f t="shared" si="112"/>
        <v>0</v>
      </c>
      <c r="O260" s="14">
        <f t="shared" si="112"/>
        <v>0</v>
      </c>
      <c r="P260" s="128"/>
      <c r="Q260" s="7"/>
    </row>
    <row r="261" spans="2:17" ht="15.75" x14ac:dyDescent="0.2">
      <c r="B261" s="129"/>
      <c r="C261" s="129"/>
      <c r="D261" s="129"/>
      <c r="E261" s="129"/>
      <c r="F261" s="129"/>
      <c r="G261" s="129"/>
      <c r="H261" s="84" t="s">
        <v>4</v>
      </c>
      <c r="I261" s="14">
        <f>SUMIF($H$248:$H$259,"фед*",I$248:I$259)</f>
        <v>0</v>
      </c>
      <c r="J261" s="14">
        <f t="shared" ref="J261:O261" si="113">SUMIF($H$248:$H$259,"фед*",J$248:J$259)</f>
        <v>0</v>
      </c>
      <c r="K261" s="14">
        <f t="shared" si="113"/>
        <v>0</v>
      </c>
      <c r="L261" s="14">
        <f t="shared" si="113"/>
        <v>0</v>
      </c>
      <c r="M261" s="14">
        <f t="shared" si="113"/>
        <v>0</v>
      </c>
      <c r="N261" s="14">
        <f t="shared" si="113"/>
        <v>0</v>
      </c>
      <c r="O261" s="14">
        <f t="shared" si="113"/>
        <v>0</v>
      </c>
      <c r="P261" s="129"/>
    </row>
    <row r="262" spans="2:17" ht="15.75" x14ac:dyDescent="0.2">
      <c r="B262" s="129"/>
      <c r="C262" s="129"/>
      <c r="D262" s="129"/>
      <c r="E262" s="129"/>
      <c r="F262" s="129"/>
      <c r="G262" s="129"/>
      <c r="H262" s="84" t="s">
        <v>6</v>
      </c>
      <c r="I262" s="14">
        <f>SUMIF($H$248:$H$259,"конс*",I$248:I$259)</f>
        <v>334.2</v>
      </c>
      <c r="J262" s="14">
        <f t="shared" ref="J262:O262" si="114">SUMIF($H$248:$H$259,"конс*",J$248:J$259)</f>
        <v>30.4</v>
      </c>
      <c r="K262" s="14">
        <f t="shared" si="114"/>
        <v>28.8</v>
      </c>
      <c r="L262" s="14">
        <f t="shared" si="114"/>
        <v>275</v>
      </c>
      <c r="M262" s="14">
        <f t="shared" si="114"/>
        <v>0</v>
      </c>
      <c r="N262" s="14">
        <f t="shared" si="114"/>
        <v>0</v>
      </c>
      <c r="O262" s="14">
        <f t="shared" si="114"/>
        <v>0</v>
      </c>
      <c r="P262" s="129"/>
    </row>
    <row r="263" spans="2:17" ht="15.75" x14ac:dyDescent="0.2">
      <c r="B263" s="130"/>
      <c r="C263" s="130"/>
      <c r="D263" s="130"/>
      <c r="E263" s="130"/>
      <c r="F263" s="130"/>
      <c r="G263" s="130"/>
      <c r="H263" s="84" t="s">
        <v>5</v>
      </c>
      <c r="I263" s="14">
        <f>SUMIF($H$248:$H$259,"вне*",I$248:I$259)</f>
        <v>0</v>
      </c>
      <c r="J263" s="14">
        <f t="shared" ref="J263:O263" si="115">SUMIF($H$248:$H$259,"вне*",J$248:J$259)</f>
        <v>0</v>
      </c>
      <c r="K263" s="14">
        <f t="shared" si="115"/>
        <v>0</v>
      </c>
      <c r="L263" s="14">
        <f t="shared" si="115"/>
        <v>0</v>
      </c>
      <c r="M263" s="14">
        <f t="shared" si="115"/>
        <v>0</v>
      </c>
      <c r="N263" s="14">
        <f t="shared" si="115"/>
        <v>0</v>
      </c>
      <c r="O263" s="14">
        <f t="shared" si="115"/>
        <v>0</v>
      </c>
      <c r="P263" s="130"/>
    </row>
    <row r="264" spans="2:17" ht="25.5" customHeight="1" x14ac:dyDescent="0.2">
      <c r="B264" s="111" t="s">
        <v>520</v>
      </c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3"/>
    </row>
    <row r="265" spans="2:17" ht="42.75" outlineLevel="1" x14ac:dyDescent="0.2">
      <c r="B265" s="117" t="s">
        <v>1895</v>
      </c>
      <c r="C265" s="117" t="s">
        <v>1896</v>
      </c>
      <c r="D265" s="117" t="s">
        <v>1188</v>
      </c>
      <c r="E265" s="117">
        <v>2020</v>
      </c>
      <c r="F265" s="117"/>
      <c r="G265" s="117" t="s">
        <v>138</v>
      </c>
      <c r="H265" s="84" t="s">
        <v>3</v>
      </c>
      <c r="I265" s="83">
        <f>SUM(J265:O265)</f>
        <v>11.5</v>
      </c>
      <c r="J265" s="83">
        <f t="shared" ref="J265:L265" si="116">J266+J267+J268</f>
        <v>11.5</v>
      </c>
      <c r="K265" s="83">
        <f t="shared" si="116"/>
        <v>0</v>
      </c>
      <c r="L265" s="83">
        <f t="shared" si="116"/>
        <v>0</v>
      </c>
      <c r="M265" s="83">
        <v>0</v>
      </c>
      <c r="N265" s="83">
        <f t="shared" ref="N265:O265" si="117">N266+N267+N268</f>
        <v>0</v>
      </c>
      <c r="O265" s="83">
        <f t="shared" si="117"/>
        <v>0</v>
      </c>
      <c r="P265" s="117"/>
    </row>
    <row r="266" spans="2:17" outlineLevel="1" x14ac:dyDescent="0.2">
      <c r="B266" s="118"/>
      <c r="C266" s="132"/>
      <c r="D266" s="118"/>
      <c r="E266" s="118"/>
      <c r="F266" s="118"/>
      <c r="G266" s="118"/>
      <c r="H266" s="84" t="s">
        <v>4</v>
      </c>
      <c r="I266" s="83"/>
      <c r="J266" s="83"/>
      <c r="K266" s="83"/>
      <c r="L266" s="83"/>
      <c r="M266" s="83"/>
      <c r="N266" s="83"/>
      <c r="O266" s="83"/>
      <c r="P266" s="118"/>
    </row>
    <row r="267" spans="2:17" outlineLevel="1" x14ac:dyDescent="0.2">
      <c r="B267" s="118"/>
      <c r="C267" s="132"/>
      <c r="D267" s="118"/>
      <c r="E267" s="118"/>
      <c r="F267" s="118"/>
      <c r="G267" s="118"/>
      <c r="H267" s="84" t="s">
        <v>6</v>
      </c>
      <c r="I267" s="83">
        <f>SUM(J267:O267)</f>
        <v>10.9</v>
      </c>
      <c r="J267" s="83">
        <v>10.9</v>
      </c>
      <c r="K267" s="83"/>
      <c r="L267" s="83"/>
      <c r="M267" s="83"/>
      <c r="N267" s="83"/>
      <c r="O267" s="83"/>
      <c r="P267" s="118"/>
    </row>
    <row r="268" spans="2:17" outlineLevel="1" x14ac:dyDescent="0.2">
      <c r="B268" s="119"/>
      <c r="C268" s="133"/>
      <c r="D268" s="119"/>
      <c r="E268" s="119"/>
      <c r="F268" s="119"/>
      <c r="G268" s="119"/>
      <c r="H268" s="84" t="s">
        <v>5</v>
      </c>
      <c r="I268" s="83">
        <f>SUM(J268:O268)</f>
        <v>0.6</v>
      </c>
      <c r="J268" s="83">
        <v>0.6</v>
      </c>
      <c r="K268" s="83"/>
      <c r="L268" s="83"/>
      <c r="M268" s="83"/>
      <c r="N268" s="83"/>
      <c r="O268" s="83"/>
      <c r="P268" s="119"/>
    </row>
    <row r="269" spans="2:17" ht="42.75" customHeight="1" outlineLevel="1" x14ac:dyDescent="0.2">
      <c r="B269" s="117" t="s">
        <v>1897</v>
      </c>
      <c r="C269" s="117" t="s">
        <v>1896</v>
      </c>
      <c r="D269" s="117" t="s">
        <v>1188</v>
      </c>
      <c r="E269" s="117">
        <v>2022</v>
      </c>
      <c r="F269" s="117"/>
      <c r="G269" s="117" t="s">
        <v>138</v>
      </c>
      <c r="H269" s="84" t="s">
        <v>3</v>
      </c>
      <c r="I269" s="83">
        <f>SUM(J269:O269)</f>
        <v>31.8</v>
      </c>
      <c r="J269" s="83">
        <f t="shared" ref="J269:L269" si="118">J270+J271+J272</f>
        <v>0</v>
      </c>
      <c r="K269" s="83">
        <f t="shared" si="118"/>
        <v>0</v>
      </c>
      <c r="L269" s="83">
        <f t="shared" si="118"/>
        <v>31.8</v>
      </c>
      <c r="M269" s="83">
        <v>0</v>
      </c>
      <c r="N269" s="83">
        <f t="shared" ref="N269:O269" si="119">N270+N271+N272</f>
        <v>0</v>
      </c>
      <c r="O269" s="83">
        <f t="shared" si="119"/>
        <v>0</v>
      </c>
      <c r="P269" s="117"/>
    </row>
    <row r="270" spans="2:17" outlineLevel="1" x14ac:dyDescent="0.2">
      <c r="B270" s="118"/>
      <c r="C270" s="132"/>
      <c r="D270" s="118"/>
      <c r="E270" s="118"/>
      <c r="F270" s="118"/>
      <c r="G270" s="118"/>
      <c r="H270" s="84" t="s">
        <v>4</v>
      </c>
      <c r="I270" s="75"/>
      <c r="J270" s="83"/>
      <c r="K270" s="83"/>
      <c r="L270" s="83"/>
      <c r="M270" s="83"/>
      <c r="N270" s="83"/>
      <c r="O270" s="83"/>
      <c r="P270" s="118"/>
    </row>
    <row r="271" spans="2:17" outlineLevel="1" x14ac:dyDescent="0.2">
      <c r="B271" s="118"/>
      <c r="C271" s="132"/>
      <c r="D271" s="118"/>
      <c r="E271" s="118"/>
      <c r="F271" s="118"/>
      <c r="G271" s="118"/>
      <c r="H271" s="84" t="s">
        <v>6</v>
      </c>
      <c r="I271" s="83">
        <f>SUM(J271:O271)</f>
        <v>30.2</v>
      </c>
      <c r="J271" s="83"/>
      <c r="K271" s="83"/>
      <c r="L271" s="83">
        <v>30.2</v>
      </c>
      <c r="M271" s="83"/>
      <c r="N271" s="83"/>
      <c r="O271" s="83"/>
      <c r="P271" s="118"/>
    </row>
    <row r="272" spans="2:17" outlineLevel="1" x14ac:dyDescent="0.2">
      <c r="B272" s="119"/>
      <c r="C272" s="133"/>
      <c r="D272" s="119"/>
      <c r="E272" s="119"/>
      <c r="F272" s="119"/>
      <c r="G272" s="119"/>
      <c r="H272" s="84" t="s">
        <v>5</v>
      </c>
      <c r="I272" s="83">
        <f>SUM(J272:O272)</f>
        <v>1.6</v>
      </c>
      <c r="J272" s="83"/>
      <c r="K272" s="83"/>
      <c r="L272" s="83">
        <v>1.6</v>
      </c>
      <c r="M272" s="83"/>
      <c r="N272" s="83"/>
      <c r="O272" s="83"/>
      <c r="P272" s="119"/>
    </row>
    <row r="273" spans="2:17" ht="42.75" x14ac:dyDescent="0.2">
      <c r="B273" s="128" t="s">
        <v>530</v>
      </c>
      <c r="C273" s="128" t="s">
        <v>38</v>
      </c>
      <c r="D273" s="128" t="s">
        <v>38</v>
      </c>
      <c r="E273" s="128" t="s">
        <v>38</v>
      </c>
      <c r="F273" s="128" t="s">
        <v>38</v>
      </c>
      <c r="G273" s="128" t="s">
        <v>38</v>
      </c>
      <c r="H273" s="84" t="s">
        <v>3</v>
      </c>
      <c r="I273" s="14">
        <f>SUMIF($H$265:$H$272,"Объем*",I$265:I$272)</f>
        <v>43.3</v>
      </c>
      <c r="J273" s="14">
        <f t="shared" ref="J273:O273" si="120">SUMIF($H$265:$H$272,"Объем*",J$265:J$272)</f>
        <v>11.5</v>
      </c>
      <c r="K273" s="14">
        <f t="shared" si="120"/>
        <v>0</v>
      </c>
      <c r="L273" s="14">
        <f t="shared" si="120"/>
        <v>31.8</v>
      </c>
      <c r="M273" s="14">
        <f t="shared" si="120"/>
        <v>0</v>
      </c>
      <c r="N273" s="14">
        <f t="shared" si="120"/>
        <v>0</v>
      </c>
      <c r="O273" s="14">
        <f t="shared" si="120"/>
        <v>0</v>
      </c>
      <c r="P273" s="128"/>
      <c r="Q273" s="7"/>
    </row>
    <row r="274" spans="2:17" ht="15.75" x14ac:dyDescent="0.2">
      <c r="B274" s="129"/>
      <c r="C274" s="129"/>
      <c r="D274" s="129"/>
      <c r="E274" s="129"/>
      <c r="F274" s="129"/>
      <c r="G274" s="129"/>
      <c r="H274" s="84" t="s">
        <v>4</v>
      </c>
      <c r="I274" s="14">
        <f>SUMIF($H$265:$H$272,"фед*",I$265:I$272)</f>
        <v>0</v>
      </c>
      <c r="J274" s="14">
        <f t="shared" ref="J274:O274" si="121">SUMIF($H$265:$H$272,"фед*",J$265:J$272)</f>
        <v>0</v>
      </c>
      <c r="K274" s="14">
        <f t="shared" si="121"/>
        <v>0</v>
      </c>
      <c r="L274" s="14">
        <f t="shared" si="121"/>
        <v>0</v>
      </c>
      <c r="M274" s="14">
        <f t="shared" si="121"/>
        <v>0</v>
      </c>
      <c r="N274" s="14">
        <f t="shared" si="121"/>
        <v>0</v>
      </c>
      <c r="O274" s="14">
        <f t="shared" si="121"/>
        <v>0</v>
      </c>
      <c r="P274" s="129"/>
    </row>
    <row r="275" spans="2:17" ht="15.75" x14ac:dyDescent="0.2">
      <c r="B275" s="129"/>
      <c r="C275" s="129"/>
      <c r="D275" s="129"/>
      <c r="E275" s="129"/>
      <c r="F275" s="129"/>
      <c r="G275" s="129"/>
      <c r="H275" s="84" t="s">
        <v>6</v>
      </c>
      <c r="I275" s="14">
        <f>SUMIF($H$265:$H$272,"конс*",I$265:I$272)</f>
        <v>41.1</v>
      </c>
      <c r="J275" s="14">
        <f t="shared" ref="J275:O275" si="122">SUMIF($H$265:$H$272,"конс*",J$265:J$272)</f>
        <v>10.9</v>
      </c>
      <c r="K275" s="14">
        <f t="shared" si="122"/>
        <v>0</v>
      </c>
      <c r="L275" s="14">
        <f t="shared" si="122"/>
        <v>30.2</v>
      </c>
      <c r="M275" s="14">
        <f t="shared" si="122"/>
        <v>0</v>
      </c>
      <c r="N275" s="14">
        <f t="shared" si="122"/>
        <v>0</v>
      </c>
      <c r="O275" s="14">
        <f t="shared" si="122"/>
        <v>0</v>
      </c>
      <c r="P275" s="129"/>
    </row>
    <row r="276" spans="2:17" ht="15.75" x14ac:dyDescent="0.2">
      <c r="B276" s="130"/>
      <c r="C276" s="130"/>
      <c r="D276" s="130"/>
      <c r="E276" s="130"/>
      <c r="F276" s="130"/>
      <c r="G276" s="130"/>
      <c r="H276" s="84" t="s">
        <v>5</v>
      </c>
      <c r="I276" s="14">
        <f>SUMIF($H$265:$H$272,"вне*",I$265:I$272)</f>
        <v>2.2000000000000002</v>
      </c>
      <c r="J276" s="14">
        <f t="shared" ref="J276:O276" si="123">SUMIF($H$265:$H$272,"вне*",J$265:J$272)</f>
        <v>0.6</v>
      </c>
      <c r="K276" s="14">
        <f t="shared" si="123"/>
        <v>0</v>
      </c>
      <c r="L276" s="14">
        <f t="shared" si="123"/>
        <v>1.6</v>
      </c>
      <c r="M276" s="14">
        <f t="shared" si="123"/>
        <v>0</v>
      </c>
      <c r="N276" s="14">
        <f t="shared" si="123"/>
        <v>0</v>
      </c>
      <c r="O276" s="14">
        <f t="shared" si="123"/>
        <v>0</v>
      </c>
      <c r="P276" s="130"/>
    </row>
    <row r="277" spans="2:17" ht="21" customHeight="1" x14ac:dyDescent="0.2">
      <c r="B277" s="111" t="s">
        <v>531</v>
      </c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3"/>
    </row>
    <row r="278" spans="2:17" ht="42.75" outlineLevel="1" x14ac:dyDescent="0.2">
      <c r="B278" s="117" t="s">
        <v>1682</v>
      </c>
      <c r="C278" s="117"/>
      <c r="D278" s="139" t="s">
        <v>531</v>
      </c>
      <c r="E278" s="117" t="s">
        <v>50</v>
      </c>
      <c r="F278" s="117">
        <v>5000</v>
      </c>
      <c r="G278" s="117" t="s">
        <v>1683</v>
      </c>
      <c r="H278" s="84" t="s">
        <v>3</v>
      </c>
      <c r="I278" s="27">
        <f>SUM(J278:O278)</f>
        <v>87.5</v>
      </c>
      <c r="J278" s="83">
        <v>0</v>
      </c>
      <c r="K278" s="27">
        <v>8</v>
      </c>
      <c r="L278" s="83">
        <v>79.5</v>
      </c>
      <c r="M278" s="83">
        <f t="shared" ref="M278:O278" si="124">M279+M280+M281</f>
        <v>0</v>
      </c>
      <c r="N278" s="83">
        <f t="shared" si="124"/>
        <v>0</v>
      </c>
      <c r="O278" s="83">
        <f t="shared" si="124"/>
        <v>0</v>
      </c>
      <c r="P278" s="117">
        <v>6000</v>
      </c>
    </row>
    <row r="279" spans="2:17" outlineLevel="1" x14ac:dyDescent="0.2">
      <c r="B279" s="118"/>
      <c r="C279" s="132"/>
      <c r="D279" s="140"/>
      <c r="E279" s="118"/>
      <c r="F279" s="118"/>
      <c r="G279" s="118"/>
      <c r="H279" s="84" t="s">
        <v>4</v>
      </c>
      <c r="I279" s="27">
        <f t="shared" ref="I279:I293" si="125">SUM(J279:O279)</f>
        <v>79.5</v>
      </c>
      <c r="J279" s="75">
        <v>0</v>
      </c>
      <c r="K279" s="75">
        <v>0</v>
      </c>
      <c r="L279" s="75">
        <v>79.5</v>
      </c>
      <c r="M279" s="75"/>
      <c r="N279" s="75"/>
      <c r="O279" s="75"/>
      <c r="P279" s="118"/>
    </row>
    <row r="280" spans="2:17" outlineLevel="1" x14ac:dyDescent="0.2">
      <c r="B280" s="118"/>
      <c r="C280" s="132"/>
      <c r="D280" s="140"/>
      <c r="E280" s="118"/>
      <c r="F280" s="118"/>
      <c r="G280" s="118"/>
      <c r="H280" s="84" t="s">
        <v>6</v>
      </c>
      <c r="I280" s="27">
        <f t="shared" si="125"/>
        <v>8</v>
      </c>
      <c r="J280" s="75">
        <v>0</v>
      </c>
      <c r="K280" s="63">
        <v>8</v>
      </c>
      <c r="L280" s="75">
        <v>0</v>
      </c>
      <c r="M280" s="75"/>
      <c r="N280" s="75"/>
      <c r="O280" s="75"/>
      <c r="P280" s="118"/>
    </row>
    <row r="281" spans="2:17" outlineLevel="1" x14ac:dyDescent="0.2">
      <c r="B281" s="119"/>
      <c r="C281" s="133"/>
      <c r="D281" s="141"/>
      <c r="E281" s="119"/>
      <c r="F281" s="119"/>
      <c r="G281" s="119"/>
      <c r="H281" s="84" t="s">
        <v>5</v>
      </c>
      <c r="I281" s="27">
        <f t="shared" si="125"/>
        <v>0</v>
      </c>
      <c r="J281" s="75"/>
      <c r="K281" s="75"/>
      <c r="L281" s="75"/>
      <c r="M281" s="75"/>
      <c r="N281" s="75"/>
      <c r="O281" s="75"/>
      <c r="P281" s="119"/>
    </row>
    <row r="282" spans="2:17" ht="42.75" outlineLevel="1" x14ac:dyDescent="0.2">
      <c r="B282" s="117" t="s">
        <v>1684</v>
      </c>
      <c r="C282" s="117"/>
      <c r="D282" s="139" t="s">
        <v>531</v>
      </c>
      <c r="E282" s="117">
        <v>2020</v>
      </c>
      <c r="F282" s="117">
        <v>2000</v>
      </c>
      <c r="G282" s="117" t="s">
        <v>580</v>
      </c>
      <c r="H282" s="84" t="s">
        <v>3</v>
      </c>
      <c r="I282" s="27">
        <f t="shared" si="125"/>
        <v>16.32</v>
      </c>
      <c r="J282" s="83">
        <v>16.32</v>
      </c>
      <c r="K282" s="83">
        <f t="shared" ref="K282:O282" si="126">K283+K284+K285</f>
        <v>0</v>
      </c>
      <c r="L282" s="83">
        <f t="shared" si="126"/>
        <v>0</v>
      </c>
      <c r="M282" s="83">
        <f t="shared" si="126"/>
        <v>0</v>
      </c>
      <c r="N282" s="83">
        <f t="shared" si="126"/>
        <v>0</v>
      </c>
      <c r="O282" s="83">
        <f t="shared" si="126"/>
        <v>0</v>
      </c>
      <c r="P282" s="117">
        <v>2500</v>
      </c>
    </row>
    <row r="283" spans="2:17" outlineLevel="1" x14ac:dyDescent="0.2">
      <c r="B283" s="118"/>
      <c r="C283" s="132"/>
      <c r="D283" s="140"/>
      <c r="E283" s="118"/>
      <c r="F283" s="118"/>
      <c r="G283" s="118"/>
      <c r="H283" s="84" t="s">
        <v>4</v>
      </c>
      <c r="I283" s="27">
        <f t="shared" si="125"/>
        <v>0</v>
      </c>
      <c r="J283" s="75">
        <v>0</v>
      </c>
      <c r="K283" s="75"/>
      <c r="L283" s="75"/>
      <c r="M283" s="75"/>
      <c r="N283" s="75"/>
      <c r="O283" s="75"/>
      <c r="P283" s="118"/>
    </row>
    <row r="284" spans="2:17" outlineLevel="1" x14ac:dyDescent="0.2">
      <c r="B284" s="118"/>
      <c r="C284" s="132"/>
      <c r="D284" s="140"/>
      <c r="E284" s="118"/>
      <c r="F284" s="118"/>
      <c r="G284" s="118"/>
      <c r="H284" s="84" t="s">
        <v>6</v>
      </c>
      <c r="I284" s="27">
        <f t="shared" si="125"/>
        <v>16.32</v>
      </c>
      <c r="J284" s="75">
        <v>16.32</v>
      </c>
      <c r="K284" s="75"/>
      <c r="L284" s="75"/>
      <c r="M284" s="75"/>
      <c r="N284" s="75"/>
      <c r="O284" s="75"/>
      <c r="P284" s="118"/>
    </row>
    <row r="285" spans="2:17" outlineLevel="1" x14ac:dyDescent="0.2">
      <c r="B285" s="119"/>
      <c r="C285" s="133"/>
      <c r="D285" s="141"/>
      <c r="E285" s="119"/>
      <c r="F285" s="119"/>
      <c r="G285" s="119"/>
      <c r="H285" s="84" t="s">
        <v>5</v>
      </c>
      <c r="I285" s="27">
        <f t="shared" si="125"/>
        <v>0</v>
      </c>
      <c r="J285" s="75"/>
      <c r="K285" s="75"/>
      <c r="L285" s="75"/>
      <c r="M285" s="75"/>
      <c r="N285" s="75"/>
      <c r="O285" s="75"/>
      <c r="P285" s="119"/>
    </row>
    <row r="286" spans="2:17" ht="42.75" outlineLevel="1" x14ac:dyDescent="0.2">
      <c r="B286" s="117" t="s">
        <v>1685</v>
      </c>
      <c r="C286" s="117"/>
      <c r="D286" s="139" t="s">
        <v>531</v>
      </c>
      <c r="E286" s="117">
        <v>2020</v>
      </c>
      <c r="F286" s="117">
        <v>500</v>
      </c>
      <c r="G286" s="117" t="s">
        <v>580</v>
      </c>
      <c r="H286" s="84" t="s">
        <v>3</v>
      </c>
      <c r="I286" s="27">
        <f t="shared" si="125"/>
        <v>5.31</v>
      </c>
      <c r="J286" s="83">
        <v>5.31</v>
      </c>
      <c r="K286" s="83">
        <f t="shared" ref="K286:O286" si="127">K287+K288+K289</f>
        <v>0</v>
      </c>
      <c r="L286" s="83">
        <f t="shared" si="127"/>
        <v>0</v>
      </c>
      <c r="M286" s="83">
        <f t="shared" si="127"/>
        <v>0</v>
      </c>
      <c r="N286" s="83">
        <f t="shared" si="127"/>
        <v>0</v>
      </c>
      <c r="O286" s="83">
        <f t="shared" si="127"/>
        <v>0</v>
      </c>
      <c r="P286" s="117">
        <v>480</v>
      </c>
    </row>
    <row r="287" spans="2:17" outlineLevel="1" x14ac:dyDescent="0.2">
      <c r="B287" s="118"/>
      <c r="C287" s="132"/>
      <c r="D287" s="140"/>
      <c r="E287" s="118"/>
      <c r="F287" s="118"/>
      <c r="G287" s="118"/>
      <c r="H287" s="84" t="s">
        <v>4</v>
      </c>
      <c r="I287" s="27">
        <f t="shared" si="125"/>
        <v>0</v>
      </c>
      <c r="J287" s="75"/>
      <c r="K287" s="75"/>
      <c r="L287" s="75"/>
      <c r="M287" s="75"/>
      <c r="N287" s="75"/>
      <c r="O287" s="75"/>
      <c r="P287" s="118"/>
    </row>
    <row r="288" spans="2:17" outlineLevel="1" x14ac:dyDescent="0.2">
      <c r="B288" s="118"/>
      <c r="C288" s="132"/>
      <c r="D288" s="140"/>
      <c r="E288" s="118"/>
      <c r="F288" s="118"/>
      <c r="G288" s="118"/>
      <c r="H288" s="84" t="s">
        <v>6</v>
      </c>
      <c r="I288" s="27">
        <f t="shared" si="125"/>
        <v>5.31</v>
      </c>
      <c r="J288" s="75">
        <v>5.31</v>
      </c>
      <c r="K288" s="75"/>
      <c r="L288" s="75"/>
      <c r="M288" s="75"/>
      <c r="N288" s="75"/>
      <c r="O288" s="75"/>
      <c r="P288" s="118"/>
    </row>
    <row r="289" spans="2:17" outlineLevel="1" x14ac:dyDescent="0.2">
      <c r="B289" s="119"/>
      <c r="C289" s="133"/>
      <c r="D289" s="141"/>
      <c r="E289" s="119"/>
      <c r="F289" s="119"/>
      <c r="G289" s="119"/>
      <c r="H289" s="84" t="s">
        <v>5</v>
      </c>
      <c r="I289" s="27">
        <f t="shared" si="125"/>
        <v>0</v>
      </c>
      <c r="J289" s="75"/>
      <c r="K289" s="75"/>
      <c r="L289" s="75"/>
      <c r="M289" s="75"/>
      <c r="N289" s="75"/>
      <c r="O289" s="75"/>
      <c r="P289" s="119"/>
    </row>
    <row r="290" spans="2:17" ht="42.75" outlineLevel="1" x14ac:dyDescent="0.2">
      <c r="B290" s="117" t="s">
        <v>1686</v>
      </c>
      <c r="C290" s="117"/>
      <c r="D290" s="139" t="s">
        <v>531</v>
      </c>
      <c r="E290" s="117">
        <v>2020</v>
      </c>
      <c r="F290" s="117">
        <v>468</v>
      </c>
      <c r="G290" s="117" t="s">
        <v>138</v>
      </c>
      <c r="H290" s="84" t="s">
        <v>3</v>
      </c>
      <c r="I290" s="27">
        <f t="shared" si="125"/>
        <v>8.56</v>
      </c>
      <c r="J290" s="83">
        <v>8.56</v>
      </c>
      <c r="K290" s="83">
        <f t="shared" ref="K290:O290" si="128">K291+K292+K293</f>
        <v>0</v>
      </c>
      <c r="L290" s="83">
        <f t="shared" si="128"/>
        <v>0</v>
      </c>
      <c r="M290" s="83">
        <f t="shared" si="128"/>
        <v>0</v>
      </c>
      <c r="N290" s="83">
        <f t="shared" si="128"/>
        <v>0</v>
      </c>
      <c r="O290" s="83">
        <f t="shared" si="128"/>
        <v>0</v>
      </c>
      <c r="P290" s="117">
        <v>520</v>
      </c>
    </row>
    <row r="291" spans="2:17" outlineLevel="1" x14ac:dyDescent="0.2">
      <c r="B291" s="118"/>
      <c r="C291" s="132"/>
      <c r="D291" s="140"/>
      <c r="E291" s="118"/>
      <c r="F291" s="118"/>
      <c r="G291" s="118"/>
      <c r="H291" s="84" t="s">
        <v>4</v>
      </c>
      <c r="I291" s="27">
        <f t="shared" si="125"/>
        <v>0</v>
      </c>
      <c r="J291" s="75"/>
      <c r="K291" s="75"/>
      <c r="L291" s="75"/>
      <c r="M291" s="75"/>
      <c r="N291" s="75"/>
      <c r="O291" s="75"/>
      <c r="P291" s="118"/>
    </row>
    <row r="292" spans="2:17" outlineLevel="1" x14ac:dyDescent="0.2">
      <c r="B292" s="118"/>
      <c r="C292" s="132"/>
      <c r="D292" s="140"/>
      <c r="E292" s="118"/>
      <c r="F292" s="118"/>
      <c r="G292" s="118"/>
      <c r="H292" s="84" t="s">
        <v>6</v>
      </c>
      <c r="I292" s="27">
        <f t="shared" si="125"/>
        <v>8.56</v>
      </c>
      <c r="J292" s="75">
        <v>8.56</v>
      </c>
      <c r="K292" s="75"/>
      <c r="L292" s="75"/>
      <c r="M292" s="75"/>
      <c r="N292" s="75"/>
      <c r="O292" s="75"/>
      <c r="P292" s="118"/>
    </row>
    <row r="293" spans="2:17" outlineLevel="1" x14ac:dyDescent="0.2">
      <c r="B293" s="119"/>
      <c r="C293" s="133"/>
      <c r="D293" s="141"/>
      <c r="E293" s="119"/>
      <c r="F293" s="119"/>
      <c r="G293" s="119"/>
      <c r="H293" s="84" t="s">
        <v>5</v>
      </c>
      <c r="I293" s="27">
        <f t="shared" si="125"/>
        <v>0</v>
      </c>
      <c r="J293" s="75"/>
      <c r="K293" s="75"/>
      <c r="L293" s="75"/>
      <c r="M293" s="75"/>
      <c r="N293" s="75"/>
      <c r="O293" s="75"/>
      <c r="P293" s="119"/>
    </row>
    <row r="294" spans="2:17" ht="42.75" x14ac:dyDescent="0.2">
      <c r="B294" s="128" t="s">
        <v>539</v>
      </c>
      <c r="C294" s="128" t="s">
        <v>38</v>
      </c>
      <c r="D294" s="128" t="s">
        <v>38</v>
      </c>
      <c r="E294" s="128" t="s">
        <v>38</v>
      </c>
      <c r="F294" s="128" t="s">
        <v>38</v>
      </c>
      <c r="G294" s="128" t="s">
        <v>38</v>
      </c>
      <c r="H294" s="84" t="s">
        <v>3</v>
      </c>
      <c r="I294" s="14">
        <f>SUMIF($H$278:$H$293,"Объем*",I$278:I$293)</f>
        <v>117.69</v>
      </c>
      <c r="J294" s="14">
        <f t="shared" ref="J294:O294" si="129">SUMIF($H$278:$H$293,"Объем*",J$278:J$293)</f>
        <v>30.189999999999998</v>
      </c>
      <c r="K294" s="14">
        <f t="shared" si="129"/>
        <v>8</v>
      </c>
      <c r="L294" s="14">
        <f t="shared" si="129"/>
        <v>79.5</v>
      </c>
      <c r="M294" s="14">
        <f t="shared" si="129"/>
        <v>0</v>
      </c>
      <c r="N294" s="14">
        <f t="shared" si="129"/>
        <v>0</v>
      </c>
      <c r="O294" s="14">
        <f t="shared" si="129"/>
        <v>0</v>
      </c>
      <c r="P294" s="128"/>
      <c r="Q294" s="7"/>
    </row>
    <row r="295" spans="2:17" ht="15.75" x14ac:dyDescent="0.2">
      <c r="B295" s="129"/>
      <c r="C295" s="129"/>
      <c r="D295" s="129"/>
      <c r="E295" s="129"/>
      <c r="F295" s="129"/>
      <c r="G295" s="129"/>
      <c r="H295" s="84" t="s">
        <v>4</v>
      </c>
      <c r="I295" s="14">
        <f>SUMIF($H$278:$H$293,"фед*",I$278:I$293)</f>
        <v>79.5</v>
      </c>
      <c r="J295" s="14">
        <f t="shared" ref="J295:O295" si="130">SUMIF($H$278:$H$293,"фед*",J$278:J$293)</f>
        <v>0</v>
      </c>
      <c r="K295" s="14">
        <f t="shared" si="130"/>
        <v>0</v>
      </c>
      <c r="L295" s="14">
        <f t="shared" si="130"/>
        <v>79.5</v>
      </c>
      <c r="M295" s="14">
        <f t="shared" si="130"/>
        <v>0</v>
      </c>
      <c r="N295" s="14">
        <f t="shared" si="130"/>
        <v>0</v>
      </c>
      <c r="O295" s="14">
        <f t="shared" si="130"/>
        <v>0</v>
      </c>
      <c r="P295" s="129"/>
      <c r="Q295" s="7"/>
    </row>
    <row r="296" spans="2:17" ht="15.75" x14ac:dyDescent="0.2">
      <c r="B296" s="129"/>
      <c r="C296" s="129"/>
      <c r="D296" s="129"/>
      <c r="E296" s="129"/>
      <c r="F296" s="129"/>
      <c r="G296" s="129"/>
      <c r="H296" s="84" t="s">
        <v>6</v>
      </c>
      <c r="I296" s="14">
        <f>SUMIF($H$278:$H$293,"конс*",I$278:I$293)</f>
        <v>38.19</v>
      </c>
      <c r="J296" s="14">
        <f t="shared" ref="J296:O296" si="131">SUMIF($H$278:$H$293,"конс*",J$278:J$293)</f>
        <v>30.189999999999998</v>
      </c>
      <c r="K296" s="14">
        <f t="shared" si="131"/>
        <v>8</v>
      </c>
      <c r="L296" s="14">
        <f t="shared" si="131"/>
        <v>0</v>
      </c>
      <c r="M296" s="14">
        <f t="shared" si="131"/>
        <v>0</v>
      </c>
      <c r="N296" s="14">
        <f t="shared" si="131"/>
        <v>0</v>
      </c>
      <c r="O296" s="14">
        <f t="shared" si="131"/>
        <v>0</v>
      </c>
      <c r="P296" s="129"/>
      <c r="Q296" s="7"/>
    </row>
    <row r="297" spans="2:17" ht="15.75" x14ac:dyDescent="0.2">
      <c r="B297" s="130"/>
      <c r="C297" s="130"/>
      <c r="D297" s="130"/>
      <c r="E297" s="130"/>
      <c r="F297" s="130"/>
      <c r="G297" s="130"/>
      <c r="H297" s="84" t="s">
        <v>5</v>
      </c>
      <c r="I297" s="76">
        <f>SUMIF($H$278:$H$293,"вне*",I$278:I$293)</f>
        <v>0</v>
      </c>
      <c r="J297" s="76">
        <f t="shared" ref="J297:O297" si="132">SUMIF($H$278:$H$293,"вне*",J$278:J$293)</f>
        <v>0</v>
      </c>
      <c r="K297" s="76">
        <f t="shared" si="132"/>
        <v>0</v>
      </c>
      <c r="L297" s="76">
        <f t="shared" si="132"/>
        <v>0</v>
      </c>
      <c r="M297" s="76">
        <f t="shared" si="132"/>
        <v>0</v>
      </c>
      <c r="N297" s="76">
        <f t="shared" si="132"/>
        <v>0</v>
      </c>
      <c r="O297" s="76">
        <f t="shared" si="132"/>
        <v>0</v>
      </c>
      <c r="P297" s="130"/>
      <c r="Q297" s="7"/>
    </row>
    <row r="298" spans="2:17" ht="25.5" customHeight="1" x14ac:dyDescent="0.2">
      <c r="B298" s="111" t="s">
        <v>557</v>
      </c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3"/>
    </row>
    <row r="299" spans="2:17" ht="42.75" outlineLevel="1" x14ac:dyDescent="0.2">
      <c r="B299" s="117" t="s">
        <v>1687</v>
      </c>
      <c r="C299" s="117"/>
      <c r="D299" s="117" t="s">
        <v>557</v>
      </c>
      <c r="E299" s="117" t="s">
        <v>203</v>
      </c>
      <c r="F299" s="117"/>
      <c r="G299" s="117" t="s">
        <v>138</v>
      </c>
      <c r="H299" s="84" t="s">
        <v>3</v>
      </c>
      <c r="I299" s="27">
        <f t="shared" ref="I299:I310" si="133">SUM(J299:O299)</f>
        <v>275.8</v>
      </c>
      <c r="J299" s="83">
        <f t="shared" ref="J299:O299" si="134">J300+J301+J302</f>
        <v>131.9</v>
      </c>
      <c r="K299" s="83">
        <f t="shared" si="134"/>
        <v>143.9</v>
      </c>
      <c r="L299" s="83">
        <f t="shared" si="134"/>
        <v>0</v>
      </c>
      <c r="M299" s="83">
        <f t="shared" si="134"/>
        <v>0</v>
      </c>
      <c r="N299" s="83">
        <f t="shared" si="134"/>
        <v>0</v>
      </c>
      <c r="O299" s="83">
        <f t="shared" si="134"/>
        <v>0</v>
      </c>
      <c r="P299" s="117"/>
    </row>
    <row r="300" spans="2:17" outlineLevel="1" x14ac:dyDescent="0.2">
      <c r="B300" s="118"/>
      <c r="C300" s="132"/>
      <c r="D300" s="118"/>
      <c r="E300" s="118"/>
      <c r="F300" s="118"/>
      <c r="G300" s="118"/>
      <c r="H300" s="84" t="s">
        <v>4</v>
      </c>
      <c r="I300" s="27">
        <f t="shared" si="133"/>
        <v>0</v>
      </c>
      <c r="J300" s="75"/>
      <c r="K300" s="75"/>
      <c r="L300" s="75"/>
      <c r="M300" s="75"/>
      <c r="N300" s="75"/>
      <c r="O300" s="75"/>
      <c r="P300" s="118"/>
    </row>
    <row r="301" spans="2:17" ht="17.25" outlineLevel="1" x14ac:dyDescent="0.2">
      <c r="B301" s="118"/>
      <c r="C301" s="132"/>
      <c r="D301" s="118"/>
      <c r="E301" s="118"/>
      <c r="F301" s="118"/>
      <c r="G301" s="118"/>
      <c r="H301" s="84" t="s">
        <v>6</v>
      </c>
      <c r="I301" s="27">
        <f t="shared" si="133"/>
        <v>275.8</v>
      </c>
      <c r="J301" s="75">
        <v>131.9</v>
      </c>
      <c r="K301" s="75">
        <v>143.9</v>
      </c>
      <c r="L301" s="52">
        <v>0</v>
      </c>
      <c r="M301" s="52">
        <v>0</v>
      </c>
      <c r="N301" s="52">
        <v>0</v>
      </c>
      <c r="O301" s="52">
        <v>0</v>
      </c>
      <c r="P301" s="118"/>
    </row>
    <row r="302" spans="2:17" outlineLevel="1" x14ac:dyDescent="0.2">
      <c r="B302" s="119"/>
      <c r="C302" s="133"/>
      <c r="D302" s="119"/>
      <c r="E302" s="119"/>
      <c r="F302" s="119"/>
      <c r="G302" s="119"/>
      <c r="H302" s="84" t="s">
        <v>5</v>
      </c>
      <c r="I302" s="27">
        <f t="shared" si="133"/>
        <v>0</v>
      </c>
      <c r="J302" s="75"/>
      <c r="K302" s="75"/>
      <c r="L302" s="75"/>
      <c r="M302" s="75"/>
      <c r="N302" s="75"/>
      <c r="O302" s="75"/>
      <c r="P302" s="119"/>
    </row>
    <row r="303" spans="2:17" ht="42.75" outlineLevel="1" x14ac:dyDescent="0.2">
      <c r="B303" s="117" t="s">
        <v>1688</v>
      </c>
      <c r="C303" s="117"/>
      <c r="D303" s="117" t="s">
        <v>559</v>
      </c>
      <c r="E303" s="117">
        <v>2020</v>
      </c>
      <c r="F303" s="117"/>
      <c r="G303" s="117" t="s">
        <v>138</v>
      </c>
      <c r="H303" s="84" t="s">
        <v>3</v>
      </c>
      <c r="I303" s="27">
        <f t="shared" si="133"/>
        <v>56.8</v>
      </c>
      <c r="J303" s="83">
        <f t="shared" ref="J303:O303" si="135">J304+J305+J306</f>
        <v>56.8</v>
      </c>
      <c r="K303" s="83">
        <f t="shared" si="135"/>
        <v>0</v>
      </c>
      <c r="L303" s="83">
        <f t="shared" si="135"/>
        <v>0</v>
      </c>
      <c r="M303" s="83">
        <f t="shared" si="135"/>
        <v>0</v>
      </c>
      <c r="N303" s="83">
        <f t="shared" si="135"/>
        <v>0</v>
      </c>
      <c r="O303" s="83">
        <f t="shared" si="135"/>
        <v>0</v>
      </c>
      <c r="P303" s="117"/>
    </row>
    <row r="304" spans="2:17" outlineLevel="1" x14ac:dyDescent="0.2">
      <c r="B304" s="118"/>
      <c r="C304" s="132"/>
      <c r="D304" s="118"/>
      <c r="E304" s="118"/>
      <c r="F304" s="118"/>
      <c r="G304" s="118"/>
      <c r="H304" s="84" t="s">
        <v>4</v>
      </c>
      <c r="I304" s="27">
        <f t="shared" si="133"/>
        <v>0</v>
      </c>
      <c r="J304" s="75"/>
      <c r="K304" s="75"/>
      <c r="L304" s="75"/>
      <c r="M304" s="75"/>
      <c r="N304" s="75"/>
      <c r="O304" s="75"/>
      <c r="P304" s="118"/>
    </row>
    <row r="305" spans="2:16" ht="17.25" outlineLevel="1" x14ac:dyDescent="0.2">
      <c r="B305" s="118"/>
      <c r="C305" s="132"/>
      <c r="D305" s="118"/>
      <c r="E305" s="118"/>
      <c r="F305" s="118"/>
      <c r="G305" s="118"/>
      <c r="H305" s="84" t="s">
        <v>6</v>
      </c>
      <c r="I305" s="27">
        <f t="shared" si="133"/>
        <v>56.8</v>
      </c>
      <c r="J305" s="75">
        <v>56.8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118"/>
    </row>
    <row r="306" spans="2:16" outlineLevel="1" x14ac:dyDescent="0.2">
      <c r="B306" s="119"/>
      <c r="C306" s="133"/>
      <c r="D306" s="119"/>
      <c r="E306" s="119"/>
      <c r="F306" s="119"/>
      <c r="G306" s="119"/>
      <c r="H306" s="84" t="s">
        <v>5</v>
      </c>
      <c r="I306" s="27">
        <f t="shared" si="133"/>
        <v>0</v>
      </c>
      <c r="J306" s="75"/>
      <c r="K306" s="75"/>
      <c r="L306" s="75"/>
      <c r="M306" s="75"/>
      <c r="N306" s="75"/>
      <c r="O306" s="75"/>
      <c r="P306" s="119"/>
    </row>
    <row r="307" spans="2:16" ht="42.75" outlineLevel="1" x14ac:dyDescent="0.2">
      <c r="B307" s="117" t="s">
        <v>1689</v>
      </c>
      <c r="C307" s="117" t="s">
        <v>1620</v>
      </c>
      <c r="D307" s="117" t="s">
        <v>559</v>
      </c>
      <c r="E307" s="117">
        <v>2021</v>
      </c>
      <c r="F307" s="117"/>
      <c r="G307" s="117" t="s">
        <v>138</v>
      </c>
      <c r="H307" s="84" t="s">
        <v>3</v>
      </c>
      <c r="I307" s="27">
        <f t="shared" si="133"/>
        <v>36.5</v>
      </c>
      <c r="J307" s="83">
        <f t="shared" ref="J307:O307" si="136">J308+J309+J310</f>
        <v>0</v>
      </c>
      <c r="K307" s="83">
        <f t="shared" si="136"/>
        <v>36.5</v>
      </c>
      <c r="L307" s="83">
        <f t="shared" si="136"/>
        <v>0</v>
      </c>
      <c r="M307" s="83">
        <f t="shared" si="136"/>
        <v>0</v>
      </c>
      <c r="N307" s="83">
        <f t="shared" si="136"/>
        <v>0</v>
      </c>
      <c r="O307" s="83">
        <f t="shared" si="136"/>
        <v>0</v>
      </c>
      <c r="P307" s="117"/>
    </row>
    <row r="308" spans="2:16" ht="17.25" outlineLevel="1" x14ac:dyDescent="0.2">
      <c r="B308" s="118"/>
      <c r="C308" s="132"/>
      <c r="D308" s="118"/>
      <c r="E308" s="118"/>
      <c r="F308" s="118"/>
      <c r="G308" s="118"/>
      <c r="H308" s="84" t="s">
        <v>4</v>
      </c>
      <c r="I308" s="27">
        <f t="shared" si="133"/>
        <v>35.9</v>
      </c>
      <c r="J308" s="52">
        <v>0</v>
      </c>
      <c r="K308" s="75">
        <v>35.9</v>
      </c>
      <c r="L308" s="52">
        <v>0</v>
      </c>
      <c r="M308" s="52">
        <v>0</v>
      </c>
      <c r="N308" s="52">
        <v>0</v>
      </c>
      <c r="O308" s="52">
        <v>0</v>
      </c>
      <c r="P308" s="118"/>
    </row>
    <row r="309" spans="2:16" ht="17.25" outlineLevel="1" x14ac:dyDescent="0.2">
      <c r="B309" s="118"/>
      <c r="C309" s="132"/>
      <c r="D309" s="118"/>
      <c r="E309" s="118"/>
      <c r="F309" s="118"/>
      <c r="G309" s="118"/>
      <c r="H309" s="84" t="s">
        <v>6</v>
      </c>
      <c r="I309" s="27">
        <f t="shared" si="133"/>
        <v>0.6</v>
      </c>
      <c r="J309" s="52">
        <v>0</v>
      </c>
      <c r="K309" s="75">
        <v>0.6</v>
      </c>
      <c r="L309" s="52">
        <v>0</v>
      </c>
      <c r="M309" s="52">
        <v>0</v>
      </c>
      <c r="N309" s="52">
        <v>0</v>
      </c>
      <c r="O309" s="52">
        <v>0</v>
      </c>
      <c r="P309" s="118"/>
    </row>
    <row r="310" spans="2:16" outlineLevel="1" x14ac:dyDescent="0.2">
      <c r="B310" s="119"/>
      <c r="C310" s="133"/>
      <c r="D310" s="119"/>
      <c r="E310" s="119"/>
      <c r="F310" s="119"/>
      <c r="G310" s="119"/>
      <c r="H310" s="84" t="s">
        <v>5</v>
      </c>
      <c r="I310" s="27">
        <f t="shared" si="133"/>
        <v>0</v>
      </c>
      <c r="J310" s="75"/>
      <c r="K310" s="75"/>
      <c r="L310" s="75"/>
      <c r="M310" s="75"/>
      <c r="N310" s="75"/>
      <c r="O310" s="75"/>
      <c r="P310" s="119"/>
    </row>
    <row r="311" spans="2:16" ht="42.75" x14ac:dyDescent="0.2">
      <c r="B311" s="128" t="s">
        <v>560</v>
      </c>
      <c r="C311" s="128" t="s">
        <v>38</v>
      </c>
      <c r="D311" s="128" t="s">
        <v>38</v>
      </c>
      <c r="E311" s="128" t="s">
        <v>38</v>
      </c>
      <c r="F311" s="128" t="s">
        <v>38</v>
      </c>
      <c r="G311" s="128" t="s">
        <v>38</v>
      </c>
      <c r="H311" s="84" t="s">
        <v>3</v>
      </c>
      <c r="I311" s="14">
        <f>SUMIF($H$299:$H$310,"Объем*",I$299:I$310)</f>
        <v>369.1</v>
      </c>
      <c r="J311" s="14">
        <f t="shared" ref="J311:O311" si="137">SUMIF($H$299:$H$310,"Объем*",J$299:J$310)</f>
        <v>188.7</v>
      </c>
      <c r="K311" s="14">
        <f t="shared" si="137"/>
        <v>180.4</v>
      </c>
      <c r="L311" s="14">
        <f t="shared" si="137"/>
        <v>0</v>
      </c>
      <c r="M311" s="14">
        <f t="shared" si="137"/>
        <v>0</v>
      </c>
      <c r="N311" s="14">
        <f t="shared" si="137"/>
        <v>0</v>
      </c>
      <c r="O311" s="14">
        <f t="shared" si="137"/>
        <v>0</v>
      </c>
      <c r="P311" s="128"/>
    </row>
    <row r="312" spans="2:16" ht="15.75" x14ac:dyDescent="0.2">
      <c r="B312" s="129"/>
      <c r="C312" s="129"/>
      <c r="D312" s="129"/>
      <c r="E312" s="129"/>
      <c r="F312" s="129"/>
      <c r="G312" s="129"/>
      <c r="H312" s="84" t="s">
        <v>4</v>
      </c>
      <c r="I312" s="14">
        <f>SUMIF($H$299:$H$310,"фед*",I$299:I$310)</f>
        <v>35.9</v>
      </c>
      <c r="J312" s="14">
        <f t="shared" ref="J312:O312" si="138">SUMIF($H$299:$H$310,"фед*",J$299:J$310)</f>
        <v>0</v>
      </c>
      <c r="K312" s="14">
        <f t="shared" si="138"/>
        <v>35.9</v>
      </c>
      <c r="L312" s="14">
        <f t="shared" si="138"/>
        <v>0</v>
      </c>
      <c r="M312" s="14">
        <f t="shared" si="138"/>
        <v>0</v>
      </c>
      <c r="N312" s="14">
        <f t="shared" si="138"/>
        <v>0</v>
      </c>
      <c r="O312" s="14">
        <f t="shared" si="138"/>
        <v>0</v>
      </c>
      <c r="P312" s="129"/>
    </row>
    <row r="313" spans="2:16" ht="15.75" x14ac:dyDescent="0.2">
      <c r="B313" s="129"/>
      <c r="C313" s="129"/>
      <c r="D313" s="129"/>
      <c r="E313" s="129"/>
      <c r="F313" s="129"/>
      <c r="G313" s="129"/>
      <c r="H313" s="84" t="s">
        <v>6</v>
      </c>
      <c r="I313" s="14">
        <f>SUMIF($H$299:$H$310,"конс*",I$299:I$310)</f>
        <v>333.20000000000005</v>
      </c>
      <c r="J313" s="14">
        <f t="shared" ref="J313:O313" si="139">SUMIF($H$299:$H$310,"конс*",J$299:J$310)</f>
        <v>188.7</v>
      </c>
      <c r="K313" s="14">
        <f t="shared" si="139"/>
        <v>144.5</v>
      </c>
      <c r="L313" s="14">
        <f t="shared" si="139"/>
        <v>0</v>
      </c>
      <c r="M313" s="14">
        <f t="shared" si="139"/>
        <v>0</v>
      </c>
      <c r="N313" s="14">
        <f t="shared" si="139"/>
        <v>0</v>
      </c>
      <c r="O313" s="14">
        <f t="shared" si="139"/>
        <v>0</v>
      </c>
      <c r="P313" s="129"/>
    </row>
    <row r="314" spans="2:16" ht="15.75" x14ac:dyDescent="0.2">
      <c r="B314" s="130"/>
      <c r="C314" s="130"/>
      <c r="D314" s="130"/>
      <c r="E314" s="130"/>
      <c r="F314" s="130"/>
      <c r="G314" s="130"/>
      <c r="H314" s="84" t="s">
        <v>5</v>
      </c>
      <c r="I314" s="14">
        <f>SUMIF($H$299:$H$310,"вне*",I$299:I$310)</f>
        <v>0</v>
      </c>
      <c r="J314" s="14">
        <f t="shared" ref="J314:O314" si="140">SUMIF($H$299:$H$310,"вне*",J$299:J$310)</f>
        <v>0</v>
      </c>
      <c r="K314" s="14">
        <f t="shared" si="140"/>
        <v>0</v>
      </c>
      <c r="L314" s="14">
        <f t="shared" si="140"/>
        <v>0</v>
      </c>
      <c r="M314" s="14">
        <f t="shared" si="140"/>
        <v>0</v>
      </c>
      <c r="N314" s="14">
        <f t="shared" si="140"/>
        <v>0</v>
      </c>
      <c r="O314" s="14">
        <f t="shared" si="140"/>
        <v>0</v>
      </c>
      <c r="P314" s="130"/>
    </row>
    <row r="315" spans="2:16" ht="25.5" customHeight="1" x14ac:dyDescent="0.2">
      <c r="B315" s="111" t="s">
        <v>65</v>
      </c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3"/>
    </row>
    <row r="316" spans="2:16" ht="47.25" customHeight="1" outlineLevel="1" x14ac:dyDescent="0.2">
      <c r="B316" s="117" t="s">
        <v>1690</v>
      </c>
      <c r="C316" s="117" t="s">
        <v>1620</v>
      </c>
      <c r="D316" s="117" t="s">
        <v>575</v>
      </c>
      <c r="E316" s="117">
        <v>2022</v>
      </c>
      <c r="F316" s="117"/>
      <c r="G316" s="117" t="s">
        <v>138</v>
      </c>
      <c r="H316" s="84" t="s">
        <v>3</v>
      </c>
      <c r="I316" s="83">
        <f>SUM(J316:O316)</f>
        <v>309.39999999999998</v>
      </c>
      <c r="J316" s="83">
        <f t="shared" ref="J316:O316" si="141">J317+J318+J319</f>
        <v>0</v>
      </c>
      <c r="K316" s="83">
        <f t="shared" si="141"/>
        <v>0</v>
      </c>
      <c r="L316" s="83">
        <f t="shared" si="141"/>
        <v>309.39999999999998</v>
      </c>
      <c r="M316" s="83">
        <f t="shared" si="141"/>
        <v>0</v>
      </c>
      <c r="N316" s="83">
        <f t="shared" si="141"/>
        <v>0</v>
      </c>
      <c r="O316" s="83">
        <f t="shared" si="141"/>
        <v>0</v>
      </c>
      <c r="P316" s="134">
        <v>81000</v>
      </c>
    </row>
    <row r="317" spans="2:16" outlineLevel="1" x14ac:dyDescent="0.2">
      <c r="B317" s="118"/>
      <c r="C317" s="190"/>
      <c r="D317" s="118"/>
      <c r="E317" s="118"/>
      <c r="F317" s="118"/>
      <c r="G317" s="118"/>
      <c r="H317" s="84" t="s">
        <v>4</v>
      </c>
      <c r="I317" s="83">
        <f>SUM(J317:O317)</f>
        <v>255.9</v>
      </c>
      <c r="J317" s="75"/>
      <c r="K317" s="75"/>
      <c r="L317" s="75">
        <v>255.9</v>
      </c>
      <c r="M317" s="75"/>
      <c r="N317" s="75"/>
      <c r="O317" s="75"/>
      <c r="P317" s="135"/>
    </row>
    <row r="318" spans="2:16" outlineLevel="1" x14ac:dyDescent="0.2">
      <c r="B318" s="118"/>
      <c r="C318" s="190"/>
      <c r="D318" s="118"/>
      <c r="E318" s="118"/>
      <c r="F318" s="118"/>
      <c r="G318" s="118"/>
      <c r="H318" s="84" t="s">
        <v>6</v>
      </c>
      <c r="I318" s="83">
        <f>SUM(J318:O318)</f>
        <v>53.5</v>
      </c>
      <c r="J318" s="75"/>
      <c r="K318" s="75"/>
      <c r="L318" s="16">
        <v>53.5</v>
      </c>
      <c r="M318" s="75"/>
      <c r="N318" s="75"/>
      <c r="O318" s="75"/>
      <c r="P318" s="135"/>
    </row>
    <row r="319" spans="2:16" ht="15" customHeight="1" outlineLevel="1" x14ac:dyDescent="0.2">
      <c r="B319" s="119"/>
      <c r="C319" s="191"/>
      <c r="D319" s="119"/>
      <c r="E319" s="119"/>
      <c r="F319" s="119"/>
      <c r="G319" s="119"/>
      <c r="H319" s="84" t="s">
        <v>5</v>
      </c>
      <c r="I319" s="75"/>
      <c r="J319" s="75"/>
      <c r="K319" s="75"/>
      <c r="L319" s="75"/>
      <c r="M319" s="75"/>
      <c r="N319" s="75"/>
      <c r="O319" s="75"/>
      <c r="P319" s="136"/>
    </row>
    <row r="320" spans="2:16" ht="42.75" outlineLevel="1" x14ac:dyDescent="0.2">
      <c r="B320" s="117" t="s">
        <v>1691</v>
      </c>
      <c r="C320" s="117"/>
      <c r="D320" s="117" t="s">
        <v>575</v>
      </c>
      <c r="E320" s="117">
        <v>2021</v>
      </c>
      <c r="F320" s="117"/>
      <c r="G320" s="117" t="s">
        <v>138</v>
      </c>
      <c r="H320" s="84" t="s">
        <v>3</v>
      </c>
      <c r="I320" s="83">
        <f>SUM(J320:O320)</f>
        <v>58.6</v>
      </c>
      <c r="J320" s="83">
        <f t="shared" ref="J320:O320" si="142">J321+J322+J323</f>
        <v>0</v>
      </c>
      <c r="K320" s="83">
        <f t="shared" si="142"/>
        <v>58.6</v>
      </c>
      <c r="L320" s="83">
        <f t="shared" si="142"/>
        <v>0</v>
      </c>
      <c r="M320" s="83">
        <f t="shared" si="142"/>
        <v>0</v>
      </c>
      <c r="N320" s="83">
        <f t="shared" si="142"/>
        <v>0</v>
      </c>
      <c r="O320" s="83">
        <f t="shared" si="142"/>
        <v>0</v>
      </c>
      <c r="P320" s="134">
        <v>63000</v>
      </c>
    </row>
    <row r="321" spans="2:16" outlineLevel="1" x14ac:dyDescent="0.2">
      <c r="B321" s="118"/>
      <c r="C321" s="190"/>
      <c r="D321" s="118"/>
      <c r="E321" s="118"/>
      <c r="F321" s="118"/>
      <c r="G321" s="118"/>
      <c r="H321" s="84" t="s">
        <v>4</v>
      </c>
      <c r="I321" s="83">
        <f>SUM(J321:O321)</f>
        <v>52.74</v>
      </c>
      <c r="J321" s="75"/>
      <c r="K321" s="75">
        <v>52.74</v>
      </c>
      <c r="L321" s="75"/>
      <c r="M321" s="75"/>
      <c r="N321" s="75"/>
      <c r="O321" s="75"/>
      <c r="P321" s="135"/>
    </row>
    <row r="322" spans="2:16" outlineLevel="1" x14ac:dyDescent="0.2">
      <c r="B322" s="118"/>
      <c r="C322" s="190"/>
      <c r="D322" s="118"/>
      <c r="E322" s="118"/>
      <c r="F322" s="118"/>
      <c r="G322" s="118"/>
      <c r="H322" s="84" t="s">
        <v>6</v>
      </c>
      <c r="I322" s="83">
        <f>SUM(J322:O322)</f>
        <v>5.86</v>
      </c>
      <c r="J322" s="16"/>
      <c r="K322" s="16">
        <v>5.86</v>
      </c>
      <c r="L322" s="75"/>
      <c r="M322" s="75"/>
      <c r="N322" s="75"/>
      <c r="O322" s="75"/>
      <c r="P322" s="135"/>
    </row>
    <row r="323" spans="2:16" outlineLevel="1" x14ac:dyDescent="0.2">
      <c r="B323" s="119"/>
      <c r="C323" s="191"/>
      <c r="D323" s="119"/>
      <c r="E323" s="119"/>
      <c r="F323" s="119"/>
      <c r="G323" s="119"/>
      <c r="H323" s="84" t="s">
        <v>5</v>
      </c>
      <c r="I323" s="75"/>
      <c r="J323" s="75"/>
      <c r="K323" s="75"/>
      <c r="L323" s="75"/>
      <c r="M323" s="75"/>
      <c r="N323" s="75"/>
      <c r="O323" s="75"/>
      <c r="P323" s="136"/>
    </row>
    <row r="324" spans="2:16" ht="42.75" customHeight="1" outlineLevel="1" x14ac:dyDescent="0.2">
      <c r="B324" s="117" t="s">
        <v>1692</v>
      </c>
      <c r="C324" s="117"/>
      <c r="D324" s="117" t="s">
        <v>575</v>
      </c>
      <c r="E324" s="117" t="s">
        <v>75</v>
      </c>
      <c r="F324" s="117" t="s">
        <v>1693</v>
      </c>
      <c r="G324" s="117" t="s">
        <v>107</v>
      </c>
      <c r="H324" s="84" t="s">
        <v>3</v>
      </c>
      <c r="I324" s="83">
        <f>SUM(J324:O324)</f>
        <v>1039</v>
      </c>
      <c r="J324" s="83">
        <v>0</v>
      </c>
      <c r="K324" s="83">
        <f t="shared" ref="K324:O324" si="143">K325+K326+K327</f>
        <v>0</v>
      </c>
      <c r="L324" s="83">
        <f t="shared" si="143"/>
        <v>500</v>
      </c>
      <c r="M324" s="83">
        <f t="shared" si="143"/>
        <v>300</v>
      </c>
      <c r="N324" s="83">
        <f t="shared" si="143"/>
        <v>239</v>
      </c>
      <c r="O324" s="83">
        <f t="shared" si="143"/>
        <v>0</v>
      </c>
      <c r="P324" s="134">
        <v>180000</v>
      </c>
    </row>
    <row r="325" spans="2:16" outlineLevel="1" x14ac:dyDescent="0.2">
      <c r="B325" s="118"/>
      <c r="C325" s="190"/>
      <c r="D325" s="118"/>
      <c r="E325" s="118"/>
      <c r="F325" s="118"/>
      <c r="G325" s="118"/>
      <c r="H325" s="84" t="s">
        <v>4</v>
      </c>
      <c r="I325" s="83">
        <f>SUM(J325:O325)</f>
        <v>935.1</v>
      </c>
      <c r="J325" s="68"/>
      <c r="K325" s="68"/>
      <c r="L325" s="68">
        <v>450</v>
      </c>
      <c r="M325" s="68">
        <v>270</v>
      </c>
      <c r="N325" s="68">
        <v>215.1</v>
      </c>
      <c r="O325" s="68"/>
      <c r="P325" s="135"/>
    </row>
    <row r="326" spans="2:16" outlineLevel="1" x14ac:dyDescent="0.2">
      <c r="B326" s="118"/>
      <c r="C326" s="190"/>
      <c r="D326" s="118"/>
      <c r="E326" s="118"/>
      <c r="F326" s="118"/>
      <c r="G326" s="118"/>
      <c r="H326" s="84" t="s">
        <v>6</v>
      </c>
      <c r="I326" s="83">
        <f>SUM(J326:O326)</f>
        <v>103.9</v>
      </c>
      <c r="J326" s="68"/>
      <c r="K326" s="68"/>
      <c r="L326" s="68">
        <v>50</v>
      </c>
      <c r="M326" s="68">
        <v>30</v>
      </c>
      <c r="N326" s="68">
        <v>23.9</v>
      </c>
      <c r="O326" s="68"/>
      <c r="P326" s="135"/>
    </row>
    <row r="327" spans="2:16" outlineLevel="1" x14ac:dyDescent="0.2">
      <c r="B327" s="119"/>
      <c r="C327" s="191"/>
      <c r="D327" s="119"/>
      <c r="E327" s="119"/>
      <c r="F327" s="119"/>
      <c r="G327" s="119"/>
      <c r="H327" s="84" t="s">
        <v>5</v>
      </c>
      <c r="I327" s="75"/>
      <c r="J327" s="75"/>
      <c r="K327" s="75"/>
      <c r="L327" s="75"/>
      <c r="M327" s="75"/>
      <c r="N327" s="75"/>
      <c r="O327" s="75"/>
      <c r="P327" s="136"/>
    </row>
    <row r="328" spans="2:16" ht="42.75" customHeight="1" outlineLevel="1" x14ac:dyDescent="0.2">
      <c r="B328" s="117" t="s">
        <v>1694</v>
      </c>
      <c r="C328" s="117"/>
      <c r="D328" s="117" t="s">
        <v>65</v>
      </c>
      <c r="E328" s="117" t="s">
        <v>209</v>
      </c>
      <c r="F328" s="117" t="s">
        <v>1695</v>
      </c>
      <c r="G328" s="117" t="s">
        <v>1696</v>
      </c>
      <c r="H328" s="84" t="s">
        <v>3</v>
      </c>
      <c r="I328" s="83">
        <f>SUM(J328:O328)</f>
        <v>109</v>
      </c>
      <c r="J328" s="83">
        <v>0</v>
      </c>
      <c r="K328" s="83">
        <f t="shared" ref="K328:O328" si="144">K329+K330+K331</f>
        <v>0</v>
      </c>
      <c r="L328" s="83">
        <f t="shared" si="144"/>
        <v>0</v>
      </c>
      <c r="M328" s="17">
        <f t="shared" si="144"/>
        <v>54.5</v>
      </c>
      <c r="N328" s="17">
        <f t="shared" si="144"/>
        <v>54.5</v>
      </c>
      <c r="O328" s="83">
        <f t="shared" si="144"/>
        <v>0</v>
      </c>
      <c r="P328" s="134">
        <v>50000</v>
      </c>
    </row>
    <row r="329" spans="2:16" outlineLevel="1" x14ac:dyDescent="0.2">
      <c r="B329" s="118"/>
      <c r="C329" s="190"/>
      <c r="D329" s="118"/>
      <c r="E329" s="118"/>
      <c r="F329" s="118"/>
      <c r="G329" s="118"/>
      <c r="H329" s="84" t="s">
        <v>4</v>
      </c>
      <c r="I329" s="83">
        <f>SUM(J329:O329)</f>
        <v>103.3</v>
      </c>
      <c r="J329" s="68"/>
      <c r="K329" s="69"/>
      <c r="L329" s="69"/>
      <c r="M329" s="70">
        <v>51.65</v>
      </c>
      <c r="N329" s="70">
        <v>51.65</v>
      </c>
      <c r="O329" s="68"/>
      <c r="P329" s="135"/>
    </row>
    <row r="330" spans="2:16" outlineLevel="1" x14ac:dyDescent="0.2">
      <c r="B330" s="118"/>
      <c r="C330" s="190"/>
      <c r="D330" s="118"/>
      <c r="E330" s="118"/>
      <c r="F330" s="118"/>
      <c r="G330" s="118"/>
      <c r="H330" s="84" t="s">
        <v>6</v>
      </c>
      <c r="I330" s="83">
        <f>SUM(J330:O330)</f>
        <v>5.7</v>
      </c>
      <c r="J330" s="68"/>
      <c r="K330" s="71"/>
      <c r="L330" s="71"/>
      <c r="M330" s="72">
        <v>2.85</v>
      </c>
      <c r="N330" s="72">
        <v>2.85</v>
      </c>
      <c r="O330" s="68"/>
      <c r="P330" s="135"/>
    </row>
    <row r="331" spans="2:16" outlineLevel="1" x14ac:dyDescent="0.2">
      <c r="B331" s="119"/>
      <c r="C331" s="191"/>
      <c r="D331" s="119"/>
      <c r="E331" s="119"/>
      <c r="F331" s="119"/>
      <c r="G331" s="119"/>
      <c r="H331" s="84" t="s">
        <v>5</v>
      </c>
      <c r="I331" s="75"/>
      <c r="J331" s="68"/>
      <c r="K331" s="68"/>
      <c r="L331" s="68"/>
      <c r="M331" s="68"/>
      <c r="N331" s="68"/>
      <c r="O331" s="68"/>
      <c r="P331" s="136"/>
    </row>
    <row r="332" spans="2:16" ht="42.75" outlineLevel="1" x14ac:dyDescent="0.2">
      <c r="B332" s="150" t="s">
        <v>1697</v>
      </c>
      <c r="C332" s="150"/>
      <c r="D332" s="150" t="s">
        <v>575</v>
      </c>
      <c r="E332" s="150" t="s">
        <v>75</v>
      </c>
      <c r="F332" s="150"/>
      <c r="G332" s="150" t="s">
        <v>107</v>
      </c>
      <c r="H332" s="84" t="s">
        <v>3</v>
      </c>
      <c r="I332" s="83">
        <f>SUM(J332:O332)</f>
        <v>210</v>
      </c>
      <c r="J332" s="83">
        <v>0</v>
      </c>
      <c r="K332" s="83">
        <f t="shared" ref="K332:O332" si="145">K333+K334+K335</f>
        <v>0</v>
      </c>
      <c r="L332" s="83">
        <f t="shared" si="145"/>
        <v>10</v>
      </c>
      <c r="M332" s="83">
        <f t="shared" si="145"/>
        <v>100</v>
      </c>
      <c r="N332" s="83">
        <f t="shared" si="145"/>
        <v>100</v>
      </c>
      <c r="O332" s="83">
        <f t="shared" si="145"/>
        <v>0</v>
      </c>
      <c r="P332" s="134">
        <v>81000</v>
      </c>
    </row>
    <row r="333" spans="2:16" outlineLevel="1" x14ac:dyDescent="0.2">
      <c r="B333" s="151"/>
      <c r="C333" s="209"/>
      <c r="D333" s="151"/>
      <c r="E333" s="151"/>
      <c r="F333" s="151"/>
      <c r="G333" s="151"/>
      <c r="H333" s="84" t="s">
        <v>4</v>
      </c>
      <c r="I333" s="83">
        <f>SUM(J333:O333)</f>
        <v>207.5</v>
      </c>
      <c r="J333" s="16"/>
      <c r="K333" s="73"/>
      <c r="L333" s="73">
        <v>9.5</v>
      </c>
      <c r="M333" s="73">
        <v>99</v>
      </c>
      <c r="N333" s="73">
        <v>99</v>
      </c>
      <c r="O333" s="16"/>
      <c r="P333" s="135"/>
    </row>
    <row r="334" spans="2:16" outlineLevel="1" x14ac:dyDescent="0.2">
      <c r="B334" s="151"/>
      <c r="C334" s="209"/>
      <c r="D334" s="151"/>
      <c r="E334" s="151"/>
      <c r="F334" s="151"/>
      <c r="G334" s="151"/>
      <c r="H334" s="84" t="s">
        <v>6</v>
      </c>
      <c r="I334" s="83">
        <f>SUM(J334:O334)</f>
        <v>2.5</v>
      </c>
      <c r="J334" s="16"/>
      <c r="K334" s="73"/>
      <c r="L334" s="73">
        <v>0.5</v>
      </c>
      <c r="M334" s="73">
        <v>1</v>
      </c>
      <c r="N334" s="73">
        <v>1</v>
      </c>
      <c r="O334" s="16"/>
      <c r="P334" s="135"/>
    </row>
    <row r="335" spans="2:16" outlineLevel="1" x14ac:dyDescent="0.2">
      <c r="B335" s="152"/>
      <c r="C335" s="210"/>
      <c r="D335" s="152"/>
      <c r="E335" s="152"/>
      <c r="F335" s="152"/>
      <c r="G335" s="152"/>
      <c r="H335" s="84" t="s">
        <v>5</v>
      </c>
      <c r="I335" s="75"/>
      <c r="J335" s="68"/>
      <c r="K335" s="68"/>
      <c r="L335" s="68"/>
      <c r="M335" s="68"/>
      <c r="N335" s="68"/>
      <c r="O335" s="68"/>
      <c r="P335" s="136"/>
    </row>
    <row r="336" spans="2:16" ht="42.75" outlineLevel="1" x14ac:dyDescent="0.2">
      <c r="B336" s="150" t="s">
        <v>1698</v>
      </c>
      <c r="C336" s="150"/>
      <c r="D336" s="150" t="s">
        <v>575</v>
      </c>
      <c r="E336" s="150" t="s">
        <v>209</v>
      </c>
      <c r="F336" s="150"/>
      <c r="G336" s="150" t="s">
        <v>107</v>
      </c>
      <c r="H336" s="84" t="s">
        <v>3</v>
      </c>
      <c r="I336" s="83">
        <f>SUM(J336:O336)</f>
        <v>210</v>
      </c>
      <c r="J336" s="83">
        <v>0</v>
      </c>
      <c r="K336" s="83">
        <f t="shared" ref="K336:O336" si="146">K337+K338+K339</f>
        <v>0</v>
      </c>
      <c r="L336" s="83">
        <f t="shared" si="146"/>
        <v>0</v>
      </c>
      <c r="M336" s="17">
        <f t="shared" si="146"/>
        <v>105</v>
      </c>
      <c r="N336" s="17">
        <f t="shared" si="146"/>
        <v>105</v>
      </c>
      <c r="O336" s="83">
        <f t="shared" si="146"/>
        <v>0</v>
      </c>
      <c r="P336" s="134">
        <v>81000</v>
      </c>
    </row>
    <row r="337" spans="2:18" outlineLevel="1" x14ac:dyDescent="0.2">
      <c r="B337" s="151"/>
      <c r="C337" s="209"/>
      <c r="D337" s="151"/>
      <c r="E337" s="151"/>
      <c r="F337" s="151"/>
      <c r="G337" s="151"/>
      <c r="H337" s="84" t="s">
        <v>4</v>
      </c>
      <c r="I337" s="83">
        <f>SUM(J337:O337)</f>
        <v>207.5</v>
      </c>
      <c r="J337" s="16"/>
      <c r="K337" s="73"/>
      <c r="L337" s="73"/>
      <c r="M337" s="74">
        <v>103.75</v>
      </c>
      <c r="N337" s="74">
        <v>103.75</v>
      </c>
      <c r="O337" s="16"/>
      <c r="P337" s="135"/>
    </row>
    <row r="338" spans="2:18" outlineLevel="1" x14ac:dyDescent="0.2">
      <c r="B338" s="151"/>
      <c r="C338" s="209"/>
      <c r="D338" s="151"/>
      <c r="E338" s="151"/>
      <c r="F338" s="151"/>
      <c r="G338" s="151"/>
      <c r="H338" s="84" t="s">
        <v>6</v>
      </c>
      <c r="I338" s="83">
        <f>SUM(J338:O338)</f>
        <v>2.5</v>
      </c>
      <c r="J338" s="16"/>
      <c r="K338" s="73"/>
      <c r="L338" s="73"/>
      <c r="M338" s="74">
        <v>1.25</v>
      </c>
      <c r="N338" s="74">
        <v>1.25</v>
      </c>
      <c r="O338" s="16"/>
      <c r="P338" s="135"/>
    </row>
    <row r="339" spans="2:18" outlineLevel="1" x14ac:dyDescent="0.2">
      <c r="B339" s="152"/>
      <c r="C339" s="210"/>
      <c r="D339" s="152"/>
      <c r="E339" s="152"/>
      <c r="F339" s="152"/>
      <c r="G339" s="152"/>
      <c r="H339" s="84" t="s">
        <v>5</v>
      </c>
      <c r="I339" s="75"/>
      <c r="J339" s="68"/>
      <c r="K339" s="68"/>
      <c r="L339" s="68"/>
      <c r="M339" s="68"/>
      <c r="N339" s="68"/>
      <c r="O339" s="68"/>
      <c r="P339" s="136"/>
    </row>
    <row r="340" spans="2:18" ht="42.75" customHeight="1" outlineLevel="1" x14ac:dyDescent="0.2">
      <c r="B340" s="150" t="s">
        <v>1699</v>
      </c>
      <c r="C340" s="150"/>
      <c r="D340" s="150" t="s">
        <v>575</v>
      </c>
      <c r="E340" s="150" t="s">
        <v>34</v>
      </c>
      <c r="F340" s="150"/>
      <c r="G340" s="150" t="s">
        <v>107</v>
      </c>
      <c r="H340" s="84" t="s">
        <v>3</v>
      </c>
      <c r="I340" s="83">
        <f>SUM(J340:O340)</f>
        <v>146</v>
      </c>
      <c r="J340" s="83">
        <v>0</v>
      </c>
      <c r="K340" s="83">
        <f t="shared" ref="K340:O340" si="147">K341+K342+K343</f>
        <v>54</v>
      </c>
      <c r="L340" s="83">
        <f t="shared" si="147"/>
        <v>57</v>
      </c>
      <c r="M340" s="83">
        <f t="shared" si="147"/>
        <v>35</v>
      </c>
      <c r="N340" s="83">
        <f t="shared" si="147"/>
        <v>0</v>
      </c>
      <c r="O340" s="83">
        <f t="shared" si="147"/>
        <v>0</v>
      </c>
      <c r="P340" s="134">
        <v>60000</v>
      </c>
    </row>
    <row r="341" spans="2:18" outlineLevel="1" x14ac:dyDescent="0.2">
      <c r="B341" s="151"/>
      <c r="C341" s="151"/>
      <c r="D341" s="151"/>
      <c r="E341" s="151"/>
      <c r="F341" s="151"/>
      <c r="G341" s="151"/>
      <c r="H341" s="84" t="s">
        <v>4</v>
      </c>
      <c r="I341" s="83">
        <f>SUM(J341:O341)</f>
        <v>0</v>
      </c>
      <c r="J341" s="81"/>
      <c r="K341" s="81"/>
      <c r="L341" s="81"/>
      <c r="M341" s="81"/>
      <c r="N341" s="81"/>
      <c r="O341" s="81"/>
      <c r="P341" s="135"/>
    </row>
    <row r="342" spans="2:18" outlineLevel="1" x14ac:dyDescent="0.2">
      <c r="B342" s="151"/>
      <c r="C342" s="151"/>
      <c r="D342" s="151"/>
      <c r="E342" s="151"/>
      <c r="F342" s="151"/>
      <c r="G342" s="151"/>
      <c r="H342" s="84" t="s">
        <v>6</v>
      </c>
      <c r="I342" s="83">
        <f>SUM(J342:O342)</f>
        <v>146</v>
      </c>
      <c r="J342" s="81"/>
      <c r="K342" s="81">
        <v>54</v>
      </c>
      <c r="L342" s="81">
        <v>57</v>
      </c>
      <c r="M342" s="81">
        <v>35</v>
      </c>
      <c r="N342" s="81"/>
      <c r="O342" s="81"/>
      <c r="P342" s="135"/>
    </row>
    <row r="343" spans="2:18" outlineLevel="1" x14ac:dyDescent="0.2">
      <c r="B343" s="152"/>
      <c r="C343" s="152"/>
      <c r="D343" s="152"/>
      <c r="E343" s="152"/>
      <c r="F343" s="152"/>
      <c r="G343" s="152"/>
      <c r="H343" s="84" t="s">
        <v>5</v>
      </c>
      <c r="I343" s="75"/>
      <c r="J343" s="68"/>
      <c r="K343" s="68"/>
      <c r="L343" s="68"/>
      <c r="M343" s="68"/>
      <c r="N343" s="68"/>
      <c r="O343" s="68"/>
      <c r="P343" s="136"/>
    </row>
    <row r="344" spans="2:18" ht="42.75" x14ac:dyDescent="0.2">
      <c r="B344" s="128" t="s">
        <v>76</v>
      </c>
      <c r="C344" s="128" t="s">
        <v>38</v>
      </c>
      <c r="D344" s="128" t="s">
        <v>38</v>
      </c>
      <c r="E344" s="128" t="s">
        <v>38</v>
      </c>
      <c r="F344" s="128" t="s">
        <v>38</v>
      </c>
      <c r="G344" s="128" t="s">
        <v>38</v>
      </c>
      <c r="H344" s="84" t="s">
        <v>3</v>
      </c>
      <c r="I344" s="14">
        <f t="shared" ref="I344:O344" si="148">SUMIF($H$316:$H$343,"Объем*",I$316:I$343)</f>
        <v>2082</v>
      </c>
      <c r="J344" s="14">
        <f t="shared" si="148"/>
        <v>0</v>
      </c>
      <c r="K344" s="14">
        <f t="shared" si="148"/>
        <v>112.6</v>
      </c>
      <c r="L344" s="14">
        <f t="shared" si="148"/>
        <v>876.4</v>
      </c>
      <c r="M344" s="14">
        <f t="shared" si="148"/>
        <v>594.5</v>
      </c>
      <c r="N344" s="14">
        <f t="shared" si="148"/>
        <v>498.5</v>
      </c>
      <c r="O344" s="14">
        <f t="shared" si="148"/>
        <v>0</v>
      </c>
      <c r="P344" s="128"/>
      <c r="Q344" s="15"/>
    </row>
    <row r="345" spans="2:18" ht="15.75" x14ac:dyDescent="0.2">
      <c r="B345" s="129"/>
      <c r="C345" s="129"/>
      <c r="D345" s="129"/>
      <c r="E345" s="129"/>
      <c r="F345" s="129"/>
      <c r="G345" s="129"/>
      <c r="H345" s="84" t="s">
        <v>4</v>
      </c>
      <c r="I345" s="14">
        <f t="shared" ref="I345:O345" si="149">SUMIF($H$316:$H$343,"фед*",I$316:I$343)</f>
        <v>1762.04</v>
      </c>
      <c r="J345" s="14">
        <f t="shared" si="149"/>
        <v>0</v>
      </c>
      <c r="K345" s="14">
        <f t="shared" si="149"/>
        <v>52.74</v>
      </c>
      <c r="L345" s="14">
        <f t="shared" si="149"/>
        <v>715.4</v>
      </c>
      <c r="M345" s="14">
        <f t="shared" si="149"/>
        <v>524.4</v>
      </c>
      <c r="N345" s="14">
        <f t="shared" si="149"/>
        <v>469.5</v>
      </c>
      <c r="O345" s="14">
        <f t="shared" si="149"/>
        <v>0</v>
      </c>
      <c r="P345" s="129"/>
      <c r="Q345" s="15"/>
    </row>
    <row r="346" spans="2:18" ht="15.75" x14ac:dyDescent="0.2">
      <c r="B346" s="129"/>
      <c r="C346" s="129"/>
      <c r="D346" s="129"/>
      <c r="E346" s="129"/>
      <c r="F346" s="129"/>
      <c r="G346" s="129"/>
      <c r="H346" s="84" t="s">
        <v>6</v>
      </c>
      <c r="I346" s="14">
        <f t="shared" ref="I346:O346" si="150">SUMIF($H$316:$H$343,"конс*",I$316:I$343)</f>
        <v>319.95999999999998</v>
      </c>
      <c r="J346" s="14">
        <f t="shared" si="150"/>
        <v>0</v>
      </c>
      <c r="K346" s="14">
        <f t="shared" si="150"/>
        <v>59.86</v>
      </c>
      <c r="L346" s="14">
        <f t="shared" si="150"/>
        <v>161</v>
      </c>
      <c r="M346" s="14">
        <f t="shared" si="150"/>
        <v>70.099999999999994</v>
      </c>
      <c r="N346" s="14">
        <f t="shared" si="150"/>
        <v>29</v>
      </c>
      <c r="O346" s="14">
        <f t="shared" si="150"/>
        <v>0</v>
      </c>
      <c r="P346" s="129"/>
      <c r="Q346" s="15"/>
    </row>
    <row r="347" spans="2:18" ht="15.75" x14ac:dyDescent="0.2">
      <c r="B347" s="130"/>
      <c r="C347" s="130"/>
      <c r="D347" s="130"/>
      <c r="E347" s="130"/>
      <c r="F347" s="130"/>
      <c r="G347" s="130"/>
      <c r="H347" s="84" t="s">
        <v>5</v>
      </c>
      <c r="I347" s="14">
        <f t="shared" ref="I347:O347" si="151">SUMIF($H$316:$H$343,"вне*",I$316:I$343)</f>
        <v>0</v>
      </c>
      <c r="J347" s="14">
        <f t="shared" si="151"/>
        <v>0</v>
      </c>
      <c r="K347" s="14">
        <f t="shared" si="151"/>
        <v>0</v>
      </c>
      <c r="L347" s="14">
        <f t="shared" si="151"/>
        <v>0</v>
      </c>
      <c r="M347" s="14">
        <f t="shared" si="151"/>
        <v>0</v>
      </c>
      <c r="N347" s="14">
        <f t="shared" si="151"/>
        <v>0</v>
      </c>
      <c r="O347" s="14">
        <f t="shared" si="151"/>
        <v>0</v>
      </c>
      <c r="P347" s="130"/>
    </row>
    <row r="348" spans="2:18" ht="42.75" x14ac:dyDescent="0.2">
      <c r="B348" s="128" t="s">
        <v>77</v>
      </c>
      <c r="C348" s="128" t="s">
        <v>38</v>
      </c>
      <c r="D348" s="128" t="s">
        <v>38</v>
      </c>
      <c r="E348" s="128" t="s">
        <v>38</v>
      </c>
      <c r="F348" s="128" t="s">
        <v>38</v>
      </c>
      <c r="G348" s="128" t="s">
        <v>38</v>
      </c>
      <c r="H348" s="84" t="s">
        <v>3</v>
      </c>
      <c r="I348" s="14">
        <f>I18+I63+I84+I97+I106+I119+I128+I137+I146+I199+I208+I217+I230+I243+I260+I273+I294+I311+I344</f>
        <v>6008.1900000000005</v>
      </c>
      <c r="J348" s="14">
        <f t="shared" ref="J348:O348" si="152">J18+J63+J84+J97+J106+J119+J128+J137+J146+J199+J208+J217+J230+J243+J260+J273+J294+J311+J344</f>
        <v>674.49</v>
      </c>
      <c r="K348" s="14">
        <f t="shared" si="152"/>
        <v>892.6</v>
      </c>
      <c r="L348" s="14">
        <f t="shared" si="152"/>
        <v>1502.3</v>
      </c>
      <c r="M348" s="14">
        <f t="shared" si="152"/>
        <v>1547.9</v>
      </c>
      <c r="N348" s="14">
        <f t="shared" si="152"/>
        <v>1052.9000000000001</v>
      </c>
      <c r="O348" s="14">
        <f t="shared" si="152"/>
        <v>338</v>
      </c>
      <c r="P348" s="128"/>
      <c r="Q348" s="7"/>
      <c r="R348" s="7"/>
    </row>
    <row r="349" spans="2:18" ht="15.75" x14ac:dyDescent="0.2">
      <c r="B349" s="129"/>
      <c r="C349" s="129"/>
      <c r="D349" s="129"/>
      <c r="E349" s="129"/>
      <c r="F349" s="129"/>
      <c r="G349" s="129"/>
      <c r="H349" s="84" t="s">
        <v>4</v>
      </c>
      <c r="I349" s="14">
        <f t="shared" ref="I349:O351" si="153">I19+I64+I85+I98+I107+I120+I129+I138+I147+I200+I209+I218+I231+I244+I261+I274+I295+I312+I345</f>
        <v>3224.42</v>
      </c>
      <c r="J349" s="14">
        <f t="shared" si="153"/>
        <v>25</v>
      </c>
      <c r="K349" s="14">
        <f t="shared" si="153"/>
        <v>423.62</v>
      </c>
      <c r="L349" s="14">
        <f t="shared" si="153"/>
        <v>794.9</v>
      </c>
      <c r="M349" s="14">
        <f t="shared" si="153"/>
        <v>834.4</v>
      </c>
      <c r="N349" s="14">
        <f t="shared" si="153"/>
        <v>836.5</v>
      </c>
      <c r="O349" s="14">
        <f t="shared" si="153"/>
        <v>310</v>
      </c>
      <c r="P349" s="129"/>
      <c r="Q349" s="7"/>
    </row>
    <row r="350" spans="2:18" ht="15.75" x14ac:dyDescent="0.2">
      <c r="B350" s="129"/>
      <c r="C350" s="129"/>
      <c r="D350" s="129"/>
      <c r="E350" s="129"/>
      <c r="F350" s="129"/>
      <c r="G350" s="129"/>
      <c r="H350" s="84" t="s">
        <v>6</v>
      </c>
      <c r="I350" s="14">
        <f t="shared" si="153"/>
        <v>2781.5699999999997</v>
      </c>
      <c r="J350" s="14">
        <f t="shared" si="153"/>
        <v>648.88999999999987</v>
      </c>
      <c r="K350" s="14">
        <f t="shared" si="153"/>
        <v>468.98</v>
      </c>
      <c r="L350" s="14">
        <f t="shared" si="153"/>
        <v>705.80000000000007</v>
      </c>
      <c r="M350" s="14">
        <f t="shared" si="153"/>
        <v>713.5</v>
      </c>
      <c r="N350" s="14">
        <f t="shared" si="153"/>
        <v>216.39999999999998</v>
      </c>
      <c r="O350" s="14">
        <f t="shared" si="153"/>
        <v>28</v>
      </c>
      <c r="P350" s="129"/>
      <c r="Q350" s="7"/>
    </row>
    <row r="351" spans="2:18" ht="15.75" x14ac:dyDescent="0.2">
      <c r="B351" s="130"/>
      <c r="C351" s="130"/>
      <c r="D351" s="130"/>
      <c r="E351" s="130"/>
      <c r="F351" s="130"/>
      <c r="G351" s="130"/>
      <c r="H351" s="84" t="s">
        <v>5</v>
      </c>
      <c r="I351" s="14">
        <f t="shared" si="153"/>
        <v>2.2000000000000002</v>
      </c>
      <c r="J351" s="14">
        <f t="shared" si="153"/>
        <v>0.6</v>
      </c>
      <c r="K351" s="14">
        <f t="shared" si="153"/>
        <v>0</v>
      </c>
      <c r="L351" s="14">
        <f t="shared" si="153"/>
        <v>1.6</v>
      </c>
      <c r="M351" s="14">
        <f t="shared" si="153"/>
        <v>0</v>
      </c>
      <c r="N351" s="14">
        <f t="shared" si="153"/>
        <v>0</v>
      </c>
      <c r="O351" s="14">
        <f t="shared" si="153"/>
        <v>0</v>
      </c>
      <c r="P351" s="130"/>
      <c r="Q351" s="7"/>
    </row>
    <row r="352" spans="2:18" x14ac:dyDescent="0.2">
      <c r="Q352" s="7"/>
    </row>
  </sheetData>
  <mergeCells count="602">
    <mergeCell ref="P344:P347"/>
    <mergeCell ref="B348:B351"/>
    <mergeCell ref="C348:C351"/>
    <mergeCell ref="D348:D351"/>
    <mergeCell ref="E348:E351"/>
    <mergeCell ref="F348:F351"/>
    <mergeCell ref="G348:G351"/>
    <mergeCell ref="P348:P351"/>
    <mergeCell ref="B344:B347"/>
    <mergeCell ref="C344:C347"/>
    <mergeCell ref="D344:D347"/>
    <mergeCell ref="E344:E347"/>
    <mergeCell ref="F344:F347"/>
    <mergeCell ref="G344:G347"/>
    <mergeCell ref="P336:P339"/>
    <mergeCell ref="B340:B343"/>
    <mergeCell ref="C340:C343"/>
    <mergeCell ref="D340:D343"/>
    <mergeCell ref="E340:E343"/>
    <mergeCell ref="F340:F343"/>
    <mergeCell ref="G340:G343"/>
    <mergeCell ref="P340:P343"/>
    <mergeCell ref="B336:B339"/>
    <mergeCell ref="C336:C339"/>
    <mergeCell ref="D336:D339"/>
    <mergeCell ref="E336:E339"/>
    <mergeCell ref="F336:F339"/>
    <mergeCell ref="G336:G339"/>
    <mergeCell ref="P328:P331"/>
    <mergeCell ref="B332:B335"/>
    <mergeCell ref="C332:C335"/>
    <mergeCell ref="D332:D335"/>
    <mergeCell ref="E332:E335"/>
    <mergeCell ref="F332:F335"/>
    <mergeCell ref="G332:G335"/>
    <mergeCell ref="P332:P335"/>
    <mergeCell ref="B328:B331"/>
    <mergeCell ref="C328:C331"/>
    <mergeCell ref="D328:D331"/>
    <mergeCell ref="E328:E331"/>
    <mergeCell ref="F328:F331"/>
    <mergeCell ref="G328:G331"/>
    <mergeCell ref="P320:P323"/>
    <mergeCell ref="B324:B327"/>
    <mergeCell ref="C324:C327"/>
    <mergeCell ref="D324:D327"/>
    <mergeCell ref="E324:E327"/>
    <mergeCell ref="F324:F327"/>
    <mergeCell ref="G324:G327"/>
    <mergeCell ref="P324:P327"/>
    <mergeCell ref="B320:B323"/>
    <mergeCell ref="C320:C323"/>
    <mergeCell ref="D320:D323"/>
    <mergeCell ref="E320:E323"/>
    <mergeCell ref="F320:F323"/>
    <mergeCell ref="G320:G323"/>
    <mergeCell ref="P311:P314"/>
    <mergeCell ref="B315:P315"/>
    <mergeCell ref="B316:B319"/>
    <mergeCell ref="C316:C319"/>
    <mergeCell ref="D316:D319"/>
    <mergeCell ref="E316:E319"/>
    <mergeCell ref="F316:F319"/>
    <mergeCell ref="G316:G319"/>
    <mergeCell ref="P316:P319"/>
    <mergeCell ref="B311:B314"/>
    <mergeCell ref="C311:C314"/>
    <mergeCell ref="D311:D314"/>
    <mergeCell ref="E311:E314"/>
    <mergeCell ref="F311:F314"/>
    <mergeCell ref="G311:G314"/>
    <mergeCell ref="P303:P306"/>
    <mergeCell ref="B307:B310"/>
    <mergeCell ref="C307:C310"/>
    <mergeCell ref="D307:D310"/>
    <mergeCell ref="E307:E310"/>
    <mergeCell ref="F307:F310"/>
    <mergeCell ref="G307:G310"/>
    <mergeCell ref="P307:P310"/>
    <mergeCell ref="B303:B306"/>
    <mergeCell ref="C303:C306"/>
    <mergeCell ref="D303:D306"/>
    <mergeCell ref="E303:E306"/>
    <mergeCell ref="F303:F306"/>
    <mergeCell ref="G303:G306"/>
    <mergeCell ref="B298:P298"/>
    <mergeCell ref="B299:B302"/>
    <mergeCell ref="C299:C302"/>
    <mergeCell ref="D299:D302"/>
    <mergeCell ref="E299:E302"/>
    <mergeCell ref="F299:F302"/>
    <mergeCell ref="G299:G302"/>
    <mergeCell ref="P299:P302"/>
    <mergeCell ref="P290:P293"/>
    <mergeCell ref="B294:B297"/>
    <mergeCell ref="C294:C297"/>
    <mergeCell ref="D294:D297"/>
    <mergeCell ref="E294:E297"/>
    <mergeCell ref="F294:F297"/>
    <mergeCell ref="G294:G297"/>
    <mergeCell ref="P294:P297"/>
    <mergeCell ref="B290:B293"/>
    <mergeCell ref="C290:C293"/>
    <mergeCell ref="D290:D293"/>
    <mergeCell ref="E290:E293"/>
    <mergeCell ref="F290:F293"/>
    <mergeCell ref="G290:G293"/>
    <mergeCell ref="P282:P285"/>
    <mergeCell ref="B286:B289"/>
    <mergeCell ref="C286:C289"/>
    <mergeCell ref="D286:D289"/>
    <mergeCell ref="E286:E289"/>
    <mergeCell ref="F286:F289"/>
    <mergeCell ref="G286:G289"/>
    <mergeCell ref="P286:P289"/>
    <mergeCell ref="B282:B285"/>
    <mergeCell ref="C282:C285"/>
    <mergeCell ref="D282:D285"/>
    <mergeCell ref="E282:E285"/>
    <mergeCell ref="F282:F285"/>
    <mergeCell ref="G282:G285"/>
    <mergeCell ref="B277:P277"/>
    <mergeCell ref="B278:B281"/>
    <mergeCell ref="C278:C281"/>
    <mergeCell ref="D278:D281"/>
    <mergeCell ref="E278:E281"/>
    <mergeCell ref="F278:F281"/>
    <mergeCell ref="G278:G281"/>
    <mergeCell ref="P278:P281"/>
    <mergeCell ref="P269:P272"/>
    <mergeCell ref="B273:B276"/>
    <mergeCell ref="C273:C276"/>
    <mergeCell ref="D273:D276"/>
    <mergeCell ref="E273:E276"/>
    <mergeCell ref="F273:F276"/>
    <mergeCell ref="G273:G276"/>
    <mergeCell ref="P273:P276"/>
    <mergeCell ref="B269:B272"/>
    <mergeCell ref="C269:C272"/>
    <mergeCell ref="D269:D272"/>
    <mergeCell ref="E269:E272"/>
    <mergeCell ref="F269:F272"/>
    <mergeCell ref="G269:G272"/>
    <mergeCell ref="P260:P263"/>
    <mergeCell ref="B264:P264"/>
    <mergeCell ref="B265:B268"/>
    <mergeCell ref="C265:C268"/>
    <mergeCell ref="D265:D268"/>
    <mergeCell ref="E265:E268"/>
    <mergeCell ref="F265:F268"/>
    <mergeCell ref="G265:G268"/>
    <mergeCell ref="P265:P268"/>
    <mergeCell ref="B260:B263"/>
    <mergeCell ref="C260:C263"/>
    <mergeCell ref="D260:D263"/>
    <mergeCell ref="E260:E263"/>
    <mergeCell ref="F260:F263"/>
    <mergeCell ref="G260:G263"/>
    <mergeCell ref="P252:P255"/>
    <mergeCell ref="B256:B259"/>
    <mergeCell ref="C256:C259"/>
    <mergeCell ref="D256:D259"/>
    <mergeCell ref="E256:E259"/>
    <mergeCell ref="F256:F259"/>
    <mergeCell ref="G256:G259"/>
    <mergeCell ref="P256:P259"/>
    <mergeCell ref="B252:B255"/>
    <mergeCell ref="C252:C255"/>
    <mergeCell ref="D252:D255"/>
    <mergeCell ref="E252:E255"/>
    <mergeCell ref="F252:F255"/>
    <mergeCell ref="G252:G255"/>
    <mergeCell ref="B247:P247"/>
    <mergeCell ref="B248:B251"/>
    <mergeCell ref="C248:C251"/>
    <mergeCell ref="D248:D251"/>
    <mergeCell ref="E248:E251"/>
    <mergeCell ref="F248:F251"/>
    <mergeCell ref="G248:G251"/>
    <mergeCell ref="P248:P251"/>
    <mergeCell ref="P239:P242"/>
    <mergeCell ref="B243:B246"/>
    <mergeCell ref="C243:C246"/>
    <mergeCell ref="D243:D246"/>
    <mergeCell ref="E243:E246"/>
    <mergeCell ref="F243:F246"/>
    <mergeCell ref="G243:G246"/>
    <mergeCell ref="P243:P246"/>
    <mergeCell ref="B239:B242"/>
    <mergeCell ref="C239:C242"/>
    <mergeCell ref="D239:D242"/>
    <mergeCell ref="E239:E242"/>
    <mergeCell ref="F239:F242"/>
    <mergeCell ref="G239:G242"/>
    <mergeCell ref="B234:P234"/>
    <mergeCell ref="B235:B238"/>
    <mergeCell ref="C235:C238"/>
    <mergeCell ref="D235:D238"/>
    <mergeCell ref="E235:E238"/>
    <mergeCell ref="F235:F238"/>
    <mergeCell ref="G235:G238"/>
    <mergeCell ref="P235:P238"/>
    <mergeCell ref="P226:P229"/>
    <mergeCell ref="B230:B233"/>
    <mergeCell ref="C230:C233"/>
    <mergeCell ref="D230:D233"/>
    <mergeCell ref="E230:E233"/>
    <mergeCell ref="F230:F233"/>
    <mergeCell ref="G230:G233"/>
    <mergeCell ref="P230:P233"/>
    <mergeCell ref="B226:B229"/>
    <mergeCell ref="C226:C229"/>
    <mergeCell ref="D226:D229"/>
    <mergeCell ref="E226:E229"/>
    <mergeCell ref="F226:F229"/>
    <mergeCell ref="G226:G229"/>
    <mergeCell ref="P217:P220"/>
    <mergeCell ref="B221:P221"/>
    <mergeCell ref="B222:B225"/>
    <mergeCell ref="C222:C225"/>
    <mergeCell ref="D222:D225"/>
    <mergeCell ref="E222:E225"/>
    <mergeCell ref="F222:F225"/>
    <mergeCell ref="G222:G225"/>
    <mergeCell ref="P222:P225"/>
    <mergeCell ref="B217:B220"/>
    <mergeCell ref="C217:C220"/>
    <mergeCell ref="D217:D220"/>
    <mergeCell ref="E217:E220"/>
    <mergeCell ref="F217:F220"/>
    <mergeCell ref="G217:G220"/>
    <mergeCell ref="P208:P211"/>
    <mergeCell ref="B212:P212"/>
    <mergeCell ref="B213:B216"/>
    <mergeCell ref="C213:C216"/>
    <mergeCell ref="D213:D216"/>
    <mergeCell ref="E213:E216"/>
    <mergeCell ref="F213:F216"/>
    <mergeCell ref="G213:G216"/>
    <mergeCell ref="P213:P216"/>
    <mergeCell ref="B208:B211"/>
    <mergeCell ref="C208:C211"/>
    <mergeCell ref="D208:D211"/>
    <mergeCell ref="E208:E211"/>
    <mergeCell ref="F208:F211"/>
    <mergeCell ref="G208:G211"/>
    <mergeCell ref="B203:P203"/>
    <mergeCell ref="B204:B207"/>
    <mergeCell ref="C204:C207"/>
    <mergeCell ref="D204:D207"/>
    <mergeCell ref="E204:E207"/>
    <mergeCell ref="F204:F207"/>
    <mergeCell ref="G204:G207"/>
    <mergeCell ref="P204:P207"/>
    <mergeCell ref="P195:P198"/>
    <mergeCell ref="B199:B202"/>
    <mergeCell ref="C199:C202"/>
    <mergeCell ref="D199:D202"/>
    <mergeCell ref="E199:E202"/>
    <mergeCell ref="F199:F202"/>
    <mergeCell ref="G199:G202"/>
    <mergeCell ref="P199:P202"/>
    <mergeCell ref="B195:B198"/>
    <mergeCell ref="C195:C198"/>
    <mergeCell ref="D195:D198"/>
    <mergeCell ref="E195:E198"/>
    <mergeCell ref="F195:F198"/>
    <mergeCell ref="G195:G198"/>
    <mergeCell ref="P187:P190"/>
    <mergeCell ref="B191:B194"/>
    <mergeCell ref="C191:C194"/>
    <mergeCell ref="D191:D194"/>
    <mergeCell ref="E191:E194"/>
    <mergeCell ref="F191:F194"/>
    <mergeCell ref="G191:G194"/>
    <mergeCell ref="P191:P194"/>
    <mergeCell ref="B187:B190"/>
    <mergeCell ref="C187:C190"/>
    <mergeCell ref="D187:D190"/>
    <mergeCell ref="E187:E190"/>
    <mergeCell ref="F187:F190"/>
    <mergeCell ref="G187:G190"/>
    <mergeCell ref="P179:P182"/>
    <mergeCell ref="B183:B186"/>
    <mergeCell ref="C183:C186"/>
    <mergeCell ref="D183:D186"/>
    <mergeCell ref="E183:E186"/>
    <mergeCell ref="F183:F186"/>
    <mergeCell ref="G183:G186"/>
    <mergeCell ref="P183:P186"/>
    <mergeCell ref="B179:B182"/>
    <mergeCell ref="C179:C182"/>
    <mergeCell ref="D179:D182"/>
    <mergeCell ref="E179:E182"/>
    <mergeCell ref="F179:F182"/>
    <mergeCell ref="G179:G182"/>
    <mergeCell ref="P171:P174"/>
    <mergeCell ref="B175:B178"/>
    <mergeCell ref="C175:C178"/>
    <mergeCell ref="D175:D178"/>
    <mergeCell ref="E175:E178"/>
    <mergeCell ref="F175:F178"/>
    <mergeCell ref="G175:G178"/>
    <mergeCell ref="P175:P178"/>
    <mergeCell ref="B171:B174"/>
    <mergeCell ref="C171:C174"/>
    <mergeCell ref="D171:D174"/>
    <mergeCell ref="E171:E174"/>
    <mergeCell ref="F171:F174"/>
    <mergeCell ref="G171:G174"/>
    <mergeCell ref="P163:P166"/>
    <mergeCell ref="B167:B170"/>
    <mergeCell ref="C167:C170"/>
    <mergeCell ref="D167:D170"/>
    <mergeCell ref="E167:E170"/>
    <mergeCell ref="F167:F170"/>
    <mergeCell ref="G167:G170"/>
    <mergeCell ref="P167:P170"/>
    <mergeCell ref="B163:B166"/>
    <mergeCell ref="C163:C166"/>
    <mergeCell ref="D163:D166"/>
    <mergeCell ref="E163:E166"/>
    <mergeCell ref="F163:F166"/>
    <mergeCell ref="G163:G166"/>
    <mergeCell ref="P155:P158"/>
    <mergeCell ref="B159:B162"/>
    <mergeCell ref="C159:C162"/>
    <mergeCell ref="D159:D162"/>
    <mergeCell ref="E159:E162"/>
    <mergeCell ref="F159:F162"/>
    <mergeCell ref="G159:G162"/>
    <mergeCell ref="P159:P162"/>
    <mergeCell ref="B155:B158"/>
    <mergeCell ref="C155:C158"/>
    <mergeCell ref="D155:D158"/>
    <mergeCell ref="E155:E158"/>
    <mergeCell ref="F155:F158"/>
    <mergeCell ref="G155:G158"/>
    <mergeCell ref="P146:P149"/>
    <mergeCell ref="B150:P150"/>
    <mergeCell ref="B151:B154"/>
    <mergeCell ref="C151:C154"/>
    <mergeCell ref="D151:D154"/>
    <mergeCell ref="E151:E154"/>
    <mergeCell ref="F151:F154"/>
    <mergeCell ref="G151:G154"/>
    <mergeCell ref="P151:P154"/>
    <mergeCell ref="B146:B149"/>
    <mergeCell ref="C146:C149"/>
    <mergeCell ref="D146:D149"/>
    <mergeCell ref="E146:E149"/>
    <mergeCell ref="F146:F149"/>
    <mergeCell ref="G146:G149"/>
    <mergeCell ref="P137:P140"/>
    <mergeCell ref="B141:P141"/>
    <mergeCell ref="B142:B145"/>
    <mergeCell ref="C142:C145"/>
    <mergeCell ref="D142:D145"/>
    <mergeCell ref="E142:E145"/>
    <mergeCell ref="F142:F145"/>
    <mergeCell ref="G142:G145"/>
    <mergeCell ref="P142:P145"/>
    <mergeCell ref="B137:B140"/>
    <mergeCell ref="C137:C140"/>
    <mergeCell ref="D137:D140"/>
    <mergeCell ref="E137:E140"/>
    <mergeCell ref="F137:F140"/>
    <mergeCell ref="G137:G140"/>
    <mergeCell ref="P128:P131"/>
    <mergeCell ref="B132:P132"/>
    <mergeCell ref="B133:B136"/>
    <mergeCell ref="C133:C136"/>
    <mergeCell ref="D133:D136"/>
    <mergeCell ref="E133:E136"/>
    <mergeCell ref="F133:F136"/>
    <mergeCell ref="G133:G136"/>
    <mergeCell ref="P133:P136"/>
    <mergeCell ref="B128:B131"/>
    <mergeCell ref="C128:C131"/>
    <mergeCell ref="D128:D131"/>
    <mergeCell ref="E128:E131"/>
    <mergeCell ref="F128:F131"/>
    <mergeCell ref="G128:G131"/>
    <mergeCell ref="B123:P123"/>
    <mergeCell ref="B124:B127"/>
    <mergeCell ref="C124:C127"/>
    <mergeCell ref="D124:D127"/>
    <mergeCell ref="E124:E127"/>
    <mergeCell ref="F124:F127"/>
    <mergeCell ref="G124:G127"/>
    <mergeCell ref="P124:P127"/>
    <mergeCell ref="P115:P118"/>
    <mergeCell ref="B119:B122"/>
    <mergeCell ref="C119:C122"/>
    <mergeCell ref="D119:D122"/>
    <mergeCell ref="E119:E122"/>
    <mergeCell ref="F119:F122"/>
    <mergeCell ref="G119:G122"/>
    <mergeCell ref="P119:P122"/>
    <mergeCell ref="B115:B118"/>
    <mergeCell ref="C115:C118"/>
    <mergeCell ref="D115:D118"/>
    <mergeCell ref="E115:E118"/>
    <mergeCell ref="F115:F118"/>
    <mergeCell ref="G115:G118"/>
    <mergeCell ref="P106:P109"/>
    <mergeCell ref="B110:P110"/>
    <mergeCell ref="B111:B114"/>
    <mergeCell ref="C111:C114"/>
    <mergeCell ref="D111:D114"/>
    <mergeCell ref="E111:E114"/>
    <mergeCell ref="F111:F114"/>
    <mergeCell ref="G111:G114"/>
    <mergeCell ref="P111:P114"/>
    <mergeCell ref="B106:B109"/>
    <mergeCell ref="C106:C109"/>
    <mergeCell ref="D106:D109"/>
    <mergeCell ref="E106:E109"/>
    <mergeCell ref="F106:F109"/>
    <mergeCell ref="G106:G109"/>
    <mergeCell ref="B101:P101"/>
    <mergeCell ref="B102:B105"/>
    <mergeCell ref="C102:C105"/>
    <mergeCell ref="D102:D105"/>
    <mergeCell ref="E102:E105"/>
    <mergeCell ref="F102:F105"/>
    <mergeCell ref="G102:G105"/>
    <mergeCell ref="P102:P105"/>
    <mergeCell ref="P93:P96"/>
    <mergeCell ref="B97:B100"/>
    <mergeCell ref="C97:C100"/>
    <mergeCell ref="D97:D100"/>
    <mergeCell ref="E97:E100"/>
    <mergeCell ref="F97:F100"/>
    <mergeCell ref="G97:G100"/>
    <mergeCell ref="P97:P100"/>
    <mergeCell ref="B93:B96"/>
    <mergeCell ref="C93:C96"/>
    <mergeCell ref="D93:D96"/>
    <mergeCell ref="E93:E96"/>
    <mergeCell ref="F93:F96"/>
    <mergeCell ref="G93:G96"/>
    <mergeCell ref="B88:P88"/>
    <mergeCell ref="B89:B92"/>
    <mergeCell ref="C89:C92"/>
    <mergeCell ref="D89:D92"/>
    <mergeCell ref="E89:E92"/>
    <mergeCell ref="F89:F92"/>
    <mergeCell ref="G89:G92"/>
    <mergeCell ref="P89:P92"/>
    <mergeCell ref="P80:P83"/>
    <mergeCell ref="B84:B87"/>
    <mergeCell ref="C84:C87"/>
    <mergeCell ref="D84:D87"/>
    <mergeCell ref="E84:E87"/>
    <mergeCell ref="F84:F87"/>
    <mergeCell ref="G84:G87"/>
    <mergeCell ref="P84:P87"/>
    <mergeCell ref="B80:B83"/>
    <mergeCell ref="C80:C83"/>
    <mergeCell ref="D80:D83"/>
    <mergeCell ref="E80:E83"/>
    <mergeCell ref="F80:F83"/>
    <mergeCell ref="G80:G83"/>
    <mergeCell ref="P72:P75"/>
    <mergeCell ref="B76:B79"/>
    <mergeCell ref="C76:C79"/>
    <mergeCell ref="D76:D79"/>
    <mergeCell ref="E76:E79"/>
    <mergeCell ref="F76:F79"/>
    <mergeCell ref="G76:G79"/>
    <mergeCell ref="P76:P79"/>
    <mergeCell ref="B72:B75"/>
    <mergeCell ref="C72:C75"/>
    <mergeCell ref="D72:D75"/>
    <mergeCell ref="E72:E75"/>
    <mergeCell ref="F72:F75"/>
    <mergeCell ref="G72:G75"/>
    <mergeCell ref="B67:P67"/>
    <mergeCell ref="B68:B71"/>
    <mergeCell ref="C68:C71"/>
    <mergeCell ref="D68:D71"/>
    <mergeCell ref="E68:E71"/>
    <mergeCell ref="F68:F71"/>
    <mergeCell ref="G68:G71"/>
    <mergeCell ref="P68:P71"/>
    <mergeCell ref="P59:P62"/>
    <mergeCell ref="B63:B66"/>
    <mergeCell ref="C63:C66"/>
    <mergeCell ref="D63:D66"/>
    <mergeCell ref="E63:E66"/>
    <mergeCell ref="F63:F66"/>
    <mergeCell ref="G63:G66"/>
    <mergeCell ref="P63:P66"/>
    <mergeCell ref="B59:B62"/>
    <mergeCell ref="C59:C62"/>
    <mergeCell ref="D59:D62"/>
    <mergeCell ref="E59:E62"/>
    <mergeCell ref="F59:F62"/>
    <mergeCell ref="G59:G62"/>
    <mergeCell ref="P51:P54"/>
    <mergeCell ref="B55:B58"/>
    <mergeCell ref="C55:C58"/>
    <mergeCell ref="D55:D58"/>
    <mergeCell ref="E55:E58"/>
    <mergeCell ref="F55:F58"/>
    <mergeCell ref="G55:G58"/>
    <mergeCell ref="P55:P58"/>
    <mergeCell ref="B51:B54"/>
    <mergeCell ref="C51:C54"/>
    <mergeCell ref="D51:D54"/>
    <mergeCell ref="E51:E54"/>
    <mergeCell ref="F51:F54"/>
    <mergeCell ref="G51:G54"/>
    <mergeCell ref="P43:P46"/>
    <mergeCell ref="B47:B50"/>
    <mergeCell ref="C47:C50"/>
    <mergeCell ref="D47:D50"/>
    <mergeCell ref="E47:E50"/>
    <mergeCell ref="F47:F50"/>
    <mergeCell ref="G47:G50"/>
    <mergeCell ref="P47:P50"/>
    <mergeCell ref="B43:B46"/>
    <mergeCell ref="C43:C46"/>
    <mergeCell ref="D43:D46"/>
    <mergeCell ref="E43:E46"/>
    <mergeCell ref="F43:F46"/>
    <mergeCell ref="G43:G46"/>
    <mergeCell ref="P35:P38"/>
    <mergeCell ref="B39:B42"/>
    <mergeCell ref="C39:C42"/>
    <mergeCell ref="D39:D42"/>
    <mergeCell ref="E39:E42"/>
    <mergeCell ref="F39:F42"/>
    <mergeCell ref="G39:G42"/>
    <mergeCell ref="P39:P42"/>
    <mergeCell ref="B35:B38"/>
    <mergeCell ref="C35:C38"/>
    <mergeCell ref="D35:D38"/>
    <mergeCell ref="E35:E38"/>
    <mergeCell ref="F35:F38"/>
    <mergeCell ref="G35:G38"/>
    <mergeCell ref="P27:P30"/>
    <mergeCell ref="B31:B34"/>
    <mergeCell ref="C31:C34"/>
    <mergeCell ref="D31:D34"/>
    <mergeCell ref="E31:E34"/>
    <mergeCell ref="F31:F34"/>
    <mergeCell ref="G31:G34"/>
    <mergeCell ref="P31:P34"/>
    <mergeCell ref="B27:B30"/>
    <mergeCell ref="C27:C30"/>
    <mergeCell ref="D27:D30"/>
    <mergeCell ref="E27:E30"/>
    <mergeCell ref="F27:F30"/>
    <mergeCell ref="G27:G30"/>
    <mergeCell ref="P18:P21"/>
    <mergeCell ref="B22:P22"/>
    <mergeCell ref="B23:B26"/>
    <mergeCell ref="C23:C26"/>
    <mergeCell ref="D23:D26"/>
    <mergeCell ref="E23:E26"/>
    <mergeCell ref="F23:F26"/>
    <mergeCell ref="G23:G26"/>
    <mergeCell ref="P23:P26"/>
    <mergeCell ref="B18:B21"/>
    <mergeCell ref="C18:C21"/>
    <mergeCell ref="D18:D21"/>
    <mergeCell ref="E18:E21"/>
    <mergeCell ref="F18:F21"/>
    <mergeCell ref="G18:G21"/>
    <mergeCell ref="P10:P13"/>
    <mergeCell ref="B14:B17"/>
    <mergeCell ref="C14:C17"/>
    <mergeCell ref="D14:D17"/>
    <mergeCell ref="E14:E17"/>
    <mergeCell ref="F14:F17"/>
    <mergeCell ref="G14:G17"/>
    <mergeCell ref="P14:P17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352:XFD1048576 A277:XFD277 A294:XFD297 I63:O66 I106:O109 I119:O122 I128:O131 I137:O140 I146:O149 I208:O211 I230:O233 I243:O246 I260:O263 I311:O314 I199:O202 I84:O87 I18:O21 I97:O100 I217:O220 A3:C4 E3:G4 I4:XFD4 P3:XFD3 E278:XFD293 I344:O351 A1:XFD2">
    <cfRule type="cellIs" dxfId="28" priority="11" operator="equal">
      <formula>0</formula>
    </cfRule>
  </conditionalFormatting>
  <conditionalFormatting sqref="A278:C293">
    <cfRule type="cellIs" dxfId="27" priority="10" operator="equal">
      <formula>0</formula>
    </cfRule>
  </conditionalFormatting>
  <conditionalFormatting sqref="I294:O294">
    <cfRule type="cellIs" priority="9" operator="equal">
      <formula>0</formula>
    </cfRule>
  </conditionalFormatting>
  <conditionalFormatting sqref="D278:D293">
    <cfRule type="cellIs" dxfId="26" priority="8" operator="equal">
      <formula>0</formula>
    </cfRule>
  </conditionalFormatting>
  <conditionalFormatting sqref="B111:B118">
    <cfRule type="duplicateValues" dxfId="25" priority="7"/>
  </conditionalFormatting>
  <conditionalFormatting sqref="B212:B220">
    <cfRule type="duplicateValues" dxfId="24" priority="6"/>
  </conditionalFormatting>
  <conditionalFormatting sqref="D3:D4">
    <cfRule type="cellIs" dxfId="23" priority="5" operator="equal">
      <formula>0</formula>
    </cfRule>
  </conditionalFormatting>
  <conditionalFormatting sqref="H4">
    <cfRule type="cellIs" dxfId="22" priority="4" operator="equal">
      <formula>0</formula>
    </cfRule>
  </conditionalFormatting>
  <conditionalFormatting sqref="H3:O3">
    <cfRule type="cellIs" dxfId="21" priority="3" operator="equal">
      <formula>0</formula>
    </cfRule>
  </conditionalFormatting>
  <conditionalFormatting sqref="I299:I310">
    <cfRule type="cellIs" dxfId="20" priority="2" operator="equal">
      <formula>0</formula>
    </cfRule>
  </conditionalFormatting>
  <conditionalFormatting sqref="I273:O276">
    <cfRule type="cellIs" dxfId="19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42EB-9AE6-499A-8CEC-16440D1CA9FF}">
  <sheetPr>
    <pageSetUpPr fitToPage="1"/>
  </sheetPr>
  <dimension ref="B1:R286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285156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8" width="10.85546875" style="2" bestFit="1" customWidth="1"/>
    <col min="19" max="16384" width="9.140625" style="2"/>
  </cols>
  <sheetData>
    <row r="1" spans="2:17" ht="21.75" customHeight="1" x14ac:dyDescent="0.25">
      <c r="B1" s="120" t="s">
        <v>1700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7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7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7" ht="25.5" customHeight="1" x14ac:dyDescent="0.2">
      <c r="B5" s="111" t="s">
        <v>90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7" ht="42.75" outlineLevel="1" x14ac:dyDescent="0.2">
      <c r="B6" s="117" t="s">
        <v>1701</v>
      </c>
      <c r="C6" s="117" t="s">
        <v>1702</v>
      </c>
      <c r="D6" s="117" t="s">
        <v>1703</v>
      </c>
      <c r="E6" s="117">
        <v>2020</v>
      </c>
      <c r="F6" s="117"/>
      <c r="G6" s="117" t="s">
        <v>83</v>
      </c>
      <c r="H6" s="84" t="s">
        <v>3</v>
      </c>
      <c r="I6" s="83">
        <f>SUM(J6:O6)</f>
        <v>24.900000000000002</v>
      </c>
      <c r="J6" s="83">
        <f t="shared" ref="J6:L6" si="0">J7+J8+J9</f>
        <v>24.900000000000002</v>
      </c>
      <c r="K6" s="83">
        <f t="shared" si="0"/>
        <v>0</v>
      </c>
      <c r="L6" s="83">
        <f t="shared" si="0"/>
        <v>0</v>
      </c>
      <c r="M6" s="83">
        <v>0</v>
      </c>
      <c r="N6" s="83">
        <f t="shared" ref="N6:O6" si="1">N7+N8+N9</f>
        <v>0</v>
      </c>
      <c r="O6" s="83">
        <f t="shared" si="1"/>
        <v>0</v>
      </c>
      <c r="P6" s="117"/>
    </row>
    <row r="7" spans="2:17" outlineLevel="1" x14ac:dyDescent="0.2">
      <c r="B7" s="118"/>
      <c r="C7" s="132"/>
      <c r="D7" s="118"/>
      <c r="E7" s="118"/>
      <c r="F7" s="118"/>
      <c r="G7" s="118"/>
      <c r="H7" s="84" t="s">
        <v>4</v>
      </c>
      <c r="I7" s="83">
        <f>SUM(J7:O7)</f>
        <v>24.6</v>
      </c>
      <c r="J7" s="83">
        <v>24.6</v>
      </c>
      <c r="L7" s="83"/>
      <c r="M7" s="83"/>
      <c r="N7" s="83"/>
      <c r="O7" s="83"/>
      <c r="P7" s="118"/>
    </row>
    <row r="8" spans="2:17" outlineLevel="1" x14ac:dyDescent="0.2">
      <c r="B8" s="118"/>
      <c r="C8" s="132"/>
      <c r="D8" s="118"/>
      <c r="E8" s="118"/>
      <c r="F8" s="118"/>
      <c r="G8" s="118"/>
      <c r="H8" s="84" t="s">
        <v>6</v>
      </c>
      <c r="I8" s="83">
        <f>SUM(J8:O8)</f>
        <v>0.3</v>
      </c>
      <c r="J8" s="83">
        <v>0.3</v>
      </c>
      <c r="K8" s="83"/>
      <c r="L8" s="83">
        <v>0</v>
      </c>
      <c r="M8" s="83">
        <v>0</v>
      </c>
      <c r="N8" s="83">
        <v>0</v>
      </c>
      <c r="O8" s="83">
        <v>0</v>
      </c>
      <c r="P8" s="118"/>
    </row>
    <row r="9" spans="2:17" outlineLevel="1" x14ac:dyDescent="0.2">
      <c r="B9" s="119"/>
      <c r="C9" s="133"/>
      <c r="D9" s="119"/>
      <c r="E9" s="119"/>
      <c r="F9" s="119"/>
      <c r="G9" s="119"/>
      <c r="H9" s="84" t="s">
        <v>5</v>
      </c>
      <c r="I9" s="83"/>
      <c r="J9" s="83"/>
      <c r="K9" s="83"/>
      <c r="L9" s="83"/>
      <c r="M9" s="83"/>
      <c r="N9" s="83"/>
      <c r="O9" s="83"/>
      <c r="P9" s="119"/>
    </row>
    <row r="10" spans="2:17" ht="42.75" outlineLevel="1" x14ac:dyDescent="0.2">
      <c r="B10" s="117" t="s">
        <v>1704</v>
      </c>
      <c r="C10" s="117" t="s">
        <v>1705</v>
      </c>
      <c r="D10" s="117" t="s">
        <v>1706</v>
      </c>
      <c r="E10" s="117">
        <v>2024</v>
      </c>
      <c r="F10" s="117" t="s">
        <v>1707</v>
      </c>
      <c r="G10" s="117" t="s">
        <v>138</v>
      </c>
      <c r="H10" s="84" t="s">
        <v>3</v>
      </c>
      <c r="I10" s="83">
        <f>SUM(J10:O10)</f>
        <v>43.6</v>
      </c>
      <c r="J10" s="83">
        <f t="shared" ref="J10:O10" si="2">J11+J12+J13</f>
        <v>0</v>
      </c>
      <c r="K10" s="83">
        <f t="shared" si="2"/>
        <v>0</v>
      </c>
      <c r="L10" s="83">
        <f t="shared" si="2"/>
        <v>0</v>
      </c>
      <c r="M10" s="83">
        <f t="shared" si="2"/>
        <v>0</v>
      </c>
      <c r="N10" s="83">
        <f t="shared" si="2"/>
        <v>43.6</v>
      </c>
      <c r="O10" s="83">
        <f t="shared" si="2"/>
        <v>0</v>
      </c>
      <c r="P10" s="117"/>
    </row>
    <row r="11" spans="2:17" outlineLevel="1" x14ac:dyDescent="0.2">
      <c r="B11" s="118"/>
      <c r="C11" s="132"/>
      <c r="D11" s="118"/>
      <c r="E11" s="118"/>
      <c r="F11" s="118"/>
      <c r="G11" s="118"/>
      <c r="H11" s="84" t="s">
        <v>4</v>
      </c>
      <c r="I11" s="83">
        <f>SUM(J11:O11)</f>
        <v>43.2</v>
      </c>
      <c r="J11" s="83"/>
      <c r="K11" s="83"/>
      <c r="L11" s="83"/>
      <c r="M11" s="83"/>
      <c r="N11" s="83">
        <v>43.2</v>
      </c>
      <c r="O11" s="83"/>
      <c r="P11" s="118"/>
    </row>
    <row r="12" spans="2:17" outlineLevel="1" x14ac:dyDescent="0.2">
      <c r="B12" s="118"/>
      <c r="C12" s="132"/>
      <c r="D12" s="118"/>
      <c r="E12" s="118"/>
      <c r="F12" s="118"/>
      <c r="G12" s="118"/>
      <c r="H12" s="84" t="s">
        <v>6</v>
      </c>
      <c r="I12" s="83">
        <f>SUM(J12:O12)</f>
        <v>0.4</v>
      </c>
      <c r="J12" s="83"/>
      <c r="K12" s="83"/>
      <c r="L12" s="83"/>
      <c r="M12" s="83"/>
      <c r="N12" s="83">
        <v>0.4</v>
      </c>
      <c r="O12" s="83"/>
      <c r="P12" s="118"/>
    </row>
    <row r="13" spans="2:17" outlineLevel="1" x14ac:dyDescent="0.2">
      <c r="B13" s="119"/>
      <c r="C13" s="133"/>
      <c r="D13" s="119"/>
      <c r="E13" s="119"/>
      <c r="F13" s="119"/>
      <c r="G13" s="119"/>
      <c r="H13" s="84" t="s">
        <v>5</v>
      </c>
      <c r="I13" s="83"/>
      <c r="J13" s="83"/>
      <c r="K13" s="83"/>
      <c r="L13" s="83"/>
      <c r="M13" s="83"/>
      <c r="N13" s="83"/>
      <c r="O13" s="83"/>
      <c r="P13" s="119"/>
    </row>
    <row r="14" spans="2:17" ht="42.75" x14ac:dyDescent="0.2">
      <c r="B14" s="128" t="s">
        <v>110</v>
      </c>
      <c r="C14" s="128" t="s">
        <v>38</v>
      </c>
      <c r="D14" s="128" t="s">
        <v>38</v>
      </c>
      <c r="E14" s="128" t="s">
        <v>38</v>
      </c>
      <c r="F14" s="128" t="s">
        <v>38</v>
      </c>
      <c r="G14" s="128" t="s">
        <v>38</v>
      </c>
      <c r="H14" s="84" t="s">
        <v>3</v>
      </c>
      <c r="I14" s="14">
        <f>SUMIF($H$6:$H$13,"Объем*",I$6:I$13)</f>
        <v>68.5</v>
      </c>
      <c r="J14" s="14">
        <f t="shared" ref="J14:O14" si="3">SUMIF($H$6:$H$13,"Объем*",J$6:J$13)</f>
        <v>24.900000000000002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43.6</v>
      </c>
      <c r="O14" s="14">
        <f t="shared" si="3"/>
        <v>0</v>
      </c>
      <c r="P14" s="128"/>
      <c r="Q14" s="7"/>
    </row>
    <row r="15" spans="2:17" ht="15.75" x14ac:dyDescent="0.2">
      <c r="B15" s="129"/>
      <c r="C15" s="129"/>
      <c r="D15" s="129"/>
      <c r="E15" s="129"/>
      <c r="F15" s="129"/>
      <c r="G15" s="129"/>
      <c r="H15" s="84" t="s">
        <v>4</v>
      </c>
      <c r="I15" s="14">
        <f>SUMIF($H$6:$H$13,"фед*",I$6:I$13)</f>
        <v>67.800000000000011</v>
      </c>
      <c r="J15" s="14">
        <f t="shared" ref="J15:O15" si="4">SUMIF($H$6:$H$13,"фед*",J$6:J$13)</f>
        <v>24.6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43.2</v>
      </c>
      <c r="O15" s="14">
        <f t="shared" si="4"/>
        <v>0</v>
      </c>
      <c r="P15" s="129"/>
      <c r="Q15" s="7"/>
    </row>
    <row r="16" spans="2:17" ht="15.75" x14ac:dyDescent="0.2">
      <c r="B16" s="129"/>
      <c r="C16" s="129"/>
      <c r="D16" s="129"/>
      <c r="E16" s="129"/>
      <c r="F16" s="129"/>
      <c r="G16" s="129"/>
      <c r="H16" s="84" t="s">
        <v>6</v>
      </c>
      <c r="I16" s="14">
        <f>SUMIF($H$6:$H$13,"конс*",I$6:I$13)</f>
        <v>0.7</v>
      </c>
      <c r="J16" s="14">
        <f t="shared" ref="J16:O16" si="5">SUMIF($H$6:$H$13,"конс*",J$6:J$13)</f>
        <v>0.3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5"/>
        <v>0.4</v>
      </c>
      <c r="O16" s="14">
        <f t="shared" si="5"/>
        <v>0</v>
      </c>
      <c r="P16" s="129"/>
      <c r="Q16" s="7"/>
    </row>
    <row r="17" spans="2:17" ht="15.75" x14ac:dyDescent="0.2">
      <c r="B17" s="130"/>
      <c r="C17" s="130"/>
      <c r="D17" s="130"/>
      <c r="E17" s="130"/>
      <c r="F17" s="130"/>
      <c r="G17" s="130"/>
      <c r="H17" s="84" t="s">
        <v>5</v>
      </c>
      <c r="I17" s="14">
        <f>SUMIF($H$6:$H$13,"вне*",I$6:I$13)</f>
        <v>0</v>
      </c>
      <c r="J17" s="14">
        <f t="shared" ref="J17:O17" si="6">SUMIF($H$6:$H$13,"вне*",J$6:J$13)</f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6"/>
        <v>0</v>
      </c>
      <c r="P17" s="130"/>
      <c r="Q17" s="7"/>
    </row>
    <row r="18" spans="2:17" ht="25.5" customHeight="1" x14ac:dyDescent="0.2">
      <c r="B18" s="111" t="s">
        <v>32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3"/>
    </row>
    <row r="19" spans="2:17" ht="42.75" outlineLevel="1" x14ac:dyDescent="0.2">
      <c r="B19" s="117" t="s">
        <v>1708</v>
      </c>
      <c r="C19" s="117" t="s">
        <v>1709</v>
      </c>
      <c r="D19" s="117" t="s">
        <v>32</v>
      </c>
      <c r="E19" s="117" t="s">
        <v>330</v>
      </c>
      <c r="F19" s="117"/>
      <c r="G19" s="117" t="s">
        <v>1710</v>
      </c>
      <c r="H19" s="84" t="s">
        <v>3</v>
      </c>
      <c r="I19" s="83">
        <f>SUM(J19:O19)</f>
        <v>20.350000000000001</v>
      </c>
      <c r="J19" s="83">
        <f t="shared" ref="J19:O19" si="7">J20+J21+J22</f>
        <v>6.35</v>
      </c>
      <c r="K19" s="83">
        <f t="shared" si="7"/>
        <v>2.8</v>
      </c>
      <c r="L19" s="83">
        <f t="shared" si="7"/>
        <v>2.8</v>
      </c>
      <c r="M19" s="83">
        <f t="shared" si="7"/>
        <v>2.8</v>
      </c>
      <c r="N19" s="83">
        <f t="shared" si="7"/>
        <v>2.8</v>
      </c>
      <c r="O19" s="83">
        <f t="shared" si="7"/>
        <v>2.8</v>
      </c>
      <c r="P19" s="117"/>
    </row>
    <row r="20" spans="2:17" outlineLevel="1" x14ac:dyDescent="0.2">
      <c r="B20" s="118"/>
      <c r="C20" s="132"/>
      <c r="D20" s="118"/>
      <c r="E20" s="118"/>
      <c r="F20" s="118"/>
      <c r="G20" s="118"/>
      <c r="H20" s="84" t="s">
        <v>4</v>
      </c>
      <c r="I20" s="83"/>
      <c r="J20" s="83"/>
      <c r="K20" s="83"/>
      <c r="L20" s="75"/>
      <c r="M20" s="75">
        <v>0</v>
      </c>
      <c r="N20" s="75">
        <v>0</v>
      </c>
      <c r="O20" s="75">
        <v>0</v>
      </c>
      <c r="P20" s="118"/>
    </row>
    <row r="21" spans="2:17" outlineLevel="1" x14ac:dyDescent="0.2">
      <c r="B21" s="118"/>
      <c r="C21" s="132"/>
      <c r="D21" s="118"/>
      <c r="E21" s="118"/>
      <c r="F21" s="118"/>
      <c r="G21" s="118"/>
      <c r="H21" s="84" t="s">
        <v>6</v>
      </c>
      <c r="I21" s="83">
        <f>SUM(J21:O21)</f>
        <v>20.350000000000001</v>
      </c>
      <c r="J21" s="83">
        <v>6.35</v>
      </c>
      <c r="K21" s="83">
        <v>2.8</v>
      </c>
      <c r="L21" s="75">
        <v>2.8</v>
      </c>
      <c r="M21" s="75">
        <v>2.8</v>
      </c>
      <c r="N21" s="75">
        <v>2.8</v>
      </c>
      <c r="O21" s="75">
        <v>2.8</v>
      </c>
      <c r="P21" s="118"/>
    </row>
    <row r="22" spans="2:17" outlineLevel="1" x14ac:dyDescent="0.2">
      <c r="B22" s="119"/>
      <c r="C22" s="133"/>
      <c r="D22" s="119"/>
      <c r="E22" s="119"/>
      <c r="F22" s="119"/>
      <c r="G22" s="119"/>
      <c r="H22" s="84" t="s">
        <v>5</v>
      </c>
      <c r="I22" s="83"/>
      <c r="J22" s="83"/>
      <c r="K22" s="83"/>
      <c r="L22" s="83"/>
      <c r="M22" s="83"/>
      <c r="N22" s="83"/>
      <c r="O22" s="83"/>
      <c r="P22" s="119"/>
    </row>
    <row r="23" spans="2:17" ht="42.75" x14ac:dyDescent="0.2">
      <c r="B23" s="128" t="s">
        <v>37</v>
      </c>
      <c r="C23" s="128" t="s">
        <v>38</v>
      </c>
      <c r="D23" s="128" t="s">
        <v>38</v>
      </c>
      <c r="E23" s="128" t="s">
        <v>38</v>
      </c>
      <c r="F23" s="128" t="s">
        <v>38</v>
      </c>
      <c r="G23" s="128" t="s">
        <v>38</v>
      </c>
      <c r="H23" s="84" t="s">
        <v>3</v>
      </c>
      <c r="I23" s="14">
        <f>SUMIF($H$19:$H$22,"Объем*",I$19:I$22)</f>
        <v>20.350000000000001</v>
      </c>
      <c r="J23" s="14">
        <f t="shared" ref="J23:O23" si="8">SUMIF($H$19:$H$22,"Объем*",J$19:J$22)</f>
        <v>6.35</v>
      </c>
      <c r="K23" s="14">
        <f t="shared" si="8"/>
        <v>2.8</v>
      </c>
      <c r="L23" s="14">
        <f t="shared" si="8"/>
        <v>2.8</v>
      </c>
      <c r="M23" s="14">
        <f t="shared" si="8"/>
        <v>2.8</v>
      </c>
      <c r="N23" s="14">
        <f t="shared" si="8"/>
        <v>2.8</v>
      </c>
      <c r="O23" s="14">
        <f t="shared" si="8"/>
        <v>2.8</v>
      </c>
      <c r="P23" s="128"/>
      <c r="Q23" s="7"/>
    </row>
    <row r="24" spans="2:17" ht="15.75" x14ac:dyDescent="0.2">
      <c r="B24" s="129"/>
      <c r="C24" s="129"/>
      <c r="D24" s="129"/>
      <c r="E24" s="129"/>
      <c r="F24" s="129"/>
      <c r="G24" s="129"/>
      <c r="H24" s="84" t="s">
        <v>4</v>
      </c>
      <c r="I24" s="14">
        <f>SUMIF($H$19:$H$22,"фед*",I$19:I$22)</f>
        <v>0</v>
      </c>
      <c r="J24" s="14">
        <f t="shared" ref="J24:O24" si="9">SUMIF($H$19:$H$22,"фед*",J$19:J$22)</f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9"/>
        <v>0</v>
      </c>
      <c r="P24" s="129"/>
      <c r="Q24" s="7"/>
    </row>
    <row r="25" spans="2:17" ht="15.75" x14ac:dyDescent="0.2">
      <c r="B25" s="129"/>
      <c r="C25" s="129"/>
      <c r="D25" s="129"/>
      <c r="E25" s="129"/>
      <c r="F25" s="129"/>
      <c r="G25" s="129"/>
      <c r="H25" s="84" t="s">
        <v>6</v>
      </c>
      <c r="I25" s="14">
        <f>SUMIF($H$19:$H$22,"конс*",I$19:I$22)</f>
        <v>20.350000000000001</v>
      </c>
      <c r="J25" s="14">
        <f t="shared" ref="J25:O25" si="10">SUMIF($H$19:$H$22,"конс*",J$19:J$22)</f>
        <v>6.35</v>
      </c>
      <c r="K25" s="14">
        <f t="shared" si="10"/>
        <v>2.8</v>
      </c>
      <c r="L25" s="14">
        <f t="shared" si="10"/>
        <v>2.8</v>
      </c>
      <c r="M25" s="14">
        <f t="shared" si="10"/>
        <v>2.8</v>
      </c>
      <c r="N25" s="14">
        <f t="shared" si="10"/>
        <v>2.8</v>
      </c>
      <c r="O25" s="14">
        <f t="shared" si="10"/>
        <v>2.8</v>
      </c>
      <c r="P25" s="129"/>
      <c r="Q25" s="7"/>
    </row>
    <row r="26" spans="2:17" ht="15.75" x14ac:dyDescent="0.2">
      <c r="B26" s="130"/>
      <c r="C26" s="130"/>
      <c r="D26" s="130"/>
      <c r="E26" s="130"/>
      <c r="F26" s="130"/>
      <c r="G26" s="130"/>
      <c r="H26" s="84" t="s">
        <v>5</v>
      </c>
      <c r="I26" s="14">
        <f>SUMIF($H$19:$H$22,"вне*",I$19:I$22)</f>
        <v>0</v>
      </c>
      <c r="J26" s="14">
        <f t="shared" ref="J26:O26" si="11">SUMIF($H$19:$H$22,"вне*",J$19:J$22)</f>
        <v>0</v>
      </c>
      <c r="K26" s="14">
        <f t="shared" si="11"/>
        <v>0</v>
      </c>
      <c r="L26" s="14">
        <f t="shared" si="11"/>
        <v>0</v>
      </c>
      <c r="M26" s="14">
        <f t="shared" si="11"/>
        <v>0</v>
      </c>
      <c r="N26" s="14">
        <f t="shared" si="11"/>
        <v>0</v>
      </c>
      <c r="O26" s="14">
        <f t="shared" si="11"/>
        <v>0</v>
      </c>
      <c r="P26" s="130"/>
      <c r="Q26" s="7"/>
    </row>
    <row r="27" spans="2:17" ht="25.5" customHeight="1" x14ac:dyDescent="0.2">
      <c r="B27" s="111" t="s">
        <v>159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</row>
    <row r="28" spans="2:17" ht="42.75" outlineLevel="1" x14ac:dyDescent="0.2">
      <c r="B28" s="117" t="s">
        <v>1711</v>
      </c>
      <c r="C28" s="117" t="s">
        <v>1705</v>
      </c>
      <c r="D28" s="117" t="s">
        <v>1712</v>
      </c>
      <c r="E28" s="117" t="s">
        <v>319</v>
      </c>
      <c r="F28" s="117" t="s">
        <v>1713</v>
      </c>
      <c r="G28" s="117" t="s">
        <v>83</v>
      </c>
      <c r="H28" s="84" t="s">
        <v>3</v>
      </c>
      <c r="I28" s="83">
        <f t="shared" ref="I28:I35" si="12">SUM(J28:O28)</f>
        <v>177.29999999999998</v>
      </c>
      <c r="J28" s="83">
        <f t="shared" ref="J28:O28" si="13">J29+J30+J31</f>
        <v>177.29999999999998</v>
      </c>
      <c r="K28" s="83">
        <f t="shared" si="13"/>
        <v>0</v>
      </c>
      <c r="L28" s="83">
        <f t="shared" si="13"/>
        <v>0</v>
      </c>
      <c r="M28" s="83">
        <f t="shared" si="13"/>
        <v>0</v>
      </c>
      <c r="N28" s="83">
        <f t="shared" si="13"/>
        <v>0</v>
      </c>
      <c r="O28" s="83">
        <f t="shared" si="13"/>
        <v>0</v>
      </c>
      <c r="P28" s="178"/>
    </row>
    <row r="29" spans="2:17" ht="25.5" customHeight="1" outlineLevel="1" x14ac:dyDescent="0.2">
      <c r="B29" s="118"/>
      <c r="C29" s="132"/>
      <c r="D29" s="118"/>
      <c r="E29" s="118"/>
      <c r="F29" s="118"/>
      <c r="G29" s="118"/>
      <c r="H29" s="84" t="s">
        <v>4</v>
      </c>
      <c r="I29" s="83">
        <f t="shared" si="12"/>
        <v>175.2</v>
      </c>
      <c r="J29" s="83">
        <v>175.2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178"/>
    </row>
    <row r="30" spans="2:17" ht="36" customHeight="1" outlineLevel="1" x14ac:dyDescent="0.2">
      <c r="B30" s="118"/>
      <c r="C30" s="132"/>
      <c r="D30" s="118"/>
      <c r="E30" s="118"/>
      <c r="F30" s="118"/>
      <c r="G30" s="118"/>
      <c r="H30" s="84" t="s">
        <v>6</v>
      </c>
      <c r="I30" s="83">
        <f t="shared" si="12"/>
        <v>2.1</v>
      </c>
      <c r="J30" s="83">
        <v>2.1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178"/>
    </row>
    <row r="31" spans="2:17" outlineLevel="1" x14ac:dyDescent="0.2">
      <c r="B31" s="119"/>
      <c r="C31" s="133"/>
      <c r="D31" s="119"/>
      <c r="E31" s="119"/>
      <c r="F31" s="119"/>
      <c r="G31" s="119"/>
      <c r="H31" s="84" t="s">
        <v>5</v>
      </c>
      <c r="I31" s="83">
        <f t="shared" si="12"/>
        <v>0</v>
      </c>
      <c r="J31" s="83"/>
      <c r="K31" s="83"/>
      <c r="L31" s="83"/>
      <c r="M31" s="83"/>
      <c r="N31" s="83"/>
      <c r="O31" s="83"/>
      <c r="P31" s="178"/>
    </row>
    <row r="32" spans="2:17" ht="42.75" outlineLevel="1" x14ac:dyDescent="0.2">
      <c r="B32" s="117" t="s">
        <v>1714</v>
      </c>
      <c r="C32" s="117"/>
      <c r="D32" s="117" t="s">
        <v>159</v>
      </c>
      <c r="E32" s="117">
        <v>2022</v>
      </c>
      <c r="F32" s="117"/>
      <c r="G32" s="117" t="s">
        <v>1715</v>
      </c>
      <c r="H32" s="84" t="s">
        <v>3</v>
      </c>
      <c r="I32" s="83">
        <f t="shared" si="12"/>
        <v>19.5</v>
      </c>
      <c r="J32" s="83">
        <f t="shared" ref="J32:O32" si="14">J33+J34+J35</f>
        <v>0</v>
      </c>
      <c r="K32" s="83">
        <f t="shared" si="14"/>
        <v>0</v>
      </c>
      <c r="L32" s="83">
        <f t="shared" si="14"/>
        <v>0</v>
      </c>
      <c r="M32" s="83">
        <f t="shared" si="14"/>
        <v>0</v>
      </c>
      <c r="N32" s="83">
        <f t="shared" si="14"/>
        <v>19.5</v>
      </c>
      <c r="O32" s="83">
        <f t="shared" si="14"/>
        <v>0</v>
      </c>
      <c r="P32" s="178"/>
    </row>
    <row r="33" spans="2:17" outlineLevel="1" x14ac:dyDescent="0.2">
      <c r="B33" s="118"/>
      <c r="C33" s="132"/>
      <c r="D33" s="118"/>
      <c r="E33" s="118"/>
      <c r="F33" s="118"/>
      <c r="G33" s="118"/>
      <c r="H33" s="84" t="s">
        <v>4</v>
      </c>
      <c r="I33" s="83">
        <f t="shared" si="12"/>
        <v>0</v>
      </c>
      <c r="J33" s="83"/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178"/>
    </row>
    <row r="34" spans="2:17" outlineLevel="1" x14ac:dyDescent="0.2">
      <c r="B34" s="118"/>
      <c r="C34" s="132"/>
      <c r="D34" s="118"/>
      <c r="E34" s="118"/>
      <c r="F34" s="118"/>
      <c r="G34" s="118"/>
      <c r="H34" s="84" t="s">
        <v>6</v>
      </c>
      <c r="I34" s="83">
        <f t="shared" si="12"/>
        <v>19.5</v>
      </c>
      <c r="J34" s="83"/>
      <c r="K34" s="83">
        <v>0</v>
      </c>
      <c r="L34" s="83">
        <v>0</v>
      </c>
      <c r="M34" s="83">
        <v>0</v>
      </c>
      <c r="N34" s="83">
        <v>19.5</v>
      </c>
      <c r="O34" s="83">
        <v>0</v>
      </c>
      <c r="P34" s="178"/>
    </row>
    <row r="35" spans="2:17" outlineLevel="1" x14ac:dyDescent="0.2">
      <c r="B35" s="119"/>
      <c r="C35" s="133"/>
      <c r="D35" s="119"/>
      <c r="E35" s="119"/>
      <c r="F35" s="119"/>
      <c r="G35" s="119"/>
      <c r="H35" s="84" t="s">
        <v>5</v>
      </c>
      <c r="I35" s="83">
        <f t="shared" si="12"/>
        <v>0</v>
      </c>
      <c r="J35" s="83"/>
      <c r="K35" s="83"/>
      <c r="L35" s="83"/>
      <c r="M35" s="83"/>
      <c r="N35" s="83"/>
      <c r="O35" s="83"/>
      <c r="P35" s="178"/>
    </row>
    <row r="36" spans="2:17" ht="42.75" x14ac:dyDescent="0.2">
      <c r="B36" s="128" t="s">
        <v>173</v>
      </c>
      <c r="C36" s="128" t="s">
        <v>38</v>
      </c>
      <c r="D36" s="128" t="s">
        <v>38</v>
      </c>
      <c r="E36" s="128" t="s">
        <v>38</v>
      </c>
      <c r="F36" s="128" t="s">
        <v>38</v>
      </c>
      <c r="G36" s="128" t="s">
        <v>38</v>
      </c>
      <c r="H36" s="84" t="s">
        <v>3</v>
      </c>
      <c r="I36" s="14">
        <f>SUMIF($H$28:$H$35,"Объем*",I$28:I$35)</f>
        <v>196.79999999999998</v>
      </c>
      <c r="J36" s="14">
        <f t="shared" ref="J36:O36" si="15">SUMIF($H$28:$H$35,"Объем*",J$28:J$35)</f>
        <v>177.29999999999998</v>
      </c>
      <c r="K36" s="14">
        <f t="shared" si="15"/>
        <v>0</v>
      </c>
      <c r="L36" s="14">
        <f t="shared" si="15"/>
        <v>0</v>
      </c>
      <c r="M36" s="14">
        <f t="shared" si="15"/>
        <v>0</v>
      </c>
      <c r="N36" s="14">
        <f t="shared" si="15"/>
        <v>19.5</v>
      </c>
      <c r="O36" s="14">
        <f t="shared" si="15"/>
        <v>0</v>
      </c>
      <c r="P36" s="128"/>
      <c r="Q36" s="7"/>
    </row>
    <row r="37" spans="2:17" ht="15.75" x14ac:dyDescent="0.2">
      <c r="B37" s="129"/>
      <c r="C37" s="129"/>
      <c r="D37" s="129"/>
      <c r="E37" s="129"/>
      <c r="F37" s="129"/>
      <c r="G37" s="129"/>
      <c r="H37" s="84" t="s">
        <v>4</v>
      </c>
      <c r="I37" s="14">
        <f>SUMIF($H$28:$H$35,"фед*",I$28:I$35)</f>
        <v>175.2</v>
      </c>
      <c r="J37" s="14">
        <f t="shared" ref="J37:O37" si="16">SUMIF($H$28:$H$35,"фед*",J$28:J$35)</f>
        <v>175.2</v>
      </c>
      <c r="K37" s="14">
        <f t="shared" si="16"/>
        <v>0</v>
      </c>
      <c r="L37" s="14">
        <f t="shared" si="16"/>
        <v>0</v>
      </c>
      <c r="M37" s="14">
        <f t="shared" si="16"/>
        <v>0</v>
      </c>
      <c r="N37" s="14">
        <f t="shared" si="16"/>
        <v>0</v>
      </c>
      <c r="O37" s="14">
        <f t="shared" si="16"/>
        <v>0</v>
      </c>
      <c r="P37" s="129"/>
      <c r="Q37" s="7"/>
    </row>
    <row r="38" spans="2:17" ht="15.75" x14ac:dyDescent="0.2">
      <c r="B38" s="129"/>
      <c r="C38" s="129"/>
      <c r="D38" s="129"/>
      <c r="E38" s="129"/>
      <c r="F38" s="129"/>
      <c r="G38" s="129"/>
      <c r="H38" s="84" t="s">
        <v>6</v>
      </c>
      <c r="I38" s="14">
        <f>SUMIF($H$28:$H$35,"конс*",I$28:I$35)</f>
        <v>21.6</v>
      </c>
      <c r="J38" s="14">
        <f t="shared" ref="J38:O38" si="17">SUMIF($H$28:$H$35,"конс*",J$28:J$35)</f>
        <v>2.1</v>
      </c>
      <c r="K38" s="14">
        <f t="shared" si="17"/>
        <v>0</v>
      </c>
      <c r="L38" s="14">
        <f t="shared" si="17"/>
        <v>0</v>
      </c>
      <c r="M38" s="14">
        <f t="shared" si="17"/>
        <v>0</v>
      </c>
      <c r="N38" s="14">
        <f t="shared" si="17"/>
        <v>19.5</v>
      </c>
      <c r="O38" s="14">
        <f t="shared" si="17"/>
        <v>0</v>
      </c>
      <c r="P38" s="129"/>
      <c r="Q38" s="7"/>
    </row>
    <row r="39" spans="2:17" ht="15.75" x14ac:dyDescent="0.2">
      <c r="B39" s="130"/>
      <c r="C39" s="130"/>
      <c r="D39" s="130"/>
      <c r="E39" s="130"/>
      <c r="F39" s="130"/>
      <c r="G39" s="130"/>
      <c r="H39" s="84" t="s">
        <v>5</v>
      </c>
      <c r="I39" s="14">
        <f>SUMIF($H$28:$H$35,"вне*",I$28:I$35)</f>
        <v>0</v>
      </c>
      <c r="J39" s="14">
        <f t="shared" ref="J39:O39" si="18">SUMIF($H$28:$H$35,"вне*",J$28:J$35)</f>
        <v>0</v>
      </c>
      <c r="K39" s="14">
        <f t="shared" si="18"/>
        <v>0</v>
      </c>
      <c r="L39" s="14">
        <f t="shared" si="18"/>
        <v>0</v>
      </c>
      <c r="M39" s="14">
        <f t="shared" si="18"/>
        <v>0</v>
      </c>
      <c r="N39" s="14">
        <f t="shared" si="18"/>
        <v>0</v>
      </c>
      <c r="O39" s="14">
        <f t="shared" si="18"/>
        <v>0</v>
      </c>
      <c r="P39" s="130"/>
      <c r="Q39" s="7"/>
    </row>
    <row r="40" spans="2:17" ht="25.5" customHeight="1" x14ac:dyDescent="0.2">
      <c r="B40" s="111" t="s">
        <v>39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</row>
    <row r="41" spans="2:17" ht="42.75" outlineLevel="1" x14ac:dyDescent="0.2">
      <c r="B41" s="178" t="s">
        <v>1716</v>
      </c>
      <c r="C41" s="178" t="s">
        <v>1709</v>
      </c>
      <c r="D41" s="178" t="s">
        <v>39</v>
      </c>
      <c r="E41" s="178">
        <v>2020</v>
      </c>
      <c r="F41" s="178"/>
      <c r="G41" s="178" t="s">
        <v>1710</v>
      </c>
      <c r="H41" s="84" t="s">
        <v>3</v>
      </c>
      <c r="I41" s="83">
        <f t="shared" ref="I41:I48" si="19">SUM(J41:O41)</f>
        <v>6.8</v>
      </c>
      <c r="J41" s="83">
        <f t="shared" ref="J41:O41" si="20">J42+J43+J44</f>
        <v>6.8</v>
      </c>
      <c r="K41" s="83">
        <f t="shared" si="20"/>
        <v>0</v>
      </c>
      <c r="L41" s="83">
        <f t="shared" si="20"/>
        <v>0</v>
      </c>
      <c r="M41" s="83">
        <f t="shared" si="20"/>
        <v>0</v>
      </c>
      <c r="N41" s="83">
        <f t="shared" si="20"/>
        <v>0</v>
      </c>
      <c r="O41" s="83">
        <f t="shared" si="20"/>
        <v>0</v>
      </c>
      <c r="P41" s="178"/>
    </row>
    <row r="42" spans="2:17" outlineLevel="1" x14ac:dyDescent="0.2">
      <c r="B42" s="178"/>
      <c r="C42" s="143"/>
      <c r="D42" s="178"/>
      <c r="E42" s="178"/>
      <c r="F42" s="178"/>
      <c r="G42" s="178"/>
      <c r="H42" s="84" t="s">
        <v>4</v>
      </c>
      <c r="I42" s="83">
        <f t="shared" si="19"/>
        <v>0</v>
      </c>
      <c r="J42" s="75"/>
      <c r="K42" s="75"/>
      <c r="L42" s="75"/>
      <c r="M42" s="75"/>
      <c r="N42" s="75"/>
      <c r="O42" s="75"/>
      <c r="P42" s="178"/>
    </row>
    <row r="43" spans="2:17" outlineLevel="1" x14ac:dyDescent="0.2">
      <c r="B43" s="178"/>
      <c r="C43" s="143"/>
      <c r="D43" s="178"/>
      <c r="E43" s="178"/>
      <c r="F43" s="178"/>
      <c r="G43" s="178"/>
      <c r="H43" s="84" t="s">
        <v>6</v>
      </c>
      <c r="I43" s="83">
        <f t="shared" si="19"/>
        <v>6.8</v>
      </c>
      <c r="J43" s="75">
        <v>6.8</v>
      </c>
      <c r="K43" s="75"/>
      <c r="L43" s="75"/>
      <c r="M43" s="75"/>
      <c r="N43" s="75"/>
      <c r="O43" s="75"/>
      <c r="P43" s="178"/>
    </row>
    <row r="44" spans="2:17" outlineLevel="1" x14ac:dyDescent="0.2">
      <c r="B44" s="178"/>
      <c r="C44" s="143"/>
      <c r="D44" s="178"/>
      <c r="E44" s="178"/>
      <c r="F44" s="178"/>
      <c r="G44" s="178"/>
      <c r="H44" s="84" t="s">
        <v>5</v>
      </c>
      <c r="I44" s="83">
        <f t="shared" si="19"/>
        <v>0</v>
      </c>
      <c r="J44" s="75"/>
      <c r="K44" s="75"/>
      <c r="L44" s="75"/>
      <c r="M44" s="75"/>
      <c r="N44" s="75"/>
      <c r="O44" s="75"/>
      <c r="P44" s="178"/>
    </row>
    <row r="45" spans="2:17" ht="42.75" outlineLevel="1" x14ac:dyDescent="0.2">
      <c r="B45" s="178" t="s">
        <v>1717</v>
      </c>
      <c r="C45" s="178" t="s">
        <v>1702</v>
      </c>
      <c r="D45" s="178" t="s">
        <v>1718</v>
      </c>
      <c r="E45" s="178">
        <v>2020</v>
      </c>
      <c r="F45" s="178" t="s">
        <v>1719</v>
      </c>
      <c r="G45" s="178" t="s">
        <v>83</v>
      </c>
      <c r="H45" s="84" t="s">
        <v>3</v>
      </c>
      <c r="I45" s="83">
        <f t="shared" si="19"/>
        <v>67.900000000000006</v>
      </c>
      <c r="J45" s="83">
        <f t="shared" ref="J45:O45" si="21">J46+J47+J48</f>
        <v>0</v>
      </c>
      <c r="K45" s="83">
        <f t="shared" si="21"/>
        <v>67.900000000000006</v>
      </c>
      <c r="L45" s="83">
        <f t="shared" si="21"/>
        <v>0</v>
      </c>
      <c r="M45" s="83">
        <f t="shared" si="21"/>
        <v>0</v>
      </c>
      <c r="N45" s="83">
        <f t="shared" si="21"/>
        <v>0</v>
      </c>
      <c r="O45" s="83">
        <f t="shared" si="21"/>
        <v>0</v>
      </c>
      <c r="P45" s="178" t="s">
        <v>1720</v>
      </c>
    </row>
    <row r="46" spans="2:17" outlineLevel="1" x14ac:dyDescent="0.2">
      <c r="B46" s="178"/>
      <c r="C46" s="143"/>
      <c r="D46" s="178"/>
      <c r="E46" s="178"/>
      <c r="F46" s="178"/>
      <c r="G46" s="178"/>
      <c r="H46" s="84" t="s">
        <v>4</v>
      </c>
      <c r="I46" s="83">
        <f t="shared" si="19"/>
        <v>67.2</v>
      </c>
      <c r="J46" s="75"/>
      <c r="K46" s="75">
        <v>67.2</v>
      </c>
      <c r="L46" s="75"/>
      <c r="M46" s="75"/>
      <c r="N46" s="75"/>
      <c r="O46" s="75"/>
      <c r="P46" s="178"/>
    </row>
    <row r="47" spans="2:17" outlineLevel="1" x14ac:dyDescent="0.2">
      <c r="B47" s="178"/>
      <c r="C47" s="143"/>
      <c r="D47" s="178"/>
      <c r="E47" s="178"/>
      <c r="F47" s="178"/>
      <c r="G47" s="178"/>
      <c r="H47" s="84" t="s">
        <v>6</v>
      </c>
      <c r="I47" s="83">
        <f t="shared" si="19"/>
        <v>0.7</v>
      </c>
      <c r="J47" s="75"/>
      <c r="K47" s="75">
        <v>0.7</v>
      </c>
      <c r="L47" s="75"/>
      <c r="M47" s="75"/>
      <c r="N47" s="75"/>
      <c r="O47" s="75"/>
      <c r="P47" s="178"/>
    </row>
    <row r="48" spans="2:17" outlineLevel="1" x14ac:dyDescent="0.2">
      <c r="B48" s="178"/>
      <c r="C48" s="143"/>
      <c r="D48" s="178"/>
      <c r="E48" s="178"/>
      <c r="F48" s="178"/>
      <c r="G48" s="178"/>
      <c r="H48" s="84" t="s">
        <v>5</v>
      </c>
      <c r="I48" s="83">
        <f t="shared" si="19"/>
        <v>0</v>
      </c>
      <c r="J48" s="75"/>
      <c r="K48" s="75"/>
      <c r="L48" s="75"/>
      <c r="M48" s="75"/>
      <c r="N48" s="75"/>
      <c r="O48" s="75"/>
      <c r="P48" s="178"/>
    </row>
    <row r="49" spans="2:17" ht="42.75" x14ac:dyDescent="0.2">
      <c r="B49" s="128" t="s">
        <v>46</v>
      </c>
      <c r="C49" s="128" t="s">
        <v>38</v>
      </c>
      <c r="D49" s="128" t="s">
        <v>38</v>
      </c>
      <c r="E49" s="128" t="s">
        <v>38</v>
      </c>
      <c r="F49" s="128" t="s">
        <v>38</v>
      </c>
      <c r="G49" s="128" t="s">
        <v>38</v>
      </c>
      <c r="H49" s="84" t="s">
        <v>3</v>
      </c>
      <c r="I49" s="14">
        <f>SUMIF($H$41:$H$48,"Объем*",I$41:I$48)</f>
        <v>74.7</v>
      </c>
      <c r="J49" s="14">
        <f t="shared" ref="J49:O49" si="22">SUMIF($H$41:$H$48,"Объем*",J$41:J$48)</f>
        <v>6.8</v>
      </c>
      <c r="K49" s="14">
        <f t="shared" si="22"/>
        <v>67.900000000000006</v>
      </c>
      <c r="L49" s="14">
        <f t="shared" si="22"/>
        <v>0</v>
      </c>
      <c r="M49" s="14">
        <f t="shared" si="22"/>
        <v>0</v>
      </c>
      <c r="N49" s="14">
        <f t="shared" si="22"/>
        <v>0</v>
      </c>
      <c r="O49" s="14">
        <f t="shared" si="22"/>
        <v>0</v>
      </c>
      <c r="P49" s="128"/>
      <c r="Q49" s="7"/>
    </row>
    <row r="50" spans="2:17" ht="15.75" x14ac:dyDescent="0.2">
      <c r="B50" s="129"/>
      <c r="C50" s="129"/>
      <c r="D50" s="129"/>
      <c r="E50" s="129"/>
      <c r="F50" s="129"/>
      <c r="G50" s="129"/>
      <c r="H50" s="84" t="s">
        <v>4</v>
      </c>
      <c r="I50" s="14">
        <f>SUMIF($H$41:$H$48,"фед*",I$41:I$48)</f>
        <v>67.2</v>
      </c>
      <c r="J50" s="14">
        <f t="shared" ref="J50:O50" si="23">SUMIF($H$41:$H$48,"фед*",J$41:J$48)</f>
        <v>0</v>
      </c>
      <c r="K50" s="14">
        <f t="shared" si="23"/>
        <v>67.2</v>
      </c>
      <c r="L50" s="14">
        <f t="shared" si="23"/>
        <v>0</v>
      </c>
      <c r="M50" s="14">
        <f t="shared" si="23"/>
        <v>0</v>
      </c>
      <c r="N50" s="14">
        <f t="shared" si="23"/>
        <v>0</v>
      </c>
      <c r="O50" s="14">
        <f t="shared" si="23"/>
        <v>0</v>
      </c>
      <c r="P50" s="129"/>
      <c r="Q50" s="7"/>
    </row>
    <row r="51" spans="2:17" ht="15.75" x14ac:dyDescent="0.2">
      <c r="B51" s="129"/>
      <c r="C51" s="129"/>
      <c r="D51" s="129"/>
      <c r="E51" s="129"/>
      <c r="F51" s="129"/>
      <c r="G51" s="129"/>
      <c r="H51" s="84" t="s">
        <v>6</v>
      </c>
      <c r="I51" s="14">
        <f>SUMIF($H$41:$H$48,"конс*",I$41:I$48)</f>
        <v>7.5</v>
      </c>
      <c r="J51" s="14">
        <f t="shared" ref="J51:O51" si="24">SUMIF($H$41:$H$48,"конс*",J$41:J$48)</f>
        <v>6.8</v>
      </c>
      <c r="K51" s="14">
        <f t="shared" si="24"/>
        <v>0.7</v>
      </c>
      <c r="L51" s="14">
        <f t="shared" si="24"/>
        <v>0</v>
      </c>
      <c r="M51" s="14">
        <f t="shared" si="24"/>
        <v>0</v>
      </c>
      <c r="N51" s="14">
        <f t="shared" si="24"/>
        <v>0</v>
      </c>
      <c r="O51" s="14">
        <f t="shared" si="24"/>
        <v>0</v>
      </c>
      <c r="P51" s="129"/>
      <c r="Q51" s="7"/>
    </row>
    <row r="52" spans="2:17" ht="15.75" x14ac:dyDescent="0.2">
      <c r="B52" s="130"/>
      <c r="C52" s="130"/>
      <c r="D52" s="130"/>
      <c r="E52" s="130"/>
      <c r="F52" s="130"/>
      <c r="G52" s="130"/>
      <c r="H52" s="84" t="s">
        <v>5</v>
      </c>
      <c r="I52" s="14">
        <f>SUMIF($H$41:$H$48,"вне*",I$41:I$48)</f>
        <v>0</v>
      </c>
      <c r="J52" s="14">
        <f t="shared" ref="J52:O52" si="25">SUMIF($H$41:$H$48,"вне*",J$41:J$48)</f>
        <v>0</v>
      </c>
      <c r="K52" s="14">
        <f t="shared" si="25"/>
        <v>0</v>
      </c>
      <c r="L52" s="14">
        <f t="shared" si="25"/>
        <v>0</v>
      </c>
      <c r="M52" s="14">
        <f t="shared" si="25"/>
        <v>0</v>
      </c>
      <c r="N52" s="14">
        <f t="shared" si="25"/>
        <v>0</v>
      </c>
      <c r="O52" s="14">
        <f t="shared" si="25"/>
        <v>0</v>
      </c>
      <c r="P52" s="130"/>
      <c r="Q52" s="7"/>
    </row>
    <row r="53" spans="2:17" ht="25.5" customHeight="1" x14ac:dyDescent="0.2">
      <c r="B53" s="111" t="s">
        <v>223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3"/>
    </row>
    <row r="54" spans="2:17" ht="42.75" outlineLevel="1" x14ac:dyDescent="0.2">
      <c r="B54" s="117" t="s">
        <v>1721</v>
      </c>
      <c r="C54" s="117" t="s">
        <v>1702</v>
      </c>
      <c r="D54" s="117" t="s">
        <v>223</v>
      </c>
      <c r="E54" s="117">
        <v>2024</v>
      </c>
      <c r="F54" s="117" t="s">
        <v>1722</v>
      </c>
      <c r="G54" s="117" t="s">
        <v>138</v>
      </c>
      <c r="H54" s="84" t="s">
        <v>3</v>
      </c>
      <c r="I54" s="83">
        <f>SUM(J54:O54)</f>
        <v>100</v>
      </c>
      <c r="J54" s="83">
        <v>0</v>
      </c>
      <c r="K54" s="83">
        <f t="shared" ref="K54:O54" si="26">K55+K56+K57</f>
        <v>0</v>
      </c>
      <c r="L54" s="83">
        <f t="shared" si="26"/>
        <v>0</v>
      </c>
      <c r="M54" s="83">
        <f t="shared" si="26"/>
        <v>0</v>
      </c>
      <c r="N54" s="83">
        <f t="shared" si="26"/>
        <v>100</v>
      </c>
      <c r="O54" s="83">
        <f t="shared" si="26"/>
        <v>0</v>
      </c>
      <c r="P54" s="117" t="s">
        <v>1723</v>
      </c>
    </row>
    <row r="55" spans="2:17" ht="17.25" outlineLevel="1" x14ac:dyDescent="0.2">
      <c r="B55" s="118"/>
      <c r="C55" s="132"/>
      <c r="D55" s="118"/>
      <c r="E55" s="118"/>
      <c r="F55" s="118"/>
      <c r="G55" s="118"/>
      <c r="H55" s="84" t="s">
        <v>4</v>
      </c>
      <c r="I55" s="83">
        <f>SUM(J55:O55)</f>
        <v>99</v>
      </c>
      <c r="J55" s="52"/>
      <c r="K55" s="52"/>
      <c r="L55" s="52"/>
      <c r="M55" s="52"/>
      <c r="N55" s="52">
        <v>99</v>
      </c>
      <c r="O55" s="52"/>
      <c r="P55" s="118"/>
    </row>
    <row r="56" spans="2:17" ht="17.25" outlineLevel="1" x14ac:dyDescent="0.2">
      <c r="B56" s="118"/>
      <c r="C56" s="132"/>
      <c r="D56" s="118"/>
      <c r="E56" s="118"/>
      <c r="F56" s="118"/>
      <c r="G56" s="118"/>
      <c r="H56" s="84" t="s">
        <v>6</v>
      </c>
      <c r="I56" s="83">
        <f>SUM(J56:O56)</f>
        <v>1</v>
      </c>
      <c r="J56" s="52"/>
      <c r="K56" s="83"/>
      <c r="L56" s="83"/>
      <c r="M56" s="52"/>
      <c r="N56" s="52">
        <v>1</v>
      </c>
      <c r="O56" s="52"/>
      <c r="P56" s="118"/>
    </row>
    <row r="57" spans="2:17" ht="17.25" outlineLevel="1" x14ac:dyDescent="0.2">
      <c r="B57" s="119"/>
      <c r="C57" s="133"/>
      <c r="D57" s="119"/>
      <c r="E57" s="119"/>
      <c r="F57" s="119"/>
      <c r="G57" s="119"/>
      <c r="H57" s="84" t="s">
        <v>5</v>
      </c>
      <c r="I57" s="52"/>
      <c r="J57" s="52"/>
      <c r="K57" s="52"/>
      <c r="L57" s="52"/>
      <c r="M57" s="52"/>
      <c r="N57" s="52"/>
      <c r="O57" s="52"/>
      <c r="P57" s="119"/>
    </row>
    <row r="58" spans="2:17" ht="42.75" x14ac:dyDescent="0.2">
      <c r="B58" s="128" t="s">
        <v>288</v>
      </c>
      <c r="C58" s="128" t="s">
        <v>38</v>
      </c>
      <c r="D58" s="128" t="s">
        <v>38</v>
      </c>
      <c r="E58" s="128" t="s">
        <v>38</v>
      </c>
      <c r="F58" s="128" t="s">
        <v>38</v>
      </c>
      <c r="G58" s="128" t="s">
        <v>38</v>
      </c>
      <c r="H58" s="84" t="s">
        <v>3</v>
      </c>
      <c r="I58" s="14">
        <f>SUMIF($H$54:$H$57,"Объем*",I$54:I$57)</f>
        <v>100</v>
      </c>
      <c r="J58" s="14">
        <f t="shared" ref="J58:O58" si="27">SUMIF($H$54:$H$57,"Объем*",J$54:J$57)</f>
        <v>0</v>
      </c>
      <c r="K58" s="14">
        <f t="shared" si="27"/>
        <v>0</v>
      </c>
      <c r="L58" s="14">
        <f t="shared" si="27"/>
        <v>0</v>
      </c>
      <c r="M58" s="14">
        <f t="shared" si="27"/>
        <v>0</v>
      </c>
      <c r="N58" s="14">
        <f t="shared" si="27"/>
        <v>100</v>
      </c>
      <c r="O58" s="14">
        <f t="shared" si="27"/>
        <v>0</v>
      </c>
      <c r="P58" s="128"/>
      <c r="Q58" s="7"/>
    </row>
    <row r="59" spans="2:17" ht="15.75" x14ac:dyDescent="0.2">
      <c r="B59" s="129"/>
      <c r="C59" s="129"/>
      <c r="D59" s="129"/>
      <c r="E59" s="129"/>
      <c r="F59" s="129"/>
      <c r="G59" s="129"/>
      <c r="H59" s="84" t="s">
        <v>4</v>
      </c>
      <c r="I59" s="14">
        <f>SUMIF($H$54:$H$57,"фед*",I$54:I$57)</f>
        <v>99</v>
      </c>
      <c r="J59" s="14">
        <f t="shared" ref="J59:O59" si="28">SUMIF($H$54:$H$57,"фед*",J$54:J$57)</f>
        <v>0</v>
      </c>
      <c r="K59" s="14">
        <f t="shared" si="28"/>
        <v>0</v>
      </c>
      <c r="L59" s="14">
        <f t="shared" si="28"/>
        <v>0</v>
      </c>
      <c r="M59" s="14">
        <f t="shared" si="28"/>
        <v>0</v>
      </c>
      <c r="N59" s="14">
        <f t="shared" si="28"/>
        <v>99</v>
      </c>
      <c r="O59" s="14">
        <f t="shared" si="28"/>
        <v>0</v>
      </c>
      <c r="P59" s="129"/>
    </row>
    <row r="60" spans="2:17" ht="15.75" x14ac:dyDescent="0.2">
      <c r="B60" s="129"/>
      <c r="C60" s="129"/>
      <c r="D60" s="129"/>
      <c r="E60" s="129"/>
      <c r="F60" s="129"/>
      <c r="G60" s="129"/>
      <c r="H60" s="84" t="s">
        <v>6</v>
      </c>
      <c r="I60" s="14">
        <f>SUMIF($H$54:$H$57,"конс*",I$54:I$57)</f>
        <v>1</v>
      </c>
      <c r="J60" s="14">
        <f t="shared" ref="J60:O60" si="29">SUMIF($H$54:$H$57,"конс*",J$54:J$57)</f>
        <v>0</v>
      </c>
      <c r="K60" s="14">
        <f t="shared" si="29"/>
        <v>0</v>
      </c>
      <c r="L60" s="14">
        <f t="shared" si="29"/>
        <v>0</v>
      </c>
      <c r="M60" s="14">
        <f t="shared" si="29"/>
        <v>0</v>
      </c>
      <c r="N60" s="14">
        <f t="shared" si="29"/>
        <v>1</v>
      </c>
      <c r="O60" s="14">
        <f t="shared" si="29"/>
        <v>0</v>
      </c>
      <c r="P60" s="129"/>
    </row>
    <row r="61" spans="2:17" ht="15.75" x14ac:dyDescent="0.2">
      <c r="B61" s="130"/>
      <c r="C61" s="130"/>
      <c r="D61" s="130"/>
      <c r="E61" s="130"/>
      <c r="F61" s="130"/>
      <c r="G61" s="130"/>
      <c r="H61" s="84" t="s">
        <v>5</v>
      </c>
      <c r="I61" s="14">
        <f>SUMIF($H$54:$H$57,"вне*",I$54:I$57)</f>
        <v>0</v>
      </c>
      <c r="J61" s="14">
        <f t="shared" ref="J61:O61" si="30">SUMIF($H$54:$H$57,"вне*",J$54:J$57)</f>
        <v>0</v>
      </c>
      <c r="K61" s="14">
        <f t="shared" si="30"/>
        <v>0</v>
      </c>
      <c r="L61" s="14">
        <f t="shared" si="30"/>
        <v>0</v>
      </c>
      <c r="M61" s="14">
        <f t="shared" si="30"/>
        <v>0</v>
      </c>
      <c r="N61" s="14">
        <f t="shared" si="30"/>
        <v>0</v>
      </c>
      <c r="O61" s="14">
        <f t="shared" si="30"/>
        <v>0</v>
      </c>
      <c r="P61" s="130"/>
    </row>
    <row r="62" spans="2:17" ht="25.5" customHeight="1" x14ac:dyDescent="0.2">
      <c r="B62" s="111" t="s">
        <v>289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3"/>
    </row>
    <row r="63" spans="2:17" ht="42.75" outlineLevel="1" x14ac:dyDescent="0.2">
      <c r="B63" s="117" t="s">
        <v>1721</v>
      </c>
      <c r="C63" s="117" t="s">
        <v>1702</v>
      </c>
      <c r="D63" s="117" t="s">
        <v>289</v>
      </c>
      <c r="E63" s="117">
        <v>2021</v>
      </c>
      <c r="F63" s="117" t="s">
        <v>1724</v>
      </c>
      <c r="G63" s="117" t="s">
        <v>138</v>
      </c>
      <c r="H63" s="84" t="s">
        <v>3</v>
      </c>
      <c r="I63" s="83">
        <f>SUM(J63:O63)</f>
        <v>24.7</v>
      </c>
      <c r="J63" s="83">
        <f t="shared" ref="J63:O63" si="31">J64+J65+J66</f>
        <v>0</v>
      </c>
      <c r="K63" s="83">
        <f t="shared" si="31"/>
        <v>24.7</v>
      </c>
      <c r="L63" s="83">
        <f t="shared" si="31"/>
        <v>0</v>
      </c>
      <c r="M63" s="83">
        <f t="shared" si="31"/>
        <v>0</v>
      </c>
      <c r="N63" s="83">
        <f t="shared" si="31"/>
        <v>0</v>
      </c>
      <c r="O63" s="83">
        <f t="shared" si="31"/>
        <v>0</v>
      </c>
      <c r="P63" s="117">
        <v>1900</v>
      </c>
    </row>
    <row r="64" spans="2:17" outlineLevel="1" x14ac:dyDescent="0.2">
      <c r="B64" s="118"/>
      <c r="C64" s="132"/>
      <c r="D64" s="118"/>
      <c r="E64" s="118"/>
      <c r="F64" s="118"/>
      <c r="G64" s="118"/>
      <c r="H64" s="84" t="s">
        <v>4</v>
      </c>
      <c r="I64" s="83">
        <f>SUM(J64:O64)</f>
        <v>24.5</v>
      </c>
      <c r="J64" s="75"/>
      <c r="K64" s="75">
        <v>24.5</v>
      </c>
      <c r="L64" s="75"/>
      <c r="M64" s="75"/>
      <c r="N64" s="75"/>
      <c r="O64" s="75"/>
      <c r="P64" s="118"/>
    </row>
    <row r="65" spans="2:17" outlineLevel="1" x14ac:dyDescent="0.2">
      <c r="B65" s="118"/>
      <c r="C65" s="132"/>
      <c r="D65" s="118"/>
      <c r="E65" s="118"/>
      <c r="F65" s="118"/>
      <c r="G65" s="118"/>
      <c r="H65" s="84" t="s">
        <v>6</v>
      </c>
      <c r="I65" s="83">
        <f>SUM(J65:O65)</f>
        <v>0.2</v>
      </c>
      <c r="J65" s="75"/>
      <c r="K65" s="75">
        <v>0.2</v>
      </c>
      <c r="L65" s="75"/>
      <c r="M65" s="75"/>
      <c r="N65" s="75"/>
      <c r="O65" s="75"/>
      <c r="P65" s="118"/>
    </row>
    <row r="66" spans="2:17" outlineLevel="1" x14ac:dyDescent="0.2">
      <c r="B66" s="119"/>
      <c r="C66" s="133"/>
      <c r="D66" s="119"/>
      <c r="E66" s="119"/>
      <c r="F66" s="119"/>
      <c r="G66" s="119"/>
      <c r="H66" s="84" t="s">
        <v>5</v>
      </c>
      <c r="I66" s="75"/>
      <c r="J66" s="75"/>
      <c r="K66" s="75"/>
      <c r="L66" s="75"/>
      <c r="M66" s="75"/>
      <c r="N66" s="75"/>
      <c r="O66" s="75"/>
      <c r="P66" s="119"/>
    </row>
    <row r="67" spans="2:17" ht="42.75" x14ac:dyDescent="0.2">
      <c r="B67" s="128" t="s">
        <v>320</v>
      </c>
      <c r="C67" s="128" t="s">
        <v>38</v>
      </c>
      <c r="D67" s="128" t="s">
        <v>38</v>
      </c>
      <c r="E67" s="128" t="s">
        <v>38</v>
      </c>
      <c r="F67" s="128" t="s">
        <v>38</v>
      </c>
      <c r="G67" s="128" t="s">
        <v>38</v>
      </c>
      <c r="H67" s="84" t="s">
        <v>3</v>
      </c>
      <c r="I67" s="14">
        <f>SUMIF($H$63:$H$66,"Объем*",I$63:I$66)</f>
        <v>24.7</v>
      </c>
      <c r="J67" s="14">
        <f t="shared" ref="J67:O67" si="32">SUMIF($H$63:$H$66,"Объем*",J$63:J$66)</f>
        <v>0</v>
      </c>
      <c r="K67" s="14">
        <f t="shared" si="32"/>
        <v>24.7</v>
      </c>
      <c r="L67" s="14">
        <f t="shared" si="32"/>
        <v>0</v>
      </c>
      <c r="M67" s="14">
        <f t="shared" si="32"/>
        <v>0</v>
      </c>
      <c r="N67" s="14">
        <f t="shared" si="32"/>
        <v>0</v>
      </c>
      <c r="O67" s="14">
        <f t="shared" si="32"/>
        <v>0</v>
      </c>
      <c r="P67" s="128"/>
      <c r="Q67" s="7"/>
    </row>
    <row r="68" spans="2:17" ht="15.75" x14ac:dyDescent="0.2">
      <c r="B68" s="129"/>
      <c r="C68" s="129"/>
      <c r="D68" s="129"/>
      <c r="E68" s="129"/>
      <c r="F68" s="129"/>
      <c r="G68" s="129"/>
      <c r="H68" s="84" t="s">
        <v>4</v>
      </c>
      <c r="I68" s="14">
        <f>SUMIF($H$63:$H$66,"фед*",I$63:I$66)</f>
        <v>24.5</v>
      </c>
      <c r="J68" s="14">
        <f t="shared" ref="J68:O68" si="33">SUMIF($H$63:$H$66,"фед*",J$63:J$66)</f>
        <v>0</v>
      </c>
      <c r="K68" s="14">
        <f t="shared" si="33"/>
        <v>24.5</v>
      </c>
      <c r="L68" s="14">
        <f t="shared" si="33"/>
        <v>0</v>
      </c>
      <c r="M68" s="14">
        <f t="shared" si="33"/>
        <v>0</v>
      </c>
      <c r="N68" s="14">
        <f t="shared" si="33"/>
        <v>0</v>
      </c>
      <c r="O68" s="14">
        <f t="shared" si="33"/>
        <v>0</v>
      </c>
      <c r="P68" s="129"/>
      <c r="Q68" s="7"/>
    </row>
    <row r="69" spans="2:17" ht="15.75" x14ac:dyDescent="0.2">
      <c r="B69" s="129"/>
      <c r="C69" s="129"/>
      <c r="D69" s="129"/>
      <c r="E69" s="129"/>
      <c r="F69" s="129"/>
      <c r="G69" s="129"/>
      <c r="H69" s="84" t="s">
        <v>6</v>
      </c>
      <c r="I69" s="14">
        <f>SUMIF($H$63:$H$66,"конс*",I$63:I$66)</f>
        <v>0.2</v>
      </c>
      <c r="J69" s="14">
        <f t="shared" ref="J69:O69" si="34">SUMIF($H$63:$H$66,"конс*",J$63:J$66)</f>
        <v>0</v>
      </c>
      <c r="K69" s="14">
        <f t="shared" si="34"/>
        <v>0.2</v>
      </c>
      <c r="L69" s="14">
        <f t="shared" si="34"/>
        <v>0</v>
      </c>
      <c r="M69" s="14">
        <f t="shared" si="34"/>
        <v>0</v>
      </c>
      <c r="N69" s="14">
        <f t="shared" si="34"/>
        <v>0</v>
      </c>
      <c r="O69" s="14">
        <f t="shared" si="34"/>
        <v>0</v>
      </c>
      <c r="P69" s="129"/>
      <c r="Q69" s="7"/>
    </row>
    <row r="70" spans="2:17" ht="15.75" x14ac:dyDescent="0.2">
      <c r="B70" s="130"/>
      <c r="C70" s="130"/>
      <c r="D70" s="130"/>
      <c r="E70" s="130"/>
      <c r="F70" s="130"/>
      <c r="G70" s="130"/>
      <c r="H70" s="84" t="s">
        <v>5</v>
      </c>
      <c r="I70" s="14">
        <f>SUMIF($H$63:$H$66,"вне*",I$63:I$66)</f>
        <v>0</v>
      </c>
      <c r="J70" s="14">
        <f t="shared" ref="J70:O70" si="35">SUMIF($H$63:$H$66,"вне*",J$63:J$66)</f>
        <v>0</v>
      </c>
      <c r="K70" s="14">
        <f t="shared" si="35"/>
        <v>0</v>
      </c>
      <c r="L70" s="14">
        <f t="shared" si="35"/>
        <v>0</v>
      </c>
      <c r="M70" s="14">
        <f t="shared" si="35"/>
        <v>0</v>
      </c>
      <c r="N70" s="14">
        <f t="shared" si="35"/>
        <v>0</v>
      </c>
      <c r="O70" s="14">
        <f t="shared" si="35"/>
        <v>0</v>
      </c>
      <c r="P70" s="130"/>
      <c r="Q70" s="7"/>
    </row>
    <row r="71" spans="2:17" ht="25.5" customHeight="1" x14ac:dyDescent="0.2">
      <c r="B71" s="111" t="s">
        <v>344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</row>
    <row r="72" spans="2:17" ht="42.75" outlineLevel="1" x14ac:dyDescent="0.2">
      <c r="B72" s="117" t="s">
        <v>1725</v>
      </c>
      <c r="C72" s="117" t="s">
        <v>1705</v>
      </c>
      <c r="D72" s="117" t="s">
        <v>344</v>
      </c>
      <c r="E72" s="117">
        <v>2019.2022999999999</v>
      </c>
      <c r="F72" s="117"/>
      <c r="G72" s="117" t="s">
        <v>83</v>
      </c>
      <c r="H72" s="84" t="s">
        <v>3</v>
      </c>
      <c r="I72" s="83">
        <f t="shared" ref="I72:I83" si="36">SUM(J72:O72)</f>
        <v>2.5999999999999996</v>
      </c>
      <c r="J72" s="83">
        <f t="shared" ref="J72:O72" si="37">J73+J74+J75</f>
        <v>0</v>
      </c>
      <c r="K72" s="83">
        <f t="shared" si="37"/>
        <v>0</v>
      </c>
      <c r="L72" s="83">
        <f t="shared" si="37"/>
        <v>0</v>
      </c>
      <c r="M72" s="83">
        <f t="shared" si="37"/>
        <v>2.5999999999999996</v>
      </c>
      <c r="N72" s="83">
        <f t="shared" si="37"/>
        <v>0</v>
      </c>
      <c r="O72" s="83">
        <f t="shared" si="37"/>
        <v>0</v>
      </c>
      <c r="P72" s="117"/>
    </row>
    <row r="73" spans="2:17" outlineLevel="1" x14ac:dyDescent="0.2">
      <c r="B73" s="118"/>
      <c r="C73" s="132"/>
      <c r="D73" s="118"/>
      <c r="E73" s="118"/>
      <c r="F73" s="118"/>
      <c r="G73" s="118"/>
      <c r="H73" s="84" t="s">
        <v>4</v>
      </c>
      <c r="I73" s="83">
        <f t="shared" si="36"/>
        <v>2.57</v>
      </c>
      <c r="J73" s="75"/>
      <c r="K73" s="75"/>
      <c r="L73" s="75"/>
      <c r="M73" s="75">
        <v>2.57</v>
      </c>
      <c r="N73" s="75"/>
      <c r="O73" s="75"/>
      <c r="P73" s="118"/>
    </row>
    <row r="74" spans="2:17" outlineLevel="1" x14ac:dyDescent="0.2">
      <c r="B74" s="118"/>
      <c r="C74" s="132"/>
      <c r="D74" s="118"/>
      <c r="E74" s="118"/>
      <c r="F74" s="118"/>
      <c r="G74" s="118"/>
      <c r="H74" s="84" t="s">
        <v>6</v>
      </c>
      <c r="I74" s="83">
        <f t="shared" si="36"/>
        <v>0.03</v>
      </c>
      <c r="J74" s="75"/>
      <c r="K74" s="75"/>
      <c r="L74" s="75"/>
      <c r="M74" s="75">
        <v>0.03</v>
      </c>
      <c r="N74" s="75"/>
      <c r="O74" s="75"/>
      <c r="P74" s="118"/>
    </row>
    <row r="75" spans="2:17" outlineLevel="1" x14ac:dyDescent="0.2">
      <c r="B75" s="119"/>
      <c r="C75" s="133"/>
      <c r="D75" s="119"/>
      <c r="E75" s="119"/>
      <c r="F75" s="119"/>
      <c r="G75" s="119"/>
      <c r="H75" s="84" t="s">
        <v>5</v>
      </c>
      <c r="I75" s="83">
        <f t="shared" si="36"/>
        <v>0</v>
      </c>
      <c r="J75" s="75"/>
      <c r="K75" s="75"/>
      <c r="L75" s="75"/>
      <c r="M75" s="75"/>
      <c r="N75" s="75"/>
      <c r="O75" s="75"/>
      <c r="P75" s="119"/>
    </row>
    <row r="76" spans="2:17" ht="42.75" outlineLevel="1" x14ac:dyDescent="0.2">
      <c r="B76" s="117" t="s">
        <v>1726</v>
      </c>
      <c r="C76" s="117" t="s">
        <v>1705</v>
      </c>
      <c r="D76" s="117" t="s">
        <v>344</v>
      </c>
      <c r="E76" s="117">
        <v>2022</v>
      </c>
      <c r="F76" s="117"/>
      <c r="G76" s="117" t="s">
        <v>138</v>
      </c>
      <c r="H76" s="84" t="s">
        <v>3</v>
      </c>
      <c r="I76" s="83">
        <f t="shared" si="36"/>
        <v>300</v>
      </c>
      <c r="J76" s="83">
        <f t="shared" ref="J76:O76" si="38">J77+J78+J79</f>
        <v>0</v>
      </c>
      <c r="K76" s="83">
        <f t="shared" si="38"/>
        <v>0</v>
      </c>
      <c r="L76" s="83">
        <f t="shared" si="38"/>
        <v>300</v>
      </c>
      <c r="M76" s="83">
        <f t="shared" si="38"/>
        <v>0</v>
      </c>
      <c r="N76" s="83">
        <f t="shared" si="38"/>
        <v>0</v>
      </c>
      <c r="O76" s="83">
        <f t="shared" si="38"/>
        <v>0</v>
      </c>
      <c r="P76" s="117"/>
    </row>
    <row r="77" spans="2:17" outlineLevel="1" x14ac:dyDescent="0.2">
      <c r="B77" s="118"/>
      <c r="C77" s="132"/>
      <c r="D77" s="118"/>
      <c r="E77" s="118"/>
      <c r="F77" s="118"/>
      <c r="G77" s="118"/>
      <c r="H77" s="84" t="s">
        <v>4</v>
      </c>
      <c r="I77" s="83">
        <f t="shared" si="36"/>
        <v>297</v>
      </c>
      <c r="J77" s="75"/>
      <c r="K77" s="75"/>
      <c r="L77" s="75">
        <v>297</v>
      </c>
      <c r="M77" s="75"/>
      <c r="N77" s="75"/>
      <c r="O77" s="75"/>
      <c r="P77" s="118"/>
    </row>
    <row r="78" spans="2:17" outlineLevel="1" x14ac:dyDescent="0.2">
      <c r="B78" s="118"/>
      <c r="C78" s="132"/>
      <c r="D78" s="118"/>
      <c r="E78" s="118"/>
      <c r="F78" s="118"/>
      <c r="G78" s="118"/>
      <c r="H78" s="84" t="s">
        <v>6</v>
      </c>
      <c r="I78" s="83">
        <f t="shared" si="36"/>
        <v>3</v>
      </c>
      <c r="J78" s="75"/>
      <c r="K78" s="75"/>
      <c r="L78" s="75">
        <v>3</v>
      </c>
      <c r="M78" s="75"/>
      <c r="N78" s="75"/>
      <c r="O78" s="75"/>
      <c r="P78" s="118"/>
    </row>
    <row r="79" spans="2:17" outlineLevel="1" x14ac:dyDescent="0.2">
      <c r="B79" s="119"/>
      <c r="C79" s="133"/>
      <c r="D79" s="119"/>
      <c r="E79" s="119"/>
      <c r="F79" s="119"/>
      <c r="G79" s="119"/>
      <c r="H79" s="84" t="s">
        <v>5</v>
      </c>
      <c r="I79" s="83">
        <f t="shared" si="36"/>
        <v>0</v>
      </c>
      <c r="J79" s="75"/>
      <c r="K79" s="75"/>
      <c r="L79" s="75"/>
      <c r="M79" s="75"/>
      <c r="N79" s="75"/>
      <c r="O79" s="75"/>
      <c r="P79" s="119"/>
    </row>
    <row r="80" spans="2:17" ht="42.75" outlineLevel="1" x14ac:dyDescent="0.2">
      <c r="B80" s="117" t="s">
        <v>1727</v>
      </c>
      <c r="C80" s="117" t="s">
        <v>1702</v>
      </c>
      <c r="D80" s="117" t="s">
        <v>344</v>
      </c>
      <c r="E80" s="117">
        <v>2022</v>
      </c>
      <c r="F80" s="117" t="s">
        <v>1728</v>
      </c>
      <c r="G80" s="117" t="s">
        <v>138</v>
      </c>
      <c r="H80" s="84" t="s">
        <v>3</v>
      </c>
      <c r="I80" s="83">
        <f t="shared" si="36"/>
        <v>61.9</v>
      </c>
      <c r="J80" s="83">
        <f t="shared" ref="J80:O80" si="39">J81+J82+J83</f>
        <v>0</v>
      </c>
      <c r="K80" s="83">
        <f t="shared" si="39"/>
        <v>0</v>
      </c>
      <c r="L80" s="83">
        <f t="shared" si="39"/>
        <v>61.9</v>
      </c>
      <c r="M80" s="83">
        <f t="shared" si="39"/>
        <v>0</v>
      </c>
      <c r="N80" s="83">
        <f t="shared" si="39"/>
        <v>0</v>
      </c>
      <c r="O80" s="83">
        <f t="shared" si="39"/>
        <v>0</v>
      </c>
      <c r="P80" s="117">
        <v>3400</v>
      </c>
    </row>
    <row r="81" spans="2:17" outlineLevel="1" x14ac:dyDescent="0.2">
      <c r="B81" s="118"/>
      <c r="C81" s="132"/>
      <c r="D81" s="118"/>
      <c r="E81" s="118"/>
      <c r="F81" s="118"/>
      <c r="G81" s="118"/>
      <c r="H81" s="84" t="s">
        <v>4</v>
      </c>
      <c r="I81" s="83">
        <f t="shared" si="36"/>
        <v>61.3</v>
      </c>
      <c r="J81" s="75"/>
      <c r="K81" s="75"/>
      <c r="L81" s="75">
        <v>61.3</v>
      </c>
      <c r="M81" s="75"/>
      <c r="N81" s="75"/>
      <c r="O81" s="75"/>
      <c r="P81" s="118"/>
    </row>
    <row r="82" spans="2:17" outlineLevel="1" x14ac:dyDescent="0.2">
      <c r="B82" s="118"/>
      <c r="C82" s="132"/>
      <c r="D82" s="118"/>
      <c r="E82" s="118"/>
      <c r="F82" s="118"/>
      <c r="G82" s="118"/>
      <c r="H82" s="84" t="s">
        <v>6</v>
      </c>
      <c r="I82" s="83">
        <f t="shared" si="36"/>
        <v>0.6</v>
      </c>
      <c r="J82" s="75"/>
      <c r="K82" s="75"/>
      <c r="L82" s="75">
        <v>0.6</v>
      </c>
      <c r="M82" s="75"/>
      <c r="N82" s="75"/>
      <c r="O82" s="75"/>
      <c r="P82" s="118"/>
    </row>
    <row r="83" spans="2:17" outlineLevel="1" x14ac:dyDescent="0.2">
      <c r="B83" s="119"/>
      <c r="C83" s="133"/>
      <c r="D83" s="119"/>
      <c r="E83" s="119"/>
      <c r="F83" s="119"/>
      <c r="G83" s="119"/>
      <c r="H83" s="84" t="s">
        <v>5</v>
      </c>
      <c r="I83" s="83">
        <f t="shared" si="36"/>
        <v>0</v>
      </c>
      <c r="J83" s="75"/>
      <c r="K83" s="75"/>
      <c r="L83" s="75"/>
      <c r="M83" s="75"/>
      <c r="N83" s="75"/>
      <c r="O83" s="75"/>
      <c r="P83" s="119"/>
    </row>
    <row r="84" spans="2:17" ht="42.75" x14ac:dyDescent="0.2">
      <c r="B84" s="128" t="s">
        <v>349</v>
      </c>
      <c r="C84" s="128" t="s">
        <v>38</v>
      </c>
      <c r="D84" s="128" t="s">
        <v>38</v>
      </c>
      <c r="E84" s="128" t="s">
        <v>38</v>
      </c>
      <c r="F84" s="128" t="s">
        <v>38</v>
      </c>
      <c r="G84" s="128" t="s">
        <v>38</v>
      </c>
      <c r="H84" s="84" t="s">
        <v>3</v>
      </c>
      <c r="I84" s="14">
        <f>SUMIF($H$72:$H$83,"Объем*",I$72:I$83)</f>
        <v>364.5</v>
      </c>
      <c r="J84" s="14">
        <f t="shared" ref="J84:O84" si="40">SUMIF($H$72:$H$83,"Объем*",J$72:J$83)</f>
        <v>0</v>
      </c>
      <c r="K84" s="14">
        <f t="shared" si="40"/>
        <v>0</v>
      </c>
      <c r="L84" s="14">
        <f t="shared" si="40"/>
        <v>361.9</v>
      </c>
      <c r="M84" s="14">
        <f t="shared" si="40"/>
        <v>2.5999999999999996</v>
      </c>
      <c r="N84" s="14">
        <f t="shared" si="40"/>
        <v>0</v>
      </c>
      <c r="O84" s="14">
        <f t="shared" si="40"/>
        <v>0</v>
      </c>
      <c r="P84" s="128"/>
      <c r="Q84" s="7"/>
    </row>
    <row r="85" spans="2:17" ht="15.75" x14ac:dyDescent="0.2">
      <c r="B85" s="129"/>
      <c r="C85" s="129"/>
      <c r="D85" s="129"/>
      <c r="E85" s="129"/>
      <c r="F85" s="129"/>
      <c r="G85" s="129"/>
      <c r="H85" s="84" t="s">
        <v>4</v>
      </c>
      <c r="I85" s="14">
        <f>SUMIF($H$72:$H$83,"фед*",I$72:I$83)</f>
        <v>360.87</v>
      </c>
      <c r="J85" s="14">
        <f t="shared" ref="J85:O85" si="41">SUMIF($H$72:$H$83,"фед*",J$72:J$83)</f>
        <v>0</v>
      </c>
      <c r="K85" s="14">
        <f t="shared" si="41"/>
        <v>0</v>
      </c>
      <c r="L85" s="14">
        <f t="shared" si="41"/>
        <v>358.3</v>
      </c>
      <c r="M85" s="14">
        <f t="shared" si="41"/>
        <v>2.57</v>
      </c>
      <c r="N85" s="14">
        <f t="shared" si="41"/>
        <v>0</v>
      </c>
      <c r="O85" s="14">
        <f t="shared" si="41"/>
        <v>0</v>
      </c>
      <c r="P85" s="129"/>
      <c r="Q85" s="7"/>
    </row>
    <row r="86" spans="2:17" ht="15.75" x14ac:dyDescent="0.2">
      <c r="B86" s="129"/>
      <c r="C86" s="129"/>
      <c r="D86" s="129"/>
      <c r="E86" s="129"/>
      <c r="F86" s="129"/>
      <c r="G86" s="129"/>
      <c r="H86" s="84" t="s">
        <v>6</v>
      </c>
      <c r="I86" s="14">
        <f>SUMIF($H$72:$H$83,"конс*",I$72:I$83)</f>
        <v>3.63</v>
      </c>
      <c r="J86" s="14">
        <f t="shared" ref="J86:O86" si="42">SUMIF($H$72:$H$83,"конс*",J$72:J$83)</f>
        <v>0</v>
      </c>
      <c r="K86" s="14">
        <f t="shared" si="42"/>
        <v>0</v>
      </c>
      <c r="L86" s="14">
        <f t="shared" si="42"/>
        <v>3.6</v>
      </c>
      <c r="M86" s="14">
        <f t="shared" si="42"/>
        <v>0.03</v>
      </c>
      <c r="N86" s="14">
        <f t="shared" si="42"/>
        <v>0</v>
      </c>
      <c r="O86" s="14">
        <f t="shared" si="42"/>
        <v>0</v>
      </c>
      <c r="P86" s="129"/>
      <c r="Q86" s="7"/>
    </row>
    <row r="87" spans="2:17" ht="15.75" x14ac:dyDescent="0.2">
      <c r="B87" s="130"/>
      <c r="C87" s="130"/>
      <c r="D87" s="130"/>
      <c r="E87" s="130"/>
      <c r="F87" s="130"/>
      <c r="G87" s="130"/>
      <c r="H87" s="84" t="s">
        <v>5</v>
      </c>
      <c r="I87" s="14">
        <f>SUMIF($H$72:$H$83,"вне*",I$72:I$83)</f>
        <v>0</v>
      </c>
      <c r="J87" s="14">
        <f t="shared" ref="J87:O87" si="43">SUMIF($H$72:$H$83,"вне*",J$72:J$83)</f>
        <v>0</v>
      </c>
      <c r="K87" s="14">
        <f t="shared" si="43"/>
        <v>0</v>
      </c>
      <c r="L87" s="14">
        <f t="shared" si="43"/>
        <v>0</v>
      </c>
      <c r="M87" s="14">
        <f t="shared" si="43"/>
        <v>0</v>
      </c>
      <c r="N87" s="14">
        <f t="shared" si="43"/>
        <v>0</v>
      </c>
      <c r="O87" s="14">
        <f t="shared" si="43"/>
        <v>0</v>
      </c>
      <c r="P87" s="130"/>
      <c r="Q87" s="7"/>
    </row>
    <row r="88" spans="2:17" ht="25.5" customHeight="1" x14ac:dyDescent="0.2">
      <c r="B88" s="111" t="s">
        <v>350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</row>
    <row r="89" spans="2:17" ht="42.75" customHeight="1" outlineLevel="1" x14ac:dyDescent="0.2">
      <c r="B89" s="117" t="s">
        <v>1729</v>
      </c>
      <c r="C89" s="117" t="s">
        <v>1730</v>
      </c>
      <c r="D89" s="150" t="s">
        <v>350</v>
      </c>
      <c r="E89" s="117" t="s">
        <v>61</v>
      </c>
      <c r="F89" s="117"/>
      <c r="G89" s="117" t="s">
        <v>1731</v>
      </c>
      <c r="H89" s="84" t="s">
        <v>3</v>
      </c>
      <c r="I89" s="83">
        <f>SUM(J89:O89)</f>
        <v>99.5</v>
      </c>
      <c r="J89" s="83">
        <f t="shared" ref="J89:O89" si="44">J90+J91+J92</f>
        <v>0</v>
      </c>
      <c r="K89" s="83">
        <f t="shared" si="44"/>
        <v>0</v>
      </c>
      <c r="L89" s="83">
        <f t="shared" si="44"/>
        <v>50</v>
      </c>
      <c r="M89" s="83">
        <f t="shared" si="44"/>
        <v>49.5</v>
      </c>
      <c r="N89" s="83">
        <f t="shared" si="44"/>
        <v>0</v>
      </c>
      <c r="O89" s="83">
        <f t="shared" si="44"/>
        <v>0</v>
      </c>
      <c r="P89" s="178"/>
    </row>
    <row r="90" spans="2:17" ht="17.25" customHeight="1" outlineLevel="1" x14ac:dyDescent="0.2">
      <c r="B90" s="118"/>
      <c r="C90" s="118"/>
      <c r="D90" s="151"/>
      <c r="E90" s="118"/>
      <c r="F90" s="118"/>
      <c r="G90" s="118"/>
      <c r="H90" s="84" t="s">
        <v>4</v>
      </c>
      <c r="I90" s="83">
        <f>SUM(J90:O90)</f>
        <v>90</v>
      </c>
      <c r="J90" s="83"/>
      <c r="K90" s="83"/>
      <c r="L90" s="75">
        <v>45.5</v>
      </c>
      <c r="M90" s="83">
        <v>44.5</v>
      </c>
      <c r="N90" s="83"/>
      <c r="O90" s="83"/>
      <c r="P90" s="178"/>
    </row>
    <row r="91" spans="2:17" ht="17.25" customHeight="1" outlineLevel="1" x14ac:dyDescent="0.2">
      <c r="B91" s="118"/>
      <c r="C91" s="118"/>
      <c r="D91" s="151"/>
      <c r="E91" s="118"/>
      <c r="F91" s="118"/>
      <c r="G91" s="118"/>
      <c r="H91" s="84" t="s">
        <v>6</v>
      </c>
      <c r="I91" s="83">
        <f>SUM(J91:O91)</f>
        <v>4.5</v>
      </c>
      <c r="J91" s="83"/>
      <c r="K91" s="83"/>
      <c r="L91" s="75">
        <v>2.5</v>
      </c>
      <c r="M91" s="83">
        <v>2</v>
      </c>
      <c r="N91" s="83"/>
      <c r="O91" s="83"/>
      <c r="P91" s="178"/>
    </row>
    <row r="92" spans="2:17" ht="17.25" customHeight="1" outlineLevel="1" x14ac:dyDescent="0.2">
      <c r="B92" s="119"/>
      <c r="C92" s="119"/>
      <c r="D92" s="152"/>
      <c r="E92" s="119"/>
      <c r="F92" s="119"/>
      <c r="G92" s="119"/>
      <c r="H92" s="84" t="s">
        <v>5</v>
      </c>
      <c r="I92" s="83">
        <f>SUM(J92:O92)</f>
        <v>5</v>
      </c>
      <c r="J92" s="75"/>
      <c r="K92" s="75"/>
      <c r="L92" s="75">
        <v>2</v>
      </c>
      <c r="M92" s="75">
        <v>3</v>
      </c>
      <c r="N92" s="75"/>
      <c r="O92" s="75"/>
      <c r="P92" s="178"/>
    </row>
    <row r="93" spans="2:17" ht="42.75" x14ac:dyDescent="0.2">
      <c r="B93" s="128" t="s">
        <v>357</v>
      </c>
      <c r="C93" s="128" t="s">
        <v>38</v>
      </c>
      <c r="D93" s="128" t="s">
        <v>38</v>
      </c>
      <c r="E93" s="128" t="s">
        <v>38</v>
      </c>
      <c r="F93" s="128" t="s">
        <v>38</v>
      </c>
      <c r="G93" s="128" t="s">
        <v>38</v>
      </c>
      <c r="H93" s="84" t="s">
        <v>3</v>
      </c>
      <c r="I93" s="14">
        <f>SUMIF($H$89:$H$92,"Объем*",I$89:I$92)</f>
        <v>99.5</v>
      </c>
      <c r="J93" s="14">
        <f t="shared" ref="J93:O93" si="45">SUMIF($H$89:$H$92,"Объем*",J$89:J$92)</f>
        <v>0</v>
      </c>
      <c r="K93" s="14">
        <f t="shared" si="45"/>
        <v>0</v>
      </c>
      <c r="L93" s="14">
        <f t="shared" si="45"/>
        <v>50</v>
      </c>
      <c r="M93" s="14">
        <f t="shared" si="45"/>
        <v>49.5</v>
      </c>
      <c r="N93" s="14">
        <f t="shared" si="45"/>
        <v>0</v>
      </c>
      <c r="O93" s="14">
        <f t="shared" si="45"/>
        <v>0</v>
      </c>
      <c r="P93" s="128"/>
      <c r="Q93" s="7"/>
    </row>
    <row r="94" spans="2:17" ht="15.75" x14ac:dyDescent="0.2">
      <c r="B94" s="129"/>
      <c r="C94" s="129"/>
      <c r="D94" s="129"/>
      <c r="E94" s="129"/>
      <c r="F94" s="129"/>
      <c r="G94" s="129"/>
      <c r="H94" s="84" t="s">
        <v>4</v>
      </c>
      <c r="I94" s="14">
        <f>SUMIF($H$89:$H$92,"фед*",I$89:I$92)</f>
        <v>90</v>
      </c>
      <c r="J94" s="14">
        <f t="shared" ref="J94:O94" si="46">SUMIF($H$89:$H$92,"фед*",J$89:J$92)</f>
        <v>0</v>
      </c>
      <c r="K94" s="14">
        <f t="shared" si="46"/>
        <v>0</v>
      </c>
      <c r="L94" s="14">
        <f t="shared" si="46"/>
        <v>45.5</v>
      </c>
      <c r="M94" s="14">
        <f t="shared" si="46"/>
        <v>44.5</v>
      </c>
      <c r="N94" s="14">
        <f t="shared" si="46"/>
        <v>0</v>
      </c>
      <c r="O94" s="14">
        <f t="shared" si="46"/>
        <v>0</v>
      </c>
      <c r="P94" s="129"/>
    </row>
    <row r="95" spans="2:17" ht="15.75" x14ac:dyDescent="0.2">
      <c r="B95" s="129"/>
      <c r="C95" s="129"/>
      <c r="D95" s="129"/>
      <c r="E95" s="129"/>
      <c r="F95" s="129"/>
      <c r="G95" s="129"/>
      <c r="H95" s="84" t="s">
        <v>6</v>
      </c>
      <c r="I95" s="14">
        <f>SUMIF($H$89:$H$92,"конс*",I$89:I$92)</f>
        <v>4.5</v>
      </c>
      <c r="J95" s="14">
        <f t="shared" ref="J95:O95" si="47">SUMIF($H$89:$H$92,"конс*",J$89:J$92)</f>
        <v>0</v>
      </c>
      <c r="K95" s="14">
        <f t="shared" si="47"/>
        <v>0</v>
      </c>
      <c r="L95" s="14">
        <f t="shared" si="47"/>
        <v>2.5</v>
      </c>
      <c r="M95" s="14">
        <f t="shared" si="47"/>
        <v>2</v>
      </c>
      <c r="N95" s="14">
        <f t="shared" si="47"/>
        <v>0</v>
      </c>
      <c r="O95" s="14">
        <f t="shared" si="47"/>
        <v>0</v>
      </c>
      <c r="P95" s="129"/>
    </row>
    <row r="96" spans="2:17" ht="15.75" x14ac:dyDescent="0.2">
      <c r="B96" s="130"/>
      <c r="C96" s="130"/>
      <c r="D96" s="130"/>
      <c r="E96" s="130"/>
      <c r="F96" s="130"/>
      <c r="G96" s="130"/>
      <c r="H96" s="84" t="s">
        <v>5</v>
      </c>
      <c r="I96" s="14">
        <f>SUMIF($H$89:$H$92,"вне*",I$89:I$92)</f>
        <v>5</v>
      </c>
      <c r="J96" s="14">
        <f t="shared" ref="J96:O96" si="48">SUMIF($H$89:$H$92,"вне*",J$89:J$92)</f>
        <v>0</v>
      </c>
      <c r="K96" s="14">
        <f t="shared" si="48"/>
        <v>0</v>
      </c>
      <c r="L96" s="14">
        <f t="shared" si="48"/>
        <v>2</v>
      </c>
      <c r="M96" s="14">
        <f t="shared" si="48"/>
        <v>3</v>
      </c>
      <c r="N96" s="14">
        <f t="shared" si="48"/>
        <v>0</v>
      </c>
      <c r="O96" s="14">
        <f t="shared" si="48"/>
        <v>0</v>
      </c>
      <c r="P96" s="130"/>
    </row>
    <row r="97" spans="2:16" ht="25.5" customHeight="1" x14ac:dyDescent="0.2">
      <c r="B97" s="111" t="s">
        <v>47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3"/>
    </row>
    <row r="98" spans="2:16" ht="42.75" outlineLevel="1" x14ac:dyDescent="0.2">
      <c r="B98" s="117" t="s">
        <v>1708</v>
      </c>
      <c r="C98" s="117" t="s">
        <v>1709</v>
      </c>
      <c r="D98" s="117" t="s">
        <v>47</v>
      </c>
      <c r="E98" s="117" t="s">
        <v>330</v>
      </c>
      <c r="F98" s="117"/>
      <c r="G98" s="117" t="s">
        <v>1710</v>
      </c>
      <c r="H98" s="84" t="s">
        <v>3</v>
      </c>
      <c r="I98" s="83">
        <f t="shared" ref="I98:I121" si="49">SUM(J98:O98)</f>
        <v>20.350000000000001</v>
      </c>
      <c r="J98" s="83">
        <f t="shared" ref="J98:O98" si="50">J99+J100+J101</f>
        <v>6.35</v>
      </c>
      <c r="K98" s="83">
        <f t="shared" si="50"/>
        <v>2.8</v>
      </c>
      <c r="L98" s="83">
        <f t="shared" si="50"/>
        <v>2.8</v>
      </c>
      <c r="M98" s="83">
        <f t="shared" si="50"/>
        <v>2.8</v>
      </c>
      <c r="N98" s="83">
        <f t="shared" si="50"/>
        <v>2.8</v>
      </c>
      <c r="O98" s="83">
        <f t="shared" si="50"/>
        <v>2.8</v>
      </c>
      <c r="P98" s="117"/>
    </row>
    <row r="99" spans="2:16" outlineLevel="1" x14ac:dyDescent="0.2">
      <c r="B99" s="118"/>
      <c r="C99" s="132"/>
      <c r="D99" s="118"/>
      <c r="E99" s="118"/>
      <c r="F99" s="118"/>
      <c r="G99" s="118"/>
      <c r="H99" s="84" t="s">
        <v>4</v>
      </c>
      <c r="I99" s="83">
        <f t="shared" si="49"/>
        <v>0</v>
      </c>
      <c r="J99" s="75"/>
      <c r="K99" s="75"/>
      <c r="L99" s="75"/>
      <c r="M99" s="75"/>
      <c r="N99" s="75"/>
      <c r="O99" s="75"/>
      <c r="P99" s="118"/>
    </row>
    <row r="100" spans="2:16" outlineLevel="1" x14ac:dyDescent="0.2">
      <c r="B100" s="118"/>
      <c r="C100" s="132"/>
      <c r="D100" s="118"/>
      <c r="E100" s="118"/>
      <c r="F100" s="118"/>
      <c r="G100" s="118"/>
      <c r="H100" s="84" t="s">
        <v>6</v>
      </c>
      <c r="I100" s="83">
        <f t="shared" si="49"/>
        <v>20.350000000000001</v>
      </c>
      <c r="J100" s="75">
        <v>6.35</v>
      </c>
      <c r="K100" s="75">
        <v>2.8</v>
      </c>
      <c r="L100" s="75">
        <v>2.8</v>
      </c>
      <c r="M100" s="75">
        <v>2.8</v>
      </c>
      <c r="N100" s="75">
        <v>2.8</v>
      </c>
      <c r="O100" s="75">
        <v>2.8</v>
      </c>
      <c r="P100" s="118"/>
    </row>
    <row r="101" spans="2:16" outlineLevel="1" x14ac:dyDescent="0.2">
      <c r="B101" s="119"/>
      <c r="C101" s="133"/>
      <c r="D101" s="119"/>
      <c r="E101" s="119"/>
      <c r="F101" s="119"/>
      <c r="G101" s="119"/>
      <c r="H101" s="84" t="s">
        <v>5</v>
      </c>
      <c r="I101" s="83">
        <f t="shared" si="49"/>
        <v>0</v>
      </c>
      <c r="J101" s="75"/>
      <c r="K101" s="75"/>
      <c r="L101" s="75"/>
      <c r="M101" s="75"/>
      <c r="N101" s="75"/>
      <c r="O101" s="75"/>
      <c r="P101" s="119"/>
    </row>
    <row r="102" spans="2:16" ht="42.75" outlineLevel="1" x14ac:dyDescent="0.2">
      <c r="B102" s="117" t="s">
        <v>1732</v>
      </c>
      <c r="C102" s="117"/>
      <c r="D102" s="117" t="s">
        <v>1733</v>
      </c>
      <c r="E102" s="117" t="s">
        <v>203</v>
      </c>
      <c r="F102" s="117" t="s">
        <v>1734</v>
      </c>
      <c r="G102" s="117" t="s">
        <v>138</v>
      </c>
      <c r="H102" s="84" t="s">
        <v>3</v>
      </c>
      <c r="I102" s="83">
        <f t="shared" si="49"/>
        <v>1</v>
      </c>
      <c r="J102" s="83">
        <f t="shared" ref="J102:O102" si="51">J103+J104+J105</f>
        <v>1</v>
      </c>
      <c r="K102" s="83">
        <f t="shared" si="51"/>
        <v>0</v>
      </c>
      <c r="L102" s="83">
        <f t="shared" si="51"/>
        <v>0</v>
      </c>
      <c r="M102" s="83">
        <f t="shared" si="51"/>
        <v>0</v>
      </c>
      <c r="N102" s="83">
        <f t="shared" si="51"/>
        <v>0</v>
      </c>
      <c r="O102" s="83">
        <f t="shared" si="51"/>
        <v>0</v>
      </c>
      <c r="P102" s="117"/>
    </row>
    <row r="103" spans="2:16" outlineLevel="1" x14ac:dyDescent="0.2">
      <c r="B103" s="118"/>
      <c r="C103" s="132"/>
      <c r="D103" s="118"/>
      <c r="E103" s="118"/>
      <c r="F103" s="118"/>
      <c r="G103" s="118"/>
      <c r="H103" s="84" t="s">
        <v>4</v>
      </c>
      <c r="I103" s="83">
        <f t="shared" si="49"/>
        <v>0</v>
      </c>
      <c r="J103" s="75"/>
      <c r="K103" s="75"/>
      <c r="L103" s="75"/>
      <c r="M103" s="75"/>
      <c r="N103" s="75"/>
      <c r="O103" s="75"/>
      <c r="P103" s="118"/>
    </row>
    <row r="104" spans="2:16" outlineLevel="1" x14ac:dyDescent="0.2">
      <c r="B104" s="118"/>
      <c r="C104" s="132"/>
      <c r="D104" s="118"/>
      <c r="E104" s="118"/>
      <c r="F104" s="118"/>
      <c r="G104" s="118"/>
      <c r="H104" s="84" t="s">
        <v>6</v>
      </c>
      <c r="I104" s="83">
        <f t="shared" si="49"/>
        <v>1</v>
      </c>
      <c r="J104" s="75">
        <v>1</v>
      </c>
      <c r="K104" s="75"/>
      <c r="L104" s="75"/>
      <c r="M104" s="75"/>
      <c r="N104" s="75"/>
      <c r="O104" s="75"/>
      <c r="P104" s="118"/>
    </row>
    <row r="105" spans="2:16" outlineLevel="1" x14ac:dyDescent="0.2">
      <c r="B105" s="119"/>
      <c r="C105" s="133"/>
      <c r="D105" s="119"/>
      <c r="E105" s="119"/>
      <c r="F105" s="119"/>
      <c r="G105" s="119"/>
      <c r="H105" s="84" t="s">
        <v>5</v>
      </c>
      <c r="I105" s="83">
        <f t="shared" si="49"/>
        <v>0</v>
      </c>
      <c r="J105" s="75"/>
      <c r="K105" s="75"/>
      <c r="L105" s="75"/>
      <c r="M105" s="75"/>
      <c r="N105" s="75"/>
      <c r="O105" s="75"/>
      <c r="P105" s="119"/>
    </row>
    <row r="106" spans="2:16" ht="42.75" outlineLevel="1" x14ac:dyDescent="0.2">
      <c r="B106" s="117" t="s">
        <v>1735</v>
      </c>
      <c r="C106" s="117"/>
      <c r="D106" s="117" t="s">
        <v>1733</v>
      </c>
      <c r="E106" s="117">
        <v>2021</v>
      </c>
      <c r="F106" s="117">
        <v>1065</v>
      </c>
      <c r="G106" s="117" t="s">
        <v>138</v>
      </c>
      <c r="H106" s="84" t="s">
        <v>3</v>
      </c>
      <c r="I106" s="83">
        <f t="shared" si="49"/>
        <v>2</v>
      </c>
      <c r="J106" s="83">
        <f t="shared" ref="J106:O106" si="52">J107+J108+J109</f>
        <v>0</v>
      </c>
      <c r="K106" s="83">
        <f t="shared" si="52"/>
        <v>2</v>
      </c>
      <c r="L106" s="83">
        <f t="shared" si="52"/>
        <v>0</v>
      </c>
      <c r="M106" s="83">
        <f t="shared" si="52"/>
        <v>0</v>
      </c>
      <c r="N106" s="83">
        <f t="shared" si="52"/>
        <v>0</v>
      </c>
      <c r="O106" s="83">
        <f t="shared" si="52"/>
        <v>0</v>
      </c>
      <c r="P106" s="117"/>
    </row>
    <row r="107" spans="2:16" outlineLevel="1" x14ac:dyDescent="0.2">
      <c r="B107" s="118"/>
      <c r="C107" s="132"/>
      <c r="D107" s="118"/>
      <c r="E107" s="118"/>
      <c r="F107" s="118"/>
      <c r="G107" s="118"/>
      <c r="H107" s="84" t="s">
        <v>4</v>
      </c>
      <c r="I107" s="83">
        <f t="shared" si="49"/>
        <v>0</v>
      </c>
      <c r="J107" s="75"/>
      <c r="K107" s="75"/>
      <c r="L107" s="75"/>
      <c r="M107" s="75"/>
      <c r="N107" s="75"/>
      <c r="O107" s="75"/>
      <c r="P107" s="118"/>
    </row>
    <row r="108" spans="2:16" outlineLevel="1" x14ac:dyDescent="0.2">
      <c r="B108" s="118"/>
      <c r="C108" s="132"/>
      <c r="D108" s="118"/>
      <c r="E108" s="118"/>
      <c r="F108" s="118"/>
      <c r="G108" s="118"/>
      <c r="H108" s="84" t="s">
        <v>6</v>
      </c>
      <c r="I108" s="83">
        <f t="shared" si="49"/>
        <v>2</v>
      </c>
      <c r="J108" s="75"/>
      <c r="K108" s="75">
        <v>2</v>
      </c>
      <c r="L108" s="75"/>
      <c r="M108" s="75"/>
      <c r="N108" s="75"/>
      <c r="O108" s="75"/>
      <c r="P108" s="118"/>
    </row>
    <row r="109" spans="2:16" outlineLevel="1" x14ac:dyDescent="0.2">
      <c r="B109" s="119"/>
      <c r="C109" s="133"/>
      <c r="D109" s="119"/>
      <c r="E109" s="119"/>
      <c r="F109" s="119"/>
      <c r="G109" s="119"/>
      <c r="H109" s="84" t="s">
        <v>5</v>
      </c>
      <c r="I109" s="83">
        <f t="shared" si="49"/>
        <v>0</v>
      </c>
      <c r="J109" s="75"/>
      <c r="K109" s="75"/>
      <c r="L109" s="75"/>
      <c r="M109" s="75"/>
      <c r="N109" s="75"/>
      <c r="O109" s="75"/>
      <c r="P109" s="119"/>
    </row>
    <row r="110" spans="2:16" ht="42.75" outlineLevel="1" x14ac:dyDescent="0.2">
      <c r="B110" s="117" t="s">
        <v>1736</v>
      </c>
      <c r="C110" s="117"/>
      <c r="D110" s="117" t="s">
        <v>1733</v>
      </c>
      <c r="E110" s="117" t="s">
        <v>50</v>
      </c>
      <c r="F110" s="117">
        <v>1065</v>
      </c>
      <c r="G110" s="117" t="s">
        <v>1737</v>
      </c>
      <c r="H110" s="84" t="s">
        <v>3</v>
      </c>
      <c r="I110" s="83">
        <f t="shared" si="49"/>
        <v>10</v>
      </c>
      <c r="J110" s="83">
        <f t="shared" ref="J110:O110" si="53">J111+J112+J113</f>
        <v>0</v>
      </c>
      <c r="K110" s="83">
        <f t="shared" si="53"/>
        <v>0</v>
      </c>
      <c r="L110" s="83">
        <f t="shared" si="53"/>
        <v>10</v>
      </c>
      <c r="M110" s="83">
        <f t="shared" si="53"/>
        <v>0</v>
      </c>
      <c r="N110" s="83">
        <f t="shared" si="53"/>
        <v>0</v>
      </c>
      <c r="O110" s="83">
        <f t="shared" si="53"/>
        <v>0</v>
      </c>
      <c r="P110" s="117"/>
    </row>
    <row r="111" spans="2:16" outlineLevel="1" x14ac:dyDescent="0.2">
      <c r="B111" s="118"/>
      <c r="C111" s="132"/>
      <c r="D111" s="118"/>
      <c r="E111" s="118"/>
      <c r="F111" s="118"/>
      <c r="G111" s="118"/>
      <c r="H111" s="84" t="s">
        <v>4</v>
      </c>
      <c r="I111" s="83">
        <f t="shared" si="49"/>
        <v>9</v>
      </c>
      <c r="J111" s="75"/>
      <c r="K111" s="75"/>
      <c r="L111" s="75">
        <v>9</v>
      </c>
      <c r="M111" s="75"/>
      <c r="N111" s="75"/>
      <c r="O111" s="75"/>
      <c r="P111" s="118"/>
    </row>
    <row r="112" spans="2:16" outlineLevel="1" x14ac:dyDescent="0.2">
      <c r="B112" s="118"/>
      <c r="C112" s="132"/>
      <c r="D112" s="118"/>
      <c r="E112" s="118"/>
      <c r="F112" s="118"/>
      <c r="G112" s="118"/>
      <c r="H112" s="84" t="s">
        <v>6</v>
      </c>
      <c r="I112" s="83">
        <f t="shared" si="49"/>
        <v>1</v>
      </c>
      <c r="J112" s="75"/>
      <c r="K112" s="75"/>
      <c r="L112" s="75">
        <v>1</v>
      </c>
      <c r="M112" s="75"/>
      <c r="N112" s="75"/>
      <c r="O112" s="75"/>
      <c r="P112" s="118"/>
    </row>
    <row r="113" spans="2:17" outlineLevel="1" x14ac:dyDescent="0.2">
      <c r="B113" s="119"/>
      <c r="C113" s="133"/>
      <c r="D113" s="119"/>
      <c r="E113" s="119"/>
      <c r="F113" s="119"/>
      <c r="G113" s="119"/>
      <c r="H113" s="84" t="s">
        <v>5</v>
      </c>
      <c r="I113" s="83">
        <f t="shared" si="49"/>
        <v>0</v>
      </c>
      <c r="J113" s="75"/>
      <c r="K113" s="75"/>
      <c r="L113" s="75"/>
      <c r="M113" s="75"/>
      <c r="N113" s="75"/>
      <c r="O113" s="75"/>
      <c r="P113" s="119"/>
    </row>
    <row r="114" spans="2:17" ht="42.75" outlineLevel="1" x14ac:dyDescent="0.2">
      <c r="B114" s="117" t="s">
        <v>1738</v>
      </c>
      <c r="C114" s="117"/>
      <c r="D114" s="117" t="s">
        <v>1739</v>
      </c>
      <c r="E114" s="117" t="s">
        <v>50</v>
      </c>
      <c r="F114" s="117"/>
      <c r="G114" s="117" t="s">
        <v>1737</v>
      </c>
      <c r="H114" s="84" t="s">
        <v>3</v>
      </c>
      <c r="I114" s="83">
        <f t="shared" si="49"/>
        <v>7</v>
      </c>
      <c r="J114" s="83">
        <f t="shared" ref="J114:O114" si="54">J115+J116+J117</f>
        <v>0</v>
      </c>
      <c r="K114" s="83">
        <f t="shared" si="54"/>
        <v>7</v>
      </c>
      <c r="L114" s="83">
        <f t="shared" si="54"/>
        <v>0</v>
      </c>
      <c r="M114" s="83">
        <f t="shared" si="54"/>
        <v>0</v>
      </c>
      <c r="N114" s="83">
        <f t="shared" si="54"/>
        <v>0</v>
      </c>
      <c r="O114" s="83">
        <f t="shared" si="54"/>
        <v>0</v>
      </c>
      <c r="P114" s="117"/>
    </row>
    <row r="115" spans="2:17" outlineLevel="1" x14ac:dyDescent="0.2">
      <c r="B115" s="118"/>
      <c r="C115" s="132"/>
      <c r="D115" s="118"/>
      <c r="E115" s="118"/>
      <c r="F115" s="118"/>
      <c r="G115" s="118"/>
      <c r="H115" s="84" t="s">
        <v>4</v>
      </c>
      <c r="I115" s="83">
        <f t="shared" si="49"/>
        <v>6.3</v>
      </c>
      <c r="J115" s="75"/>
      <c r="K115" s="75">
        <v>6.3</v>
      </c>
      <c r="L115" s="75"/>
      <c r="M115" s="75"/>
      <c r="N115" s="75"/>
      <c r="O115" s="75"/>
      <c r="P115" s="118"/>
    </row>
    <row r="116" spans="2:17" outlineLevel="1" x14ac:dyDescent="0.2">
      <c r="B116" s="118"/>
      <c r="C116" s="132"/>
      <c r="D116" s="118"/>
      <c r="E116" s="118"/>
      <c r="F116" s="118"/>
      <c r="G116" s="118"/>
      <c r="H116" s="84" t="s">
        <v>6</v>
      </c>
      <c r="I116" s="83">
        <f t="shared" si="49"/>
        <v>0.7</v>
      </c>
      <c r="J116" s="75"/>
      <c r="K116" s="75">
        <v>0.7</v>
      </c>
      <c r="L116" s="75"/>
      <c r="M116" s="75"/>
      <c r="N116" s="75"/>
      <c r="O116" s="75"/>
      <c r="P116" s="118"/>
    </row>
    <row r="117" spans="2:17" outlineLevel="1" x14ac:dyDescent="0.2">
      <c r="B117" s="119"/>
      <c r="C117" s="133"/>
      <c r="D117" s="119"/>
      <c r="E117" s="119"/>
      <c r="F117" s="119"/>
      <c r="G117" s="119"/>
      <c r="H117" s="84" t="s">
        <v>5</v>
      </c>
      <c r="I117" s="83">
        <f t="shared" si="49"/>
        <v>0</v>
      </c>
      <c r="J117" s="75"/>
      <c r="K117" s="75"/>
      <c r="L117" s="75"/>
      <c r="M117" s="75"/>
      <c r="N117" s="75"/>
      <c r="O117" s="75"/>
      <c r="P117" s="119"/>
    </row>
    <row r="118" spans="2:17" ht="42.75" outlineLevel="1" x14ac:dyDescent="0.2">
      <c r="B118" s="117" t="s">
        <v>1740</v>
      </c>
      <c r="C118" s="117"/>
      <c r="D118" s="117" t="s">
        <v>1739</v>
      </c>
      <c r="E118" s="117">
        <v>2022</v>
      </c>
      <c r="F118" s="117"/>
      <c r="G118" s="117" t="s">
        <v>1737</v>
      </c>
      <c r="H118" s="84" t="s">
        <v>3</v>
      </c>
      <c r="I118" s="83">
        <f t="shared" si="49"/>
        <v>400</v>
      </c>
      <c r="J118" s="83">
        <f t="shared" ref="J118:O118" si="55">J119+J120+J121</f>
        <v>0</v>
      </c>
      <c r="K118" s="83">
        <f t="shared" si="55"/>
        <v>0</v>
      </c>
      <c r="L118" s="83">
        <f t="shared" si="55"/>
        <v>400</v>
      </c>
      <c r="M118" s="83">
        <f t="shared" si="55"/>
        <v>0</v>
      </c>
      <c r="N118" s="83">
        <f t="shared" si="55"/>
        <v>0</v>
      </c>
      <c r="O118" s="83">
        <f t="shared" si="55"/>
        <v>0</v>
      </c>
      <c r="P118" s="117"/>
    </row>
    <row r="119" spans="2:17" outlineLevel="1" x14ac:dyDescent="0.2">
      <c r="B119" s="118"/>
      <c r="C119" s="132"/>
      <c r="D119" s="118"/>
      <c r="E119" s="118"/>
      <c r="F119" s="118"/>
      <c r="G119" s="118"/>
      <c r="H119" s="84" t="s">
        <v>4</v>
      </c>
      <c r="I119" s="83">
        <f t="shared" si="49"/>
        <v>360</v>
      </c>
      <c r="J119" s="75"/>
      <c r="K119" s="75"/>
      <c r="L119" s="75">
        <v>360</v>
      </c>
      <c r="M119" s="75"/>
      <c r="N119" s="75"/>
      <c r="O119" s="75"/>
      <c r="P119" s="118"/>
    </row>
    <row r="120" spans="2:17" outlineLevel="1" x14ac:dyDescent="0.2">
      <c r="B120" s="118"/>
      <c r="C120" s="132"/>
      <c r="D120" s="118"/>
      <c r="E120" s="118"/>
      <c r="F120" s="118"/>
      <c r="G120" s="118"/>
      <c r="H120" s="84" t="s">
        <v>6</v>
      </c>
      <c r="I120" s="83">
        <f t="shared" si="49"/>
        <v>40</v>
      </c>
      <c r="J120" s="75"/>
      <c r="K120" s="75"/>
      <c r="L120" s="75">
        <v>40</v>
      </c>
      <c r="M120" s="75"/>
      <c r="N120" s="75"/>
      <c r="O120" s="75"/>
      <c r="P120" s="118"/>
    </row>
    <row r="121" spans="2:17" outlineLevel="1" x14ac:dyDescent="0.2">
      <c r="B121" s="119"/>
      <c r="C121" s="133"/>
      <c r="D121" s="119"/>
      <c r="E121" s="119"/>
      <c r="F121" s="119"/>
      <c r="G121" s="119"/>
      <c r="H121" s="84" t="s">
        <v>5</v>
      </c>
      <c r="I121" s="83">
        <f t="shared" si="49"/>
        <v>0</v>
      </c>
      <c r="J121" s="75"/>
      <c r="K121" s="75"/>
      <c r="L121" s="75"/>
      <c r="M121" s="75"/>
      <c r="N121" s="75"/>
      <c r="O121" s="75"/>
      <c r="P121" s="119"/>
    </row>
    <row r="122" spans="2:17" ht="42.75" x14ac:dyDescent="0.2">
      <c r="B122" s="128" t="s">
        <v>57</v>
      </c>
      <c r="C122" s="128" t="s">
        <v>38</v>
      </c>
      <c r="D122" s="128" t="s">
        <v>38</v>
      </c>
      <c r="E122" s="128" t="s">
        <v>38</v>
      </c>
      <c r="F122" s="128" t="s">
        <v>38</v>
      </c>
      <c r="G122" s="128" t="s">
        <v>38</v>
      </c>
      <c r="H122" s="84" t="s">
        <v>3</v>
      </c>
      <c r="I122" s="14">
        <f>SUMIF($H$98:$H$121,"Объем*",I$98:I$121)</f>
        <v>440.35</v>
      </c>
      <c r="J122" s="14">
        <f t="shared" ref="J122:O122" si="56">SUMIF($H$98:$H$121,"Объем*",J$98:J$121)</f>
        <v>7.35</v>
      </c>
      <c r="K122" s="14">
        <f t="shared" si="56"/>
        <v>11.8</v>
      </c>
      <c r="L122" s="14">
        <f t="shared" si="56"/>
        <v>412.8</v>
      </c>
      <c r="M122" s="14">
        <f t="shared" si="56"/>
        <v>2.8</v>
      </c>
      <c r="N122" s="14">
        <f t="shared" si="56"/>
        <v>2.8</v>
      </c>
      <c r="O122" s="14">
        <f t="shared" si="56"/>
        <v>2.8</v>
      </c>
      <c r="P122" s="128"/>
      <c r="Q122" s="7"/>
    </row>
    <row r="123" spans="2:17" ht="15.75" x14ac:dyDescent="0.2">
      <c r="B123" s="129"/>
      <c r="C123" s="129"/>
      <c r="D123" s="129"/>
      <c r="E123" s="129"/>
      <c r="F123" s="129"/>
      <c r="G123" s="129"/>
      <c r="H123" s="84" t="s">
        <v>4</v>
      </c>
      <c r="I123" s="14">
        <f>SUMIF($H$98:$H$121,"фед*",I$98:I$121)</f>
        <v>375.3</v>
      </c>
      <c r="J123" s="14">
        <f t="shared" ref="J123:O123" si="57">SUMIF($H$98:$H$121,"фед*",J$98:J$121)</f>
        <v>0</v>
      </c>
      <c r="K123" s="14">
        <f t="shared" si="57"/>
        <v>6.3</v>
      </c>
      <c r="L123" s="14">
        <f t="shared" si="57"/>
        <v>369</v>
      </c>
      <c r="M123" s="14">
        <f t="shared" si="57"/>
        <v>0</v>
      </c>
      <c r="N123" s="14">
        <f t="shared" si="57"/>
        <v>0</v>
      </c>
      <c r="O123" s="14">
        <f t="shared" si="57"/>
        <v>0</v>
      </c>
      <c r="P123" s="129"/>
      <c r="Q123" s="7"/>
    </row>
    <row r="124" spans="2:17" ht="15.75" x14ac:dyDescent="0.2">
      <c r="B124" s="129"/>
      <c r="C124" s="129"/>
      <c r="D124" s="129"/>
      <c r="E124" s="129"/>
      <c r="F124" s="129"/>
      <c r="G124" s="129"/>
      <c r="H124" s="84" t="s">
        <v>6</v>
      </c>
      <c r="I124" s="14">
        <f>SUMIF($H$98:$H$121,"конс*",I$98:I$121)</f>
        <v>65.05</v>
      </c>
      <c r="J124" s="14">
        <f t="shared" ref="J124:O124" si="58">SUMIF($H$98:$H$121,"конс*",J$98:J$121)</f>
        <v>7.35</v>
      </c>
      <c r="K124" s="14">
        <f t="shared" si="58"/>
        <v>5.5</v>
      </c>
      <c r="L124" s="14">
        <f t="shared" si="58"/>
        <v>43.8</v>
      </c>
      <c r="M124" s="14">
        <f t="shared" si="58"/>
        <v>2.8</v>
      </c>
      <c r="N124" s="14">
        <f t="shared" si="58"/>
        <v>2.8</v>
      </c>
      <c r="O124" s="14">
        <f t="shared" si="58"/>
        <v>2.8</v>
      </c>
      <c r="P124" s="129"/>
      <c r="Q124" s="7"/>
    </row>
    <row r="125" spans="2:17" ht="15.75" x14ac:dyDescent="0.2">
      <c r="B125" s="130"/>
      <c r="C125" s="130"/>
      <c r="D125" s="130"/>
      <c r="E125" s="130"/>
      <c r="F125" s="130"/>
      <c r="G125" s="130"/>
      <c r="H125" s="84" t="s">
        <v>5</v>
      </c>
      <c r="I125" s="14">
        <f>SUMIF($H$98:$H$121,"вне*",I$98:I$121)</f>
        <v>0</v>
      </c>
      <c r="J125" s="14">
        <f t="shared" ref="J125:O125" si="59">SUMIF($H$98:$H$121,"вне*",J$98:J$121)</f>
        <v>0</v>
      </c>
      <c r="K125" s="14">
        <f t="shared" si="59"/>
        <v>0</v>
      </c>
      <c r="L125" s="14">
        <f t="shared" si="59"/>
        <v>0</v>
      </c>
      <c r="M125" s="14">
        <f t="shared" si="59"/>
        <v>0</v>
      </c>
      <c r="N125" s="14">
        <f t="shared" si="59"/>
        <v>0</v>
      </c>
      <c r="O125" s="14">
        <f t="shared" si="59"/>
        <v>0</v>
      </c>
      <c r="P125" s="130"/>
      <c r="Q125" s="7"/>
    </row>
    <row r="126" spans="2:17" ht="25.5" customHeight="1" x14ac:dyDescent="0.2">
      <c r="B126" s="111" t="s">
        <v>409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3"/>
    </row>
    <row r="127" spans="2:17" ht="42.75" outlineLevel="1" x14ac:dyDescent="0.2">
      <c r="B127" s="117" t="s">
        <v>1741</v>
      </c>
      <c r="C127" s="117" t="s">
        <v>1705</v>
      </c>
      <c r="D127" s="117" t="s">
        <v>409</v>
      </c>
      <c r="E127" s="117">
        <v>2024</v>
      </c>
      <c r="F127" s="117"/>
      <c r="G127" s="117" t="s">
        <v>138</v>
      </c>
      <c r="H127" s="84" t="s">
        <v>3</v>
      </c>
      <c r="I127" s="83">
        <f t="shared" ref="I127:I130" si="60">SUM(J127:O127)</f>
        <v>122.3</v>
      </c>
      <c r="J127" s="83">
        <f t="shared" ref="J127:O127" si="61">J128+J129+J130</f>
        <v>0</v>
      </c>
      <c r="K127" s="83">
        <f t="shared" si="61"/>
        <v>0</v>
      </c>
      <c r="L127" s="83">
        <f t="shared" si="61"/>
        <v>0</v>
      </c>
      <c r="M127" s="83">
        <f t="shared" si="61"/>
        <v>0</v>
      </c>
      <c r="N127" s="83">
        <f t="shared" si="61"/>
        <v>122.3</v>
      </c>
      <c r="O127" s="83">
        <f t="shared" si="61"/>
        <v>0</v>
      </c>
      <c r="P127" s="117"/>
    </row>
    <row r="128" spans="2:17" outlineLevel="1" x14ac:dyDescent="0.2">
      <c r="B128" s="118"/>
      <c r="C128" s="132"/>
      <c r="D128" s="118"/>
      <c r="E128" s="118"/>
      <c r="F128" s="118"/>
      <c r="G128" s="118"/>
      <c r="H128" s="84" t="s">
        <v>4</v>
      </c>
      <c r="I128" s="83">
        <f t="shared" si="60"/>
        <v>121.1</v>
      </c>
      <c r="J128" s="75"/>
      <c r="K128" s="75"/>
      <c r="L128" s="75"/>
      <c r="M128" s="75"/>
      <c r="N128" s="75">
        <v>121.1</v>
      </c>
      <c r="O128" s="75"/>
      <c r="P128" s="118"/>
    </row>
    <row r="129" spans="2:17" outlineLevel="1" x14ac:dyDescent="0.2">
      <c r="B129" s="118"/>
      <c r="C129" s="132"/>
      <c r="D129" s="118"/>
      <c r="E129" s="118"/>
      <c r="F129" s="118"/>
      <c r="G129" s="118"/>
      <c r="H129" s="84" t="s">
        <v>6</v>
      </c>
      <c r="I129" s="83">
        <f t="shared" si="60"/>
        <v>1.2</v>
      </c>
      <c r="J129" s="75"/>
      <c r="K129" s="75"/>
      <c r="L129" s="75"/>
      <c r="M129" s="75"/>
      <c r="N129" s="75">
        <v>1.2</v>
      </c>
      <c r="O129" s="75"/>
      <c r="P129" s="118"/>
    </row>
    <row r="130" spans="2:17" outlineLevel="1" x14ac:dyDescent="0.2">
      <c r="B130" s="119"/>
      <c r="C130" s="133"/>
      <c r="D130" s="119"/>
      <c r="E130" s="119"/>
      <c r="F130" s="119"/>
      <c r="G130" s="119"/>
      <c r="H130" s="84" t="s">
        <v>5</v>
      </c>
      <c r="I130" s="83">
        <f t="shared" si="60"/>
        <v>0</v>
      </c>
      <c r="J130" s="75"/>
      <c r="K130" s="75"/>
      <c r="L130" s="75"/>
      <c r="M130" s="75"/>
      <c r="N130" s="75"/>
      <c r="O130" s="75"/>
      <c r="P130" s="119"/>
    </row>
    <row r="131" spans="2:17" ht="42.75" x14ac:dyDescent="0.2">
      <c r="B131" s="128" t="s">
        <v>414</v>
      </c>
      <c r="C131" s="128" t="s">
        <v>38</v>
      </c>
      <c r="D131" s="128" t="s">
        <v>38</v>
      </c>
      <c r="E131" s="128" t="s">
        <v>38</v>
      </c>
      <c r="F131" s="128" t="s">
        <v>38</v>
      </c>
      <c r="G131" s="128" t="s">
        <v>38</v>
      </c>
      <c r="H131" s="84" t="s">
        <v>3</v>
      </c>
      <c r="I131" s="14">
        <f>SUMIF($H$127:$H$130,"Объем*",I$127:I$130)</f>
        <v>122.3</v>
      </c>
      <c r="J131" s="14">
        <f t="shared" ref="J131:O131" si="62">SUMIF($H$127:$H$130,"Объем*",J$127:J$130)</f>
        <v>0</v>
      </c>
      <c r="K131" s="14">
        <f t="shared" si="62"/>
        <v>0</v>
      </c>
      <c r="L131" s="14">
        <f t="shared" si="62"/>
        <v>0</v>
      </c>
      <c r="M131" s="14">
        <f t="shared" si="62"/>
        <v>0</v>
      </c>
      <c r="N131" s="14">
        <f t="shared" si="62"/>
        <v>122.3</v>
      </c>
      <c r="O131" s="14">
        <f t="shared" si="62"/>
        <v>0</v>
      </c>
      <c r="P131" s="128"/>
      <c r="Q131" s="7"/>
    </row>
    <row r="132" spans="2:17" ht="15.75" x14ac:dyDescent="0.2">
      <c r="B132" s="129"/>
      <c r="C132" s="129"/>
      <c r="D132" s="129"/>
      <c r="E132" s="129"/>
      <c r="F132" s="129"/>
      <c r="G132" s="129"/>
      <c r="H132" s="84" t="s">
        <v>4</v>
      </c>
      <c r="I132" s="14">
        <f>SUMIF($H$127:$H$130,"фед*",I$127:I$130)</f>
        <v>121.1</v>
      </c>
      <c r="J132" s="14">
        <f t="shared" ref="J132:O132" si="63">SUMIF($H$127:$H$130,"фед*",J$127:J$130)</f>
        <v>0</v>
      </c>
      <c r="K132" s="14">
        <f t="shared" si="63"/>
        <v>0</v>
      </c>
      <c r="L132" s="14">
        <f t="shared" si="63"/>
        <v>0</v>
      </c>
      <c r="M132" s="14">
        <f t="shared" si="63"/>
        <v>0</v>
      </c>
      <c r="N132" s="14">
        <f t="shared" si="63"/>
        <v>121.1</v>
      </c>
      <c r="O132" s="14">
        <f t="shared" si="63"/>
        <v>0</v>
      </c>
      <c r="P132" s="129"/>
      <c r="Q132" s="7"/>
    </row>
    <row r="133" spans="2:17" ht="15.75" x14ac:dyDescent="0.2">
      <c r="B133" s="129"/>
      <c r="C133" s="129"/>
      <c r="D133" s="129"/>
      <c r="E133" s="129"/>
      <c r="F133" s="129"/>
      <c r="G133" s="129"/>
      <c r="H133" s="84" t="s">
        <v>6</v>
      </c>
      <c r="I133" s="14">
        <f>SUMIF($H$127:$H$130,"конс*",I$127:I$130)</f>
        <v>1.2</v>
      </c>
      <c r="J133" s="14">
        <f t="shared" ref="J133:O133" si="64">SUMIF($H$127:$H$130,"конс*",J$127:J$130)</f>
        <v>0</v>
      </c>
      <c r="K133" s="14">
        <f t="shared" si="64"/>
        <v>0</v>
      </c>
      <c r="L133" s="14">
        <f t="shared" si="64"/>
        <v>0</v>
      </c>
      <c r="M133" s="14">
        <f t="shared" si="64"/>
        <v>0</v>
      </c>
      <c r="N133" s="14">
        <f t="shared" si="64"/>
        <v>1.2</v>
      </c>
      <c r="O133" s="14">
        <f t="shared" si="64"/>
        <v>0</v>
      </c>
      <c r="P133" s="129"/>
      <c r="Q133" s="7"/>
    </row>
    <row r="134" spans="2:17" ht="15.75" x14ac:dyDescent="0.2">
      <c r="B134" s="130"/>
      <c r="C134" s="130"/>
      <c r="D134" s="130"/>
      <c r="E134" s="130"/>
      <c r="F134" s="130"/>
      <c r="G134" s="130"/>
      <c r="H134" s="84" t="s">
        <v>5</v>
      </c>
      <c r="I134" s="14">
        <f>SUMIF($H$127:$H$130,"вне*",I$127:I$130)</f>
        <v>0</v>
      </c>
      <c r="J134" s="14">
        <f t="shared" ref="J134:O134" si="65">SUMIF($H$127:$H$130,"вне*",J$127:J$130)</f>
        <v>0</v>
      </c>
      <c r="K134" s="14">
        <f t="shared" si="65"/>
        <v>0</v>
      </c>
      <c r="L134" s="14">
        <f t="shared" si="65"/>
        <v>0</v>
      </c>
      <c r="M134" s="14">
        <f t="shared" si="65"/>
        <v>0</v>
      </c>
      <c r="N134" s="14">
        <f t="shared" si="65"/>
        <v>0</v>
      </c>
      <c r="O134" s="14">
        <f t="shared" si="65"/>
        <v>0</v>
      </c>
      <c r="P134" s="130"/>
      <c r="Q134" s="7"/>
    </row>
    <row r="135" spans="2:17" ht="25.5" customHeight="1" x14ac:dyDescent="0.2">
      <c r="B135" s="111" t="s">
        <v>58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3"/>
    </row>
    <row r="136" spans="2:17" ht="42.75" outlineLevel="1" x14ac:dyDescent="0.2">
      <c r="B136" s="117" t="s">
        <v>1742</v>
      </c>
      <c r="C136" s="117" t="s">
        <v>1743</v>
      </c>
      <c r="D136" s="150" t="s">
        <v>58</v>
      </c>
      <c r="E136" s="117" t="s">
        <v>99</v>
      </c>
      <c r="F136" s="117"/>
      <c r="G136" s="139" t="s">
        <v>1213</v>
      </c>
      <c r="H136" s="84" t="s">
        <v>3</v>
      </c>
      <c r="I136" s="83">
        <f>SUM(J136:O136)</f>
        <v>30</v>
      </c>
      <c r="J136" s="85"/>
      <c r="K136" s="85">
        <v>2</v>
      </c>
      <c r="L136" s="85">
        <v>28</v>
      </c>
      <c r="M136" s="85"/>
      <c r="N136" s="85"/>
      <c r="O136" s="85"/>
      <c r="P136" s="178">
        <v>1138</v>
      </c>
    </row>
    <row r="137" spans="2:17" ht="17.25" customHeight="1" outlineLevel="1" x14ac:dyDescent="0.2">
      <c r="B137" s="118"/>
      <c r="C137" s="118"/>
      <c r="D137" s="151"/>
      <c r="E137" s="118"/>
      <c r="F137" s="118"/>
      <c r="G137" s="140"/>
      <c r="H137" s="84" t="s">
        <v>4</v>
      </c>
      <c r="I137" s="83">
        <f>SUM(J137:O137)</f>
        <v>21</v>
      </c>
      <c r="J137" s="85"/>
      <c r="K137" s="85"/>
      <c r="L137" s="85">
        <v>21</v>
      </c>
      <c r="M137" s="85"/>
      <c r="N137" s="85"/>
      <c r="O137" s="85"/>
      <c r="P137" s="178"/>
    </row>
    <row r="138" spans="2:17" ht="17.25" customHeight="1" outlineLevel="1" x14ac:dyDescent="0.2">
      <c r="B138" s="118"/>
      <c r="C138" s="118"/>
      <c r="D138" s="151"/>
      <c r="E138" s="118"/>
      <c r="F138" s="118"/>
      <c r="G138" s="140"/>
      <c r="H138" s="84" t="s">
        <v>6</v>
      </c>
      <c r="I138" s="83">
        <f>SUM(J138:O138)</f>
        <v>9</v>
      </c>
      <c r="J138" s="85"/>
      <c r="K138" s="85">
        <v>2</v>
      </c>
      <c r="L138" s="85">
        <v>7</v>
      </c>
      <c r="M138" s="85"/>
      <c r="N138" s="85"/>
      <c r="O138" s="85"/>
      <c r="P138" s="178"/>
    </row>
    <row r="139" spans="2:17" ht="17.25" customHeight="1" outlineLevel="1" x14ac:dyDescent="0.2">
      <c r="B139" s="119"/>
      <c r="C139" s="119"/>
      <c r="D139" s="152"/>
      <c r="E139" s="119"/>
      <c r="F139" s="119"/>
      <c r="G139" s="141"/>
      <c r="H139" s="84" t="s">
        <v>5</v>
      </c>
      <c r="I139" s="83"/>
      <c r="J139" s="85"/>
      <c r="K139" s="85"/>
      <c r="L139" s="85"/>
      <c r="M139" s="85"/>
      <c r="N139" s="85"/>
      <c r="O139" s="85"/>
      <c r="P139" s="178"/>
    </row>
    <row r="140" spans="2:17" ht="125.25" customHeight="1" outlineLevel="1" x14ac:dyDescent="0.2">
      <c r="B140" s="117" t="s">
        <v>1744</v>
      </c>
      <c r="C140" s="117" t="s">
        <v>1745</v>
      </c>
      <c r="D140" s="150" t="s">
        <v>58</v>
      </c>
      <c r="E140" s="117" t="s">
        <v>61</v>
      </c>
      <c r="F140" s="117"/>
      <c r="G140" s="117"/>
      <c r="H140" s="84" t="s">
        <v>3</v>
      </c>
      <c r="I140" s="83">
        <f>SUM(J140:O140)</f>
        <v>3</v>
      </c>
      <c r="J140" s="85"/>
      <c r="K140" s="85">
        <v>1</v>
      </c>
      <c r="L140" s="85">
        <v>2</v>
      </c>
      <c r="M140" s="85"/>
      <c r="N140" s="85"/>
      <c r="O140" s="85"/>
      <c r="P140" s="178"/>
    </row>
    <row r="141" spans="2:17" ht="17.25" customHeight="1" outlineLevel="1" x14ac:dyDescent="0.2">
      <c r="B141" s="118"/>
      <c r="C141" s="118"/>
      <c r="D141" s="151"/>
      <c r="E141" s="118"/>
      <c r="F141" s="118"/>
      <c r="G141" s="118"/>
      <c r="H141" s="84" t="s">
        <v>4</v>
      </c>
      <c r="I141" s="83"/>
      <c r="J141" s="85"/>
      <c r="K141" s="85"/>
      <c r="L141" s="85"/>
      <c r="M141" s="85"/>
      <c r="N141" s="85"/>
      <c r="O141" s="85"/>
      <c r="P141" s="178"/>
    </row>
    <row r="142" spans="2:17" ht="17.25" customHeight="1" outlineLevel="1" x14ac:dyDescent="0.2">
      <c r="B142" s="118"/>
      <c r="C142" s="118"/>
      <c r="D142" s="151"/>
      <c r="E142" s="118"/>
      <c r="F142" s="118"/>
      <c r="G142" s="118"/>
      <c r="H142" s="84" t="s">
        <v>6</v>
      </c>
      <c r="I142" s="83">
        <f>SUM(J142:O142)</f>
        <v>3</v>
      </c>
      <c r="J142" s="85"/>
      <c r="K142" s="85">
        <v>1</v>
      </c>
      <c r="L142" s="85">
        <v>2</v>
      </c>
      <c r="M142" s="85"/>
      <c r="N142" s="85"/>
      <c r="O142" s="85"/>
      <c r="P142" s="178"/>
    </row>
    <row r="143" spans="2:17" ht="17.25" customHeight="1" outlineLevel="1" x14ac:dyDescent="0.2">
      <c r="B143" s="119"/>
      <c r="C143" s="119"/>
      <c r="D143" s="152"/>
      <c r="E143" s="119"/>
      <c r="F143" s="119"/>
      <c r="G143" s="119"/>
      <c r="H143" s="84" t="s">
        <v>5</v>
      </c>
      <c r="I143" s="83"/>
      <c r="J143" s="85"/>
      <c r="K143" s="85"/>
      <c r="L143" s="85"/>
      <c r="M143" s="85"/>
      <c r="N143" s="85"/>
      <c r="O143" s="85"/>
      <c r="P143" s="178"/>
    </row>
    <row r="144" spans="2:17" ht="42.75" outlineLevel="1" x14ac:dyDescent="0.2">
      <c r="B144" s="117" t="s">
        <v>1746</v>
      </c>
      <c r="C144" s="117"/>
      <c r="D144" s="150" t="s">
        <v>58</v>
      </c>
      <c r="E144" s="117" t="s">
        <v>50</v>
      </c>
      <c r="F144" s="117"/>
      <c r="G144" s="139" t="s">
        <v>1213</v>
      </c>
      <c r="H144" s="84" t="s">
        <v>3</v>
      </c>
      <c r="I144" s="83">
        <f>SUM(J144:O144)</f>
        <v>15</v>
      </c>
      <c r="J144" s="85"/>
      <c r="K144" s="85">
        <v>0.5</v>
      </c>
      <c r="L144" s="85">
        <v>14.5</v>
      </c>
      <c r="M144" s="85"/>
      <c r="N144" s="85"/>
      <c r="O144" s="85"/>
      <c r="P144" s="178"/>
    </row>
    <row r="145" spans="2:17" ht="17.25" customHeight="1" outlineLevel="1" x14ac:dyDescent="0.2">
      <c r="B145" s="118"/>
      <c r="C145" s="118"/>
      <c r="D145" s="151"/>
      <c r="E145" s="118"/>
      <c r="F145" s="118"/>
      <c r="G145" s="140"/>
      <c r="H145" s="84" t="s">
        <v>4</v>
      </c>
      <c r="I145" s="83"/>
      <c r="J145" s="85"/>
      <c r="K145" s="85"/>
      <c r="L145" s="85"/>
      <c r="M145" s="85"/>
      <c r="N145" s="85"/>
      <c r="O145" s="85"/>
      <c r="P145" s="178"/>
    </row>
    <row r="146" spans="2:17" ht="17.25" customHeight="1" outlineLevel="1" x14ac:dyDescent="0.2">
      <c r="B146" s="118"/>
      <c r="C146" s="118"/>
      <c r="D146" s="151"/>
      <c r="E146" s="118"/>
      <c r="F146" s="118"/>
      <c r="G146" s="140"/>
      <c r="H146" s="84" t="s">
        <v>6</v>
      </c>
      <c r="I146" s="83">
        <f>SUM(J146:O146)</f>
        <v>15</v>
      </c>
      <c r="J146" s="85"/>
      <c r="K146" s="85">
        <v>0.5</v>
      </c>
      <c r="L146" s="85">
        <v>14.5</v>
      </c>
      <c r="M146" s="85"/>
      <c r="N146" s="85"/>
      <c r="O146" s="85"/>
      <c r="P146" s="178"/>
    </row>
    <row r="147" spans="2:17" ht="17.25" customHeight="1" outlineLevel="1" x14ac:dyDescent="0.2">
      <c r="B147" s="119"/>
      <c r="C147" s="119"/>
      <c r="D147" s="152"/>
      <c r="E147" s="119"/>
      <c r="F147" s="119"/>
      <c r="G147" s="141"/>
      <c r="H147" s="84" t="s">
        <v>5</v>
      </c>
      <c r="I147" s="83"/>
      <c r="J147" s="85"/>
      <c r="K147" s="85"/>
      <c r="L147" s="85"/>
      <c r="M147" s="85"/>
      <c r="N147" s="85"/>
      <c r="O147" s="85"/>
      <c r="P147" s="178"/>
    </row>
    <row r="148" spans="2:17" ht="42.75" customHeight="1" outlineLevel="1" x14ac:dyDescent="0.2">
      <c r="B148" s="117" t="s">
        <v>1747</v>
      </c>
      <c r="C148" s="117" t="s">
        <v>1748</v>
      </c>
      <c r="D148" s="150" t="s">
        <v>58</v>
      </c>
      <c r="E148" s="117" t="s">
        <v>203</v>
      </c>
      <c r="F148" s="117"/>
      <c r="G148" s="117"/>
      <c r="H148" s="84" t="s">
        <v>3</v>
      </c>
      <c r="I148" s="83">
        <f>SUM(J148:O148)</f>
        <v>3.2</v>
      </c>
      <c r="J148" s="85"/>
      <c r="K148" s="85">
        <v>3.2</v>
      </c>
      <c r="L148" s="85"/>
      <c r="M148" s="85"/>
      <c r="N148" s="85"/>
      <c r="O148" s="85"/>
      <c r="P148" s="178"/>
    </row>
    <row r="149" spans="2:17" ht="17.25" customHeight="1" outlineLevel="1" x14ac:dyDescent="0.2">
      <c r="B149" s="118"/>
      <c r="C149" s="118"/>
      <c r="D149" s="151"/>
      <c r="E149" s="118"/>
      <c r="F149" s="118"/>
      <c r="G149" s="118"/>
      <c r="H149" s="84" t="s">
        <v>4</v>
      </c>
      <c r="I149" s="83"/>
      <c r="J149" s="85"/>
      <c r="K149" s="85"/>
      <c r="L149" s="85"/>
      <c r="M149" s="85"/>
      <c r="N149" s="85"/>
      <c r="O149" s="85"/>
      <c r="P149" s="178"/>
    </row>
    <row r="150" spans="2:17" ht="17.25" customHeight="1" outlineLevel="1" x14ac:dyDescent="0.2">
      <c r="B150" s="118"/>
      <c r="C150" s="118"/>
      <c r="D150" s="151"/>
      <c r="E150" s="118"/>
      <c r="F150" s="118"/>
      <c r="G150" s="118"/>
      <c r="H150" s="84" t="s">
        <v>6</v>
      </c>
      <c r="I150" s="83">
        <f>SUM(J150:O150)</f>
        <v>3.2</v>
      </c>
      <c r="J150" s="85"/>
      <c r="K150" s="85">
        <v>3.2</v>
      </c>
      <c r="L150" s="85"/>
      <c r="M150" s="85"/>
      <c r="N150" s="85"/>
      <c r="O150" s="85"/>
      <c r="P150" s="178"/>
    </row>
    <row r="151" spans="2:17" ht="17.25" customHeight="1" outlineLevel="1" x14ac:dyDescent="0.2">
      <c r="B151" s="119"/>
      <c r="C151" s="119"/>
      <c r="D151" s="152"/>
      <c r="E151" s="119"/>
      <c r="F151" s="119"/>
      <c r="G151" s="119"/>
      <c r="H151" s="84" t="s">
        <v>5</v>
      </c>
      <c r="I151" s="83"/>
      <c r="J151" s="85"/>
      <c r="K151" s="85"/>
      <c r="L151" s="85"/>
      <c r="M151" s="85"/>
      <c r="N151" s="85"/>
      <c r="O151" s="85"/>
      <c r="P151" s="178"/>
    </row>
    <row r="152" spans="2:17" ht="42.75" x14ac:dyDescent="0.2">
      <c r="B152" s="128" t="s">
        <v>64</v>
      </c>
      <c r="C152" s="128" t="s">
        <v>38</v>
      </c>
      <c r="D152" s="128" t="s">
        <v>38</v>
      </c>
      <c r="E152" s="128" t="s">
        <v>38</v>
      </c>
      <c r="F152" s="128" t="s">
        <v>38</v>
      </c>
      <c r="G152" s="128" t="s">
        <v>38</v>
      </c>
      <c r="H152" s="84" t="s">
        <v>3</v>
      </c>
      <c r="I152" s="14">
        <f>SUMIF($H$136:$H$151,"Объем*",I$136:I$151)</f>
        <v>51.2</v>
      </c>
      <c r="J152" s="14">
        <f t="shared" ref="J152:O152" si="66">SUMIF($H$136:$H$151,"Объем*",J$136:J$151)</f>
        <v>0</v>
      </c>
      <c r="K152" s="14">
        <f t="shared" si="66"/>
        <v>6.7</v>
      </c>
      <c r="L152" s="14">
        <f t="shared" si="66"/>
        <v>44.5</v>
      </c>
      <c r="M152" s="14">
        <f t="shared" si="66"/>
        <v>0</v>
      </c>
      <c r="N152" s="14">
        <f t="shared" si="66"/>
        <v>0</v>
      </c>
      <c r="O152" s="14">
        <f t="shared" si="66"/>
        <v>0</v>
      </c>
      <c r="P152" s="128"/>
      <c r="Q152" s="7"/>
    </row>
    <row r="153" spans="2:17" ht="15.75" x14ac:dyDescent="0.2">
      <c r="B153" s="129"/>
      <c r="C153" s="129"/>
      <c r="D153" s="129"/>
      <c r="E153" s="129"/>
      <c r="F153" s="129"/>
      <c r="G153" s="129"/>
      <c r="H153" s="84" t="s">
        <v>4</v>
      </c>
      <c r="I153" s="14">
        <f>SUMIF($H$136:$H$151,"фед*",I$136:I$151)</f>
        <v>21</v>
      </c>
      <c r="J153" s="14">
        <f t="shared" ref="J153:O153" si="67">SUMIF($H$136:$H$151,"фед*",J$136:J$151)</f>
        <v>0</v>
      </c>
      <c r="K153" s="14">
        <f t="shared" si="67"/>
        <v>0</v>
      </c>
      <c r="L153" s="14">
        <f t="shared" si="67"/>
        <v>21</v>
      </c>
      <c r="M153" s="14">
        <f t="shared" si="67"/>
        <v>0</v>
      </c>
      <c r="N153" s="14">
        <f t="shared" si="67"/>
        <v>0</v>
      </c>
      <c r="O153" s="14">
        <f t="shared" si="67"/>
        <v>0</v>
      </c>
      <c r="P153" s="129"/>
      <c r="Q153" s="7"/>
    </row>
    <row r="154" spans="2:17" ht="15.75" x14ac:dyDescent="0.2">
      <c r="B154" s="129"/>
      <c r="C154" s="129"/>
      <c r="D154" s="129"/>
      <c r="E154" s="129"/>
      <c r="F154" s="129"/>
      <c r="G154" s="129"/>
      <c r="H154" s="84" t="s">
        <v>6</v>
      </c>
      <c r="I154" s="14">
        <f>SUMIF($H$136:$H$151,"конс*",I$136:I$151)</f>
        <v>30.2</v>
      </c>
      <c r="J154" s="14">
        <f t="shared" ref="J154:O154" si="68">SUMIF($H$136:$H$151,"конс*",J$136:J$151)</f>
        <v>0</v>
      </c>
      <c r="K154" s="14">
        <f t="shared" si="68"/>
        <v>6.7</v>
      </c>
      <c r="L154" s="14">
        <f t="shared" si="68"/>
        <v>23.5</v>
      </c>
      <c r="M154" s="14">
        <f t="shared" si="68"/>
        <v>0</v>
      </c>
      <c r="N154" s="14">
        <f t="shared" si="68"/>
        <v>0</v>
      </c>
      <c r="O154" s="14">
        <f t="shared" si="68"/>
        <v>0</v>
      </c>
      <c r="P154" s="129"/>
      <c r="Q154" s="7"/>
    </row>
    <row r="155" spans="2:17" ht="15.75" x14ac:dyDescent="0.2">
      <c r="B155" s="130"/>
      <c r="C155" s="130"/>
      <c r="D155" s="130"/>
      <c r="E155" s="130"/>
      <c r="F155" s="130"/>
      <c r="G155" s="130"/>
      <c r="H155" s="84" t="s">
        <v>5</v>
      </c>
      <c r="I155" s="14">
        <f>SUMIF($H$136:$H$151,"вне*",I$136:I$151)</f>
        <v>0</v>
      </c>
      <c r="J155" s="14">
        <f t="shared" ref="J155:O155" si="69">SUMIF($H$136:$H$151,"вне*",J$136:J$151)</f>
        <v>0</v>
      </c>
      <c r="K155" s="14">
        <f t="shared" si="69"/>
        <v>0</v>
      </c>
      <c r="L155" s="14">
        <f t="shared" si="69"/>
        <v>0</v>
      </c>
      <c r="M155" s="14">
        <f t="shared" si="69"/>
        <v>0</v>
      </c>
      <c r="N155" s="14">
        <f t="shared" si="69"/>
        <v>0</v>
      </c>
      <c r="O155" s="14">
        <f t="shared" si="69"/>
        <v>0</v>
      </c>
      <c r="P155" s="130"/>
      <c r="Q155" s="7"/>
    </row>
    <row r="156" spans="2:17" ht="25.5" customHeight="1" x14ac:dyDescent="0.2">
      <c r="B156" s="111" t="s">
        <v>449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</row>
    <row r="157" spans="2:17" ht="42.75" outlineLevel="1" x14ac:dyDescent="0.2">
      <c r="B157" s="117" t="s">
        <v>1721</v>
      </c>
      <c r="C157" s="117" t="s">
        <v>1702</v>
      </c>
      <c r="D157" s="117" t="s">
        <v>449</v>
      </c>
      <c r="E157" s="117">
        <v>2021</v>
      </c>
      <c r="F157" s="117" t="s">
        <v>1749</v>
      </c>
      <c r="G157" s="117" t="s">
        <v>138</v>
      </c>
      <c r="H157" s="84" t="s">
        <v>3</v>
      </c>
      <c r="I157" s="83">
        <f t="shared" ref="I157:I160" si="70">SUM(J157:O157)</f>
        <v>14.6</v>
      </c>
      <c r="J157" s="83">
        <f t="shared" ref="J157:O157" si="71">J158+J159+J160</f>
        <v>0</v>
      </c>
      <c r="K157" s="83">
        <f t="shared" si="71"/>
        <v>0</v>
      </c>
      <c r="L157" s="83">
        <f t="shared" si="71"/>
        <v>14.6</v>
      </c>
      <c r="M157" s="83">
        <f t="shared" si="71"/>
        <v>0</v>
      </c>
      <c r="N157" s="83">
        <f t="shared" si="71"/>
        <v>0</v>
      </c>
      <c r="O157" s="83">
        <f t="shared" si="71"/>
        <v>0</v>
      </c>
      <c r="P157" s="117">
        <v>3100</v>
      </c>
    </row>
    <row r="158" spans="2:17" outlineLevel="1" x14ac:dyDescent="0.2">
      <c r="B158" s="118"/>
      <c r="C158" s="132"/>
      <c r="D158" s="118"/>
      <c r="E158" s="118"/>
      <c r="F158" s="118"/>
      <c r="G158" s="118"/>
      <c r="H158" s="84" t="s">
        <v>4</v>
      </c>
      <c r="I158" s="83">
        <f t="shared" si="70"/>
        <v>14.5</v>
      </c>
      <c r="J158" s="83"/>
      <c r="K158" s="83"/>
      <c r="L158" s="83">
        <v>14.5</v>
      </c>
      <c r="M158" s="83"/>
      <c r="N158" s="83"/>
      <c r="O158" s="83"/>
      <c r="P158" s="118"/>
    </row>
    <row r="159" spans="2:17" outlineLevel="1" x14ac:dyDescent="0.2">
      <c r="B159" s="118"/>
      <c r="C159" s="132"/>
      <c r="D159" s="118"/>
      <c r="E159" s="118"/>
      <c r="F159" s="118"/>
      <c r="G159" s="118"/>
      <c r="H159" s="84" t="s">
        <v>6</v>
      </c>
      <c r="I159" s="83">
        <f t="shared" si="70"/>
        <v>0.1</v>
      </c>
      <c r="J159" s="83"/>
      <c r="K159" s="83"/>
      <c r="L159" s="83">
        <v>0.1</v>
      </c>
      <c r="M159" s="83"/>
      <c r="N159" s="83"/>
      <c r="O159" s="83"/>
      <c r="P159" s="118"/>
    </row>
    <row r="160" spans="2:17" outlineLevel="1" x14ac:dyDescent="0.2">
      <c r="B160" s="119"/>
      <c r="C160" s="133"/>
      <c r="D160" s="119"/>
      <c r="E160" s="119"/>
      <c r="F160" s="119"/>
      <c r="G160" s="119"/>
      <c r="H160" s="84" t="s">
        <v>5</v>
      </c>
      <c r="I160" s="83">
        <f t="shared" si="70"/>
        <v>0</v>
      </c>
      <c r="J160" s="83"/>
      <c r="K160" s="83"/>
      <c r="L160" s="83"/>
      <c r="M160" s="83"/>
      <c r="N160" s="83"/>
      <c r="O160" s="83"/>
      <c r="P160" s="119"/>
    </row>
    <row r="161" spans="2:17" ht="42.75" x14ac:dyDescent="0.2">
      <c r="B161" s="128" t="s">
        <v>452</v>
      </c>
      <c r="C161" s="128" t="s">
        <v>38</v>
      </c>
      <c r="D161" s="128" t="s">
        <v>38</v>
      </c>
      <c r="E161" s="128" t="s">
        <v>38</v>
      </c>
      <c r="F161" s="128" t="s">
        <v>38</v>
      </c>
      <c r="G161" s="128" t="s">
        <v>38</v>
      </c>
      <c r="H161" s="84" t="s">
        <v>3</v>
      </c>
      <c r="I161" s="14">
        <f>SUMIF($H$157:$H$160,"Объем*",I$157:I$160)</f>
        <v>14.6</v>
      </c>
      <c r="J161" s="14">
        <f t="shared" ref="J161:O161" si="72">SUMIF($H$157:$H$160,"Объем*",J$157:J$160)</f>
        <v>0</v>
      </c>
      <c r="K161" s="14">
        <f t="shared" si="72"/>
        <v>0</v>
      </c>
      <c r="L161" s="14">
        <f t="shared" si="72"/>
        <v>14.6</v>
      </c>
      <c r="M161" s="14">
        <f t="shared" si="72"/>
        <v>0</v>
      </c>
      <c r="N161" s="14">
        <f t="shared" si="72"/>
        <v>0</v>
      </c>
      <c r="O161" s="14">
        <f t="shared" si="72"/>
        <v>0</v>
      </c>
      <c r="P161" s="128"/>
      <c r="Q161" s="7"/>
    </row>
    <row r="162" spans="2:17" ht="15.75" x14ac:dyDescent="0.2">
      <c r="B162" s="129"/>
      <c r="C162" s="129"/>
      <c r="D162" s="129"/>
      <c r="E162" s="129"/>
      <c r="F162" s="129"/>
      <c r="G162" s="129"/>
      <c r="H162" s="84" t="s">
        <v>4</v>
      </c>
      <c r="I162" s="14">
        <f>SUMIF($H$157:$H$160,"фед*",I$157:I$160)</f>
        <v>14.5</v>
      </c>
      <c r="J162" s="14">
        <f t="shared" ref="J162:O162" si="73">SUMIF($H$157:$H$160,"фед*",J$157:J$160)</f>
        <v>0</v>
      </c>
      <c r="K162" s="14">
        <f t="shared" si="73"/>
        <v>0</v>
      </c>
      <c r="L162" s="14">
        <f t="shared" si="73"/>
        <v>14.5</v>
      </c>
      <c r="M162" s="14">
        <f t="shared" si="73"/>
        <v>0</v>
      </c>
      <c r="N162" s="14">
        <f t="shared" si="73"/>
        <v>0</v>
      </c>
      <c r="O162" s="14">
        <f t="shared" si="73"/>
        <v>0</v>
      </c>
      <c r="P162" s="129"/>
      <c r="Q162" s="7"/>
    </row>
    <row r="163" spans="2:17" ht="15.75" x14ac:dyDescent="0.2">
      <c r="B163" s="129"/>
      <c r="C163" s="129"/>
      <c r="D163" s="129"/>
      <c r="E163" s="129"/>
      <c r="F163" s="129"/>
      <c r="G163" s="129"/>
      <c r="H163" s="84" t="s">
        <v>6</v>
      </c>
      <c r="I163" s="14">
        <f>SUMIF($H$157:$H$160,"конс*",I$157:I$160)</f>
        <v>0.1</v>
      </c>
      <c r="J163" s="14">
        <f t="shared" ref="J163:O163" si="74">SUMIF($H$157:$H$160,"конс*",J$157:J$160)</f>
        <v>0</v>
      </c>
      <c r="K163" s="14">
        <f t="shared" si="74"/>
        <v>0</v>
      </c>
      <c r="L163" s="14">
        <f t="shared" si="74"/>
        <v>0.1</v>
      </c>
      <c r="M163" s="14">
        <f t="shared" si="74"/>
        <v>0</v>
      </c>
      <c r="N163" s="14">
        <f t="shared" si="74"/>
        <v>0</v>
      </c>
      <c r="O163" s="14">
        <f t="shared" si="74"/>
        <v>0</v>
      </c>
      <c r="P163" s="129"/>
      <c r="Q163" s="7"/>
    </row>
    <row r="164" spans="2:17" ht="15.75" x14ac:dyDescent="0.2">
      <c r="B164" s="130"/>
      <c r="C164" s="130"/>
      <c r="D164" s="130"/>
      <c r="E164" s="130"/>
      <c r="F164" s="130"/>
      <c r="G164" s="130"/>
      <c r="H164" s="84" t="s">
        <v>5</v>
      </c>
      <c r="I164" s="14">
        <f>SUMIF($H$157:$H$160,"вне*",I$157:I$160)</f>
        <v>0</v>
      </c>
      <c r="J164" s="14">
        <f t="shared" ref="J164:O164" si="75">SUMIF($H$157:$H$160,"вне*",J$157:J$160)</f>
        <v>0</v>
      </c>
      <c r="K164" s="14">
        <f t="shared" si="75"/>
        <v>0</v>
      </c>
      <c r="L164" s="14">
        <f t="shared" si="75"/>
        <v>0</v>
      </c>
      <c r="M164" s="14">
        <f t="shared" si="75"/>
        <v>0</v>
      </c>
      <c r="N164" s="14">
        <f t="shared" si="75"/>
        <v>0</v>
      </c>
      <c r="O164" s="14">
        <f t="shared" si="75"/>
        <v>0</v>
      </c>
      <c r="P164" s="130"/>
      <c r="Q164" s="7"/>
    </row>
    <row r="165" spans="2:17" ht="25.5" customHeight="1" x14ac:dyDescent="0.2">
      <c r="B165" s="111" t="s">
        <v>493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3"/>
    </row>
    <row r="166" spans="2:17" ht="63" customHeight="1" outlineLevel="1" x14ac:dyDescent="0.2">
      <c r="B166" s="117" t="s">
        <v>1750</v>
      </c>
      <c r="C166" s="117" t="s">
        <v>1709</v>
      </c>
      <c r="D166" s="117" t="s">
        <v>493</v>
      </c>
      <c r="E166" s="117">
        <v>2020</v>
      </c>
      <c r="F166" s="117"/>
      <c r="G166" s="117" t="s">
        <v>1751</v>
      </c>
      <c r="H166" s="84" t="s">
        <v>3</v>
      </c>
      <c r="I166" s="83">
        <f>SUM(J166:O166)</f>
        <v>25.1</v>
      </c>
      <c r="J166" s="83">
        <f t="shared" ref="J166:O166" si="76">J167+J168+J169</f>
        <v>0</v>
      </c>
      <c r="K166" s="83">
        <f t="shared" si="76"/>
        <v>12.55</v>
      </c>
      <c r="L166" s="83">
        <f t="shared" si="76"/>
        <v>0</v>
      </c>
      <c r="M166" s="83">
        <f t="shared" si="76"/>
        <v>0</v>
      </c>
      <c r="N166" s="83">
        <f t="shared" si="76"/>
        <v>0</v>
      </c>
      <c r="O166" s="83">
        <f t="shared" si="76"/>
        <v>12.55</v>
      </c>
      <c r="P166" s="178"/>
    </row>
    <row r="167" spans="2:17" outlineLevel="1" x14ac:dyDescent="0.2">
      <c r="B167" s="118"/>
      <c r="C167" s="132"/>
      <c r="D167" s="118"/>
      <c r="E167" s="118"/>
      <c r="F167" s="118"/>
      <c r="G167" s="118"/>
      <c r="H167" s="84" t="s">
        <v>4</v>
      </c>
      <c r="I167" s="83">
        <f>SUM(J167:O167)</f>
        <v>0</v>
      </c>
      <c r="J167" s="83"/>
      <c r="K167" s="83"/>
      <c r="L167" s="83"/>
      <c r="M167" s="83"/>
      <c r="N167" s="83"/>
      <c r="O167" s="83"/>
      <c r="P167" s="178"/>
    </row>
    <row r="168" spans="2:17" outlineLevel="1" x14ac:dyDescent="0.2">
      <c r="B168" s="118"/>
      <c r="C168" s="132"/>
      <c r="D168" s="118"/>
      <c r="E168" s="118"/>
      <c r="F168" s="118"/>
      <c r="G168" s="118"/>
      <c r="H168" s="84" t="s">
        <v>6</v>
      </c>
      <c r="I168" s="83">
        <f>SUM(J168:O168)</f>
        <v>25.1</v>
      </c>
      <c r="J168" s="83"/>
      <c r="K168" s="83">
        <v>12.55</v>
      </c>
      <c r="L168" s="83"/>
      <c r="M168" s="83"/>
      <c r="N168" s="83"/>
      <c r="O168" s="83">
        <v>12.55</v>
      </c>
      <c r="P168" s="178"/>
    </row>
    <row r="169" spans="2:17" outlineLevel="1" x14ac:dyDescent="0.2">
      <c r="B169" s="119"/>
      <c r="C169" s="133"/>
      <c r="D169" s="119"/>
      <c r="E169" s="119"/>
      <c r="F169" s="119"/>
      <c r="G169" s="119"/>
      <c r="H169" s="84" t="s">
        <v>5</v>
      </c>
      <c r="I169" s="83"/>
      <c r="J169" s="83"/>
      <c r="K169" s="83"/>
      <c r="L169" s="83"/>
      <c r="M169" s="83"/>
      <c r="N169" s="83"/>
      <c r="O169" s="83"/>
      <c r="P169" s="178"/>
    </row>
    <row r="170" spans="2:17" ht="42.75" outlineLevel="1" x14ac:dyDescent="0.2">
      <c r="B170" s="117" t="s">
        <v>1752</v>
      </c>
      <c r="C170" s="117" t="s">
        <v>1705</v>
      </c>
      <c r="D170" s="117" t="s">
        <v>1170</v>
      </c>
      <c r="E170" s="117">
        <v>2022</v>
      </c>
      <c r="F170" s="117" t="s">
        <v>1753</v>
      </c>
      <c r="G170" s="117" t="s">
        <v>138</v>
      </c>
      <c r="H170" s="84" t="s">
        <v>3</v>
      </c>
      <c r="I170" s="83">
        <f>SUM(J170:O170)</f>
        <v>75</v>
      </c>
      <c r="J170" s="83">
        <f t="shared" ref="J170:O170" si="77">J171+J172+J173</f>
        <v>0</v>
      </c>
      <c r="K170" s="83">
        <f t="shared" si="77"/>
        <v>0</v>
      </c>
      <c r="L170" s="83">
        <f t="shared" si="77"/>
        <v>75</v>
      </c>
      <c r="M170" s="83">
        <f t="shared" si="77"/>
        <v>0</v>
      </c>
      <c r="N170" s="83">
        <f t="shared" si="77"/>
        <v>0</v>
      </c>
      <c r="O170" s="83">
        <f t="shared" si="77"/>
        <v>0</v>
      </c>
      <c r="P170" s="178"/>
    </row>
    <row r="171" spans="2:17" outlineLevel="1" x14ac:dyDescent="0.2">
      <c r="B171" s="118"/>
      <c r="C171" s="132"/>
      <c r="D171" s="118"/>
      <c r="E171" s="118"/>
      <c r="F171" s="118"/>
      <c r="G171" s="118"/>
      <c r="H171" s="84" t="s">
        <v>4</v>
      </c>
      <c r="I171" s="83">
        <f>SUM(J171:O171)</f>
        <v>74.3</v>
      </c>
      <c r="J171" s="83"/>
      <c r="K171" s="83"/>
      <c r="L171" s="83">
        <v>74.3</v>
      </c>
      <c r="M171" s="83"/>
      <c r="N171" s="83"/>
      <c r="O171" s="83"/>
      <c r="P171" s="178"/>
    </row>
    <row r="172" spans="2:17" outlineLevel="1" x14ac:dyDescent="0.2">
      <c r="B172" s="118"/>
      <c r="C172" s="132"/>
      <c r="D172" s="118"/>
      <c r="E172" s="118"/>
      <c r="F172" s="118"/>
      <c r="G172" s="118"/>
      <c r="H172" s="84" t="s">
        <v>6</v>
      </c>
      <c r="I172" s="83">
        <f>SUM(J172:O172)</f>
        <v>0.7</v>
      </c>
      <c r="J172" s="83"/>
      <c r="K172" s="83"/>
      <c r="L172" s="83">
        <v>0.7</v>
      </c>
      <c r="M172" s="83"/>
      <c r="N172" s="83"/>
      <c r="O172" s="83"/>
      <c r="P172" s="178"/>
    </row>
    <row r="173" spans="2:17" outlineLevel="1" x14ac:dyDescent="0.2">
      <c r="B173" s="119"/>
      <c r="C173" s="133"/>
      <c r="D173" s="119"/>
      <c r="E173" s="119"/>
      <c r="F173" s="119"/>
      <c r="G173" s="119"/>
      <c r="H173" s="84" t="s">
        <v>5</v>
      </c>
      <c r="I173" s="83"/>
      <c r="J173" s="83"/>
      <c r="K173" s="83"/>
      <c r="L173" s="83"/>
      <c r="M173" s="83"/>
      <c r="N173" s="83"/>
      <c r="O173" s="83"/>
      <c r="P173" s="178"/>
    </row>
    <row r="174" spans="2:17" ht="42.75" outlineLevel="1" x14ac:dyDescent="0.2">
      <c r="B174" s="117" t="s">
        <v>1721</v>
      </c>
      <c r="C174" s="117" t="s">
        <v>1702</v>
      </c>
      <c r="D174" s="117" t="s">
        <v>1170</v>
      </c>
      <c r="E174" s="117" t="s">
        <v>50</v>
      </c>
      <c r="F174" s="117" t="s">
        <v>1754</v>
      </c>
      <c r="G174" s="117" t="s">
        <v>115</v>
      </c>
      <c r="H174" s="84" t="s">
        <v>3</v>
      </c>
      <c r="I174" s="83">
        <f>SUM(J174:O174)</f>
        <v>22.4</v>
      </c>
      <c r="J174" s="83">
        <f t="shared" ref="J174:O174" si="78">J175+J176+J177</f>
        <v>0</v>
      </c>
      <c r="K174" s="83">
        <f t="shared" si="78"/>
        <v>0</v>
      </c>
      <c r="L174" s="83">
        <f t="shared" si="78"/>
        <v>22.4</v>
      </c>
      <c r="M174" s="83">
        <f t="shared" si="78"/>
        <v>0</v>
      </c>
      <c r="N174" s="83">
        <f t="shared" si="78"/>
        <v>0</v>
      </c>
      <c r="O174" s="83">
        <f t="shared" si="78"/>
        <v>0</v>
      </c>
      <c r="P174" s="178">
        <v>4700</v>
      </c>
    </row>
    <row r="175" spans="2:17" outlineLevel="1" x14ac:dyDescent="0.2">
      <c r="B175" s="118"/>
      <c r="C175" s="132"/>
      <c r="D175" s="118"/>
      <c r="E175" s="118"/>
      <c r="F175" s="118"/>
      <c r="G175" s="118"/>
      <c r="H175" s="84" t="s">
        <v>4</v>
      </c>
      <c r="I175" s="83">
        <f>SUM(J175:O175)</f>
        <v>22.2</v>
      </c>
      <c r="J175" s="83"/>
      <c r="K175" s="83"/>
      <c r="L175" s="83">
        <v>22.2</v>
      </c>
      <c r="M175" s="83"/>
      <c r="N175" s="83"/>
      <c r="O175" s="83"/>
      <c r="P175" s="178"/>
    </row>
    <row r="176" spans="2:17" outlineLevel="1" x14ac:dyDescent="0.2">
      <c r="B176" s="118"/>
      <c r="C176" s="132"/>
      <c r="D176" s="118"/>
      <c r="E176" s="118"/>
      <c r="F176" s="118"/>
      <c r="G176" s="118"/>
      <c r="H176" s="84" t="s">
        <v>6</v>
      </c>
      <c r="I176" s="83">
        <f>SUM(J176:O176)</f>
        <v>0.2</v>
      </c>
      <c r="J176" s="83"/>
      <c r="K176" s="83"/>
      <c r="L176" s="83">
        <v>0.2</v>
      </c>
      <c r="M176" s="83"/>
      <c r="N176" s="83"/>
      <c r="O176" s="83"/>
      <c r="P176" s="178"/>
    </row>
    <row r="177" spans="2:17" outlineLevel="1" x14ac:dyDescent="0.2">
      <c r="B177" s="119"/>
      <c r="C177" s="133"/>
      <c r="D177" s="119"/>
      <c r="E177" s="119"/>
      <c r="F177" s="119"/>
      <c r="G177" s="119"/>
      <c r="H177" s="84" t="s">
        <v>5</v>
      </c>
      <c r="I177" s="83"/>
      <c r="J177" s="83"/>
      <c r="K177" s="83"/>
      <c r="L177" s="83"/>
      <c r="M177" s="83"/>
      <c r="N177" s="83"/>
      <c r="O177" s="83"/>
      <c r="P177" s="178"/>
    </row>
    <row r="178" spans="2:17" ht="42.75" x14ac:dyDescent="0.2">
      <c r="B178" s="128" t="s">
        <v>510</v>
      </c>
      <c r="C178" s="128" t="s">
        <v>38</v>
      </c>
      <c r="D178" s="128" t="s">
        <v>38</v>
      </c>
      <c r="E178" s="128" t="s">
        <v>38</v>
      </c>
      <c r="F178" s="128" t="s">
        <v>38</v>
      </c>
      <c r="G178" s="128" t="s">
        <v>38</v>
      </c>
      <c r="H178" s="84" t="s">
        <v>3</v>
      </c>
      <c r="I178" s="14">
        <f>SUMIF($H$166:$H$177,"Объем*",I$166:I$177)</f>
        <v>122.5</v>
      </c>
      <c r="J178" s="14">
        <f t="shared" ref="J178:O178" si="79">SUMIF($H$166:$H$177,"Объем*",J$166:J$177)</f>
        <v>0</v>
      </c>
      <c r="K178" s="14">
        <f t="shared" si="79"/>
        <v>12.55</v>
      </c>
      <c r="L178" s="14">
        <f t="shared" si="79"/>
        <v>97.4</v>
      </c>
      <c r="M178" s="14">
        <f t="shared" si="79"/>
        <v>0</v>
      </c>
      <c r="N178" s="14">
        <f t="shared" si="79"/>
        <v>0</v>
      </c>
      <c r="O178" s="14">
        <f t="shared" si="79"/>
        <v>12.55</v>
      </c>
      <c r="P178" s="128"/>
      <c r="Q178" s="7"/>
    </row>
    <row r="179" spans="2:17" ht="15.75" x14ac:dyDescent="0.2">
      <c r="B179" s="129"/>
      <c r="C179" s="129"/>
      <c r="D179" s="129"/>
      <c r="E179" s="129"/>
      <c r="F179" s="129"/>
      <c r="G179" s="129"/>
      <c r="H179" s="84" t="s">
        <v>4</v>
      </c>
      <c r="I179" s="14">
        <f>SUMIF($H$166:$H$177,"фед*",I$166:I$177)</f>
        <v>96.5</v>
      </c>
      <c r="J179" s="14">
        <f t="shared" ref="J179:O179" si="80">SUMIF($H$166:$H$177,"фед*",J$166:J$177)</f>
        <v>0</v>
      </c>
      <c r="K179" s="14">
        <f t="shared" si="80"/>
        <v>0</v>
      </c>
      <c r="L179" s="14">
        <f t="shared" si="80"/>
        <v>96.5</v>
      </c>
      <c r="M179" s="14">
        <f t="shared" si="80"/>
        <v>0</v>
      </c>
      <c r="N179" s="14">
        <f t="shared" si="80"/>
        <v>0</v>
      </c>
      <c r="O179" s="14">
        <f t="shared" si="80"/>
        <v>0</v>
      </c>
      <c r="P179" s="129"/>
      <c r="Q179" s="7"/>
    </row>
    <row r="180" spans="2:17" ht="15.75" x14ac:dyDescent="0.2">
      <c r="B180" s="129"/>
      <c r="C180" s="129"/>
      <c r="D180" s="129"/>
      <c r="E180" s="129"/>
      <c r="F180" s="129"/>
      <c r="G180" s="129"/>
      <c r="H180" s="84" t="s">
        <v>6</v>
      </c>
      <c r="I180" s="14">
        <f>SUMIF($H$166:$H$177,"конс*",I$166:I$177)</f>
        <v>26</v>
      </c>
      <c r="J180" s="14">
        <f t="shared" ref="J180:O180" si="81">SUMIF($H$166:$H$177,"конс*",J$166:J$177)</f>
        <v>0</v>
      </c>
      <c r="K180" s="14">
        <f t="shared" si="81"/>
        <v>12.55</v>
      </c>
      <c r="L180" s="14">
        <f t="shared" si="81"/>
        <v>0.89999999999999991</v>
      </c>
      <c r="M180" s="14">
        <f t="shared" si="81"/>
        <v>0</v>
      </c>
      <c r="N180" s="14">
        <f t="shared" si="81"/>
        <v>0</v>
      </c>
      <c r="O180" s="14">
        <f t="shared" si="81"/>
        <v>12.55</v>
      </c>
      <c r="P180" s="129"/>
      <c r="Q180" s="7"/>
    </row>
    <row r="181" spans="2:17" ht="15.75" x14ac:dyDescent="0.2">
      <c r="B181" s="130"/>
      <c r="C181" s="130"/>
      <c r="D181" s="130"/>
      <c r="E181" s="130"/>
      <c r="F181" s="130"/>
      <c r="G181" s="130"/>
      <c r="H181" s="84" t="s">
        <v>5</v>
      </c>
      <c r="I181" s="14">
        <f>SUMIF($H$166:$H$177,"вне*",I$166:I$177)</f>
        <v>0</v>
      </c>
      <c r="J181" s="14">
        <f t="shared" ref="J181:O181" si="82">SUMIF($H$166:$H$177,"вне*",J$166:J$177)</f>
        <v>0</v>
      </c>
      <c r="K181" s="14">
        <f t="shared" si="82"/>
        <v>0</v>
      </c>
      <c r="L181" s="14">
        <f t="shared" si="82"/>
        <v>0</v>
      </c>
      <c r="M181" s="14">
        <f t="shared" si="82"/>
        <v>0</v>
      </c>
      <c r="N181" s="14">
        <f t="shared" si="82"/>
        <v>0</v>
      </c>
      <c r="O181" s="14">
        <f t="shared" si="82"/>
        <v>0</v>
      </c>
      <c r="P181" s="130"/>
      <c r="Q181" s="7"/>
    </row>
    <row r="182" spans="2:17" ht="25.5" customHeight="1" x14ac:dyDescent="0.2">
      <c r="B182" s="111" t="s">
        <v>511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3"/>
    </row>
    <row r="183" spans="2:17" ht="42.75" outlineLevel="1" x14ac:dyDescent="0.2">
      <c r="B183" s="117" t="s">
        <v>1755</v>
      </c>
      <c r="C183" s="117" t="s">
        <v>1702</v>
      </c>
      <c r="D183" s="117" t="s">
        <v>1756</v>
      </c>
      <c r="E183" s="117">
        <v>2020</v>
      </c>
      <c r="F183" s="117" t="s">
        <v>1757</v>
      </c>
      <c r="G183" s="117" t="s">
        <v>83</v>
      </c>
      <c r="H183" s="84" t="s">
        <v>3</v>
      </c>
      <c r="I183" s="83">
        <f>SUM(J183:O183)</f>
        <v>10.5</v>
      </c>
      <c r="J183" s="83">
        <f t="shared" ref="J183:O183" si="83">J184+J185+J186</f>
        <v>10.5</v>
      </c>
      <c r="K183" s="83">
        <f t="shared" si="83"/>
        <v>0</v>
      </c>
      <c r="L183" s="83">
        <f t="shared" si="83"/>
        <v>0</v>
      </c>
      <c r="M183" s="83">
        <f t="shared" si="83"/>
        <v>0</v>
      </c>
      <c r="N183" s="83">
        <f t="shared" si="83"/>
        <v>0</v>
      </c>
      <c r="O183" s="83">
        <f t="shared" si="83"/>
        <v>0</v>
      </c>
      <c r="P183" s="117">
        <v>2208</v>
      </c>
    </row>
    <row r="184" spans="2:17" outlineLevel="1" x14ac:dyDescent="0.2">
      <c r="B184" s="118"/>
      <c r="C184" s="132"/>
      <c r="D184" s="118"/>
      <c r="E184" s="118"/>
      <c r="F184" s="118"/>
      <c r="G184" s="118"/>
      <c r="H184" s="84" t="s">
        <v>4</v>
      </c>
      <c r="I184" s="83">
        <f>SUM(J184:O184)</f>
        <v>10.3</v>
      </c>
      <c r="J184" s="75">
        <v>10.3</v>
      </c>
      <c r="K184" s="75"/>
      <c r="L184" s="75"/>
      <c r="M184" s="75"/>
      <c r="N184" s="75"/>
      <c r="O184" s="75"/>
      <c r="P184" s="118"/>
    </row>
    <row r="185" spans="2:17" outlineLevel="1" x14ac:dyDescent="0.2">
      <c r="B185" s="118"/>
      <c r="C185" s="132"/>
      <c r="D185" s="118"/>
      <c r="E185" s="118"/>
      <c r="F185" s="118"/>
      <c r="G185" s="118"/>
      <c r="H185" s="84" t="s">
        <v>6</v>
      </c>
      <c r="I185" s="83">
        <f>SUM(J185:O185)</f>
        <v>0.2</v>
      </c>
      <c r="J185" s="75">
        <v>0.2</v>
      </c>
      <c r="K185" s="75"/>
      <c r="L185" s="75"/>
      <c r="M185" s="75"/>
      <c r="N185" s="75"/>
      <c r="O185" s="75"/>
      <c r="P185" s="118"/>
    </row>
    <row r="186" spans="2:17" outlineLevel="1" x14ac:dyDescent="0.2">
      <c r="B186" s="119"/>
      <c r="C186" s="133"/>
      <c r="D186" s="119"/>
      <c r="E186" s="119"/>
      <c r="F186" s="119"/>
      <c r="G186" s="119"/>
      <c r="H186" s="84" t="s">
        <v>5</v>
      </c>
      <c r="I186" s="75"/>
      <c r="J186" s="75"/>
      <c r="K186" s="75"/>
      <c r="L186" s="75"/>
      <c r="M186" s="75"/>
      <c r="N186" s="75"/>
      <c r="O186" s="75"/>
      <c r="P186" s="119"/>
    </row>
    <row r="187" spans="2:17" ht="42.75" x14ac:dyDescent="0.2">
      <c r="B187" s="128" t="s">
        <v>519</v>
      </c>
      <c r="C187" s="128" t="s">
        <v>38</v>
      </c>
      <c r="D187" s="128" t="s">
        <v>38</v>
      </c>
      <c r="E187" s="128" t="s">
        <v>38</v>
      </c>
      <c r="F187" s="128" t="s">
        <v>38</v>
      </c>
      <c r="G187" s="128" t="s">
        <v>38</v>
      </c>
      <c r="H187" s="84" t="s">
        <v>3</v>
      </c>
      <c r="I187" s="14">
        <f>SUMIF($H$183:$H$186,"Объем*",I$183:I$186)</f>
        <v>10.5</v>
      </c>
      <c r="J187" s="14">
        <f t="shared" ref="J187:O187" si="84">SUMIF($H$183:$H$186,"Объем*",J$183:J$186)</f>
        <v>10.5</v>
      </c>
      <c r="K187" s="14">
        <f t="shared" si="84"/>
        <v>0</v>
      </c>
      <c r="L187" s="14">
        <f t="shared" si="84"/>
        <v>0</v>
      </c>
      <c r="M187" s="14">
        <f t="shared" si="84"/>
        <v>0</v>
      </c>
      <c r="N187" s="14">
        <f t="shared" si="84"/>
        <v>0</v>
      </c>
      <c r="O187" s="14">
        <f t="shared" si="84"/>
        <v>0</v>
      </c>
      <c r="P187" s="128"/>
      <c r="Q187" s="7"/>
    </row>
    <row r="188" spans="2:17" ht="15.75" x14ac:dyDescent="0.2">
      <c r="B188" s="129"/>
      <c r="C188" s="129"/>
      <c r="D188" s="129"/>
      <c r="E188" s="129"/>
      <c r="F188" s="129"/>
      <c r="G188" s="129"/>
      <c r="H188" s="84" t="s">
        <v>4</v>
      </c>
      <c r="I188" s="14">
        <f>SUMIF($H$183:$H$186,"фед*",I$183:I$186)</f>
        <v>10.3</v>
      </c>
      <c r="J188" s="14">
        <f t="shared" ref="J188:O188" si="85">SUMIF($H$183:$H$186,"фед*",J$183:J$186)</f>
        <v>10.3</v>
      </c>
      <c r="K188" s="14">
        <f t="shared" si="85"/>
        <v>0</v>
      </c>
      <c r="L188" s="14">
        <f t="shared" si="85"/>
        <v>0</v>
      </c>
      <c r="M188" s="14">
        <f t="shared" si="85"/>
        <v>0</v>
      </c>
      <c r="N188" s="14">
        <f t="shared" si="85"/>
        <v>0</v>
      </c>
      <c r="O188" s="14">
        <f t="shared" si="85"/>
        <v>0</v>
      </c>
      <c r="P188" s="129"/>
      <c r="Q188" s="7"/>
    </row>
    <row r="189" spans="2:17" ht="15.75" x14ac:dyDescent="0.2">
      <c r="B189" s="129"/>
      <c r="C189" s="129"/>
      <c r="D189" s="129"/>
      <c r="E189" s="129"/>
      <c r="F189" s="129"/>
      <c r="G189" s="129"/>
      <c r="H189" s="84" t="s">
        <v>6</v>
      </c>
      <c r="I189" s="14">
        <f>SUMIF($H$183:$H$186,"конс*",I$183:I$186)</f>
        <v>0.2</v>
      </c>
      <c r="J189" s="14">
        <f t="shared" ref="J189:O189" si="86">SUMIF($H$183:$H$186,"конс*",J$183:J$186)</f>
        <v>0.2</v>
      </c>
      <c r="K189" s="14">
        <f t="shared" si="86"/>
        <v>0</v>
      </c>
      <c r="L189" s="14">
        <f t="shared" si="86"/>
        <v>0</v>
      </c>
      <c r="M189" s="14">
        <f t="shared" si="86"/>
        <v>0</v>
      </c>
      <c r="N189" s="14">
        <f t="shared" si="86"/>
        <v>0</v>
      </c>
      <c r="O189" s="14">
        <f t="shared" si="86"/>
        <v>0</v>
      </c>
      <c r="P189" s="129"/>
      <c r="Q189" s="7"/>
    </row>
    <row r="190" spans="2:17" ht="15.75" x14ac:dyDescent="0.2">
      <c r="B190" s="130"/>
      <c r="C190" s="130"/>
      <c r="D190" s="130"/>
      <c r="E190" s="130"/>
      <c r="F190" s="130"/>
      <c r="G190" s="130"/>
      <c r="H190" s="84" t="s">
        <v>5</v>
      </c>
      <c r="I190" s="14">
        <f>SUMIF($H$183:$H$186,"вне*",I$183:I$186)</f>
        <v>0</v>
      </c>
      <c r="J190" s="14">
        <f t="shared" ref="J190:O190" si="87">SUMIF($H$183:$H$186,"вне*",J$183:J$186)</f>
        <v>0</v>
      </c>
      <c r="K190" s="14">
        <f t="shared" si="87"/>
        <v>0</v>
      </c>
      <c r="L190" s="14">
        <f t="shared" si="87"/>
        <v>0</v>
      </c>
      <c r="M190" s="14">
        <f t="shared" si="87"/>
        <v>0</v>
      </c>
      <c r="N190" s="14">
        <f t="shared" si="87"/>
        <v>0</v>
      </c>
      <c r="O190" s="14">
        <f t="shared" si="87"/>
        <v>0</v>
      </c>
      <c r="P190" s="130"/>
      <c r="Q190" s="7"/>
    </row>
    <row r="191" spans="2:17" ht="16.5" x14ac:dyDescent="0.2">
      <c r="B191" s="111" t="s">
        <v>531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3"/>
    </row>
    <row r="192" spans="2:17" ht="42.75" customHeight="1" outlineLevel="1" x14ac:dyDescent="0.2">
      <c r="B192" s="117" t="s">
        <v>1758</v>
      </c>
      <c r="C192" s="117" t="s">
        <v>1709</v>
      </c>
      <c r="D192" s="117" t="s">
        <v>1198</v>
      </c>
      <c r="E192" s="117">
        <v>2023</v>
      </c>
      <c r="F192" s="117"/>
      <c r="G192" s="114" t="s">
        <v>83</v>
      </c>
      <c r="H192" s="84" t="s">
        <v>3</v>
      </c>
      <c r="I192" s="83">
        <f>SUM(J192:O192)</f>
        <v>501.9</v>
      </c>
      <c r="J192" s="83">
        <f>J193+J194+J195</f>
        <v>0</v>
      </c>
      <c r="K192" s="83">
        <f t="shared" ref="K192:O192" si="88">K193+K194+K195</f>
        <v>0</v>
      </c>
      <c r="L192" s="83">
        <f t="shared" si="88"/>
        <v>0</v>
      </c>
      <c r="M192" s="83">
        <f>M193+M194+M195</f>
        <v>501.9</v>
      </c>
      <c r="N192" s="83">
        <f t="shared" si="88"/>
        <v>0</v>
      </c>
      <c r="O192" s="83">
        <f t="shared" si="88"/>
        <v>0</v>
      </c>
      <c r="P192" s="114"/>
    </row>
    <row r="193" spans="2:17" outlineLevel="1" x14ac:dyDescent="0.2">
      <c r="B193" s="118"/>
      <c r="C193" s="118"/>
      <c r="D193" s="118"/>
      <c r="E193" s="118"/>
      <c r="F193" s="118"/>
      <c r="G193" s="115"/>
      <c r="H193" s="84" t="s">
        <v>4</v>
      </c>
      <c r="I193" s="83">
        <f>SUM(J193:O193)</f>
        <v>492.7</v>
      </c>
      <c r="J193" s="83"/>
      <c r="K193" s="83"/>
      <c r="L193" s="83"/>
      <c r="M193" s="83">
        <v>492.7</v>
      </c>
      <c r="N193" s="83"/>
      <c r="O193" s="83"/>
      <c r="P193" s="115"/>
    </row>
    <row r="194" spans="2:17" outlineLevel="1" x14ac:dyDescent="0.2">
      <c r="B194" s="118"/>
      <c r="C194" s="118"/>
      <c r="D194" s="118"/>
      <c r="E194" s="118"/>
      <c r="F194" s="118"/>
      <c r="G194" s="115"/>
      <c r="H194" s="84" t="s">
        <v>6</v>
      </c>
      <c r="I194" s="83">
        <f>SUM(J194:O194)</f>
        <v>9.1999999999999993</v>
      </c>
      <c r="J194" s="83"/>
      <c r="K194" s="83"/>
      <c r="L194" s="83">
        <v>0</v>
      </c>
      <c r="M194" s="83">
        <v>9.1999999999999993</v>
      </c>
      <c r="N194" s="83">
        <v>0</v>
      </c>
      <c r="O194" s="83">
        <v>0</v>
      </c>
      <c r="P194" s="115"/>
    </row>
    <row r="195" spans="2:17" outlineLevel="1" x14ac:dyDescent="0.2">
      <c r="B195" s="119"/>
      <c r="C195" s="119"/>
      <c r="D195" s="119"/>
      <c r="E195" s="119"/>
      <c r="F195" s="119"/>
      <c r="G195" s="116"/>
      <c r="H195" s="84" t="s">
        <v>5</v>
      </c>
      <c r="I195" s="13"/>
      <c r="J195" s="13"/>
      <c r="K195" s="13"/>
      <c r="L195" s="13"/>
      <c r="M195" s="13"/>
      <c r="N195" s="13"/>
      <c r="O195" s="13"/>
      <c r="P195" s="116"/>
    </row>
    <row r="196" spans="2:17" ht="42.75" customHeight="1" outlineLevel="1" x14ac:dyDescent="0.2">
      <c r="B196" s="114" t="s">
        <v>1759</v>
      </c>
      <c r="C196" s="114"/>
      <c r="D196" s="114" t="s">
        <v>1198</v>
      </c>
      <c r="E196" s="114" t="s">
        <v>34</v>
      </c>
      <c r="F196" s="114" t="s">
        <v>1760</v>
      </c>
      <c r="G196" s="114" t="s">
        <v>1761</v>
      </c>
      <c r="H196" s="84" t="s">
        <v>3</v>
      </c>
      <c r="I196" s="83">
        <f>SUM(J196:O196)</f>
        <v>72.2</v>
      </c>
      <c r="J196" s="83">
        <f t="shared" ref="J196:O196" si="89">J197+J198+J199</f>
        <v>0</v>
      </c>
      <c r="K196" s="83">
        <f t="shared" si="89"/>
        <v>0</v>
      </c>
      <c r="L196" s="83">
        <f t="shared" si="89"/>
        <v>2.2000000000000002</v>
      </c>
      <c r="M196" s="83">
        <f t="shared" si="89"/>
        <v>0</v>
      </c>
      <c r="N196" s="83">
        <f t="shared" si="89"/>
        <v>0</v>
      </c>
      <c r="O196" s="83">
        <f t="shared" si="89"/>
        <v>70</v>
      </c>
      <c r="P196" s="114">
        <v>47607</v>
      </c>
    </row>
    <row r="197" spans="2:17" outlineLevel="1" x14ac:dyDescent="0.2">
      <c r="B197" s="115"/>
      <c r="C197" s="115"/>
      <c r="D197" s="115"/>
      <c r="E197" s="115"/>
      <c r="F197" s="115"/>
      <c r="G197" s="115"/>
      <c r="H197" s="84" t="s">
        <v>4</v>
      </c>
      <c r="I197" s="83">
        <f>SUM(J197:O197)</f>
        <v>0</v>
      </c>
      <c r="J197" s="83"/>
      <c r="K197" s="83"/>
      <c r="L197" s="83"/>
      <c r="M197" s="83"/>
      <c r="N197" s="83"/>
      <c r="O197" s="83"/>
      <c r="P197" s="115"/>
    </row>
    <row r="198" spans="2:17" outlineLevel="1" x14ac:dyDescent="0.2">
      <c r="B198" s="115"/>
      <c r="C198" s="115"/>
      <c r="D198" s="115"/>
      <c r="E198" s="115"/>
      <c r="F198" s="115"/>
      <c r="G198" s="115"/>
      <c r="H198" s="84" t="s">
        <v>6</v>
      </c>
      <c r="I198" s="83">
        <f>SUM(J198:O198)</f>
        <v>72.2</v>
      </c>
      <c r="J198" s="83"/>
      <c r="K198" s="83"/>
      <c r="L198" s="83">
        <v>2.2000000000000002</v>
      </c>
      <c r="M198" s="83"/>
      <c r="N198" s="83">
        <v>0</v>
      </c>
      <c r="O198" s="83">
        <v>70</v>
      </c>
      <c r="P198" s="115"/>
    </row>
    <row r="199" spans="2:17" outlineLevel="1" x14ac:dyDescent="0.2">
      <c r="B199" s="116"/>
      <c r="C199" s="116"/>
      <c r="D199" s="116"/>
      <c r="E199" s="116"/>
      <c r="F199" s="116"/>
      <c r="G199" s="116"/>
      <c r="H199" s="84" t="s">
        <v>5</v>
      </c>
      <c r="I199" s="13"/>
      <c r="J199" s="13"/>
      <c r="K199" s="13"/>
      <c r="L199" s="13"/>
      <c r="M199" s="13"/>
      <c r="N199" s="13"/>
      <c r="O199" s="13"/>
      <c r="P199" s="116"/>
    </row>
    <row r="200" spans="2:17" ht="42.75" x14ac:dyDescent="0.2">
      <c r="B200" s="128" t="s">
        <v>539</v>
      </c>
      <c r="C200" s="128" t="s">
        <v>38</v>
      </c>
      <c r="D200" s="128" t="s">
        <v>38</v>
      </c>
      <c r="E200" s="128" t="s">
        <v>38</v>
      </c>
      <c r="F200" s="128" t="s">
        <v>38</v>
      </c>
      <c r="G200" s="128" t="s">
        <v>38</v>
      </c>
      <c r="H200" s="84" t="s">
        <v>3</v>
      </c>
      <c r="I200" s="14">
        <f t="shared" ref="I200:O200" si="90">SUMIF($H$192:$H$199,"Объем*",I$192:I$199)</f>
        <v>574.1</v>
      </c>
      <c r="J200" s="14">
        <f t="shared" si="90"/>
        <v>0</v>
      </c>
      <c r="K200" s="14">
        <f t="shared" si="90"/>
        <v>0</v>
      </c>
      <c r="L200" s="14">
        <f t="shared" si="90"/>
        <v>2.2000000000000002</v>
      </c>
      <c r="M200" s="14">
        <f t="shared" si="90"/>
        <v>501.9</v>
      </c>
      <c r="N200" s="14">
        <f t="shared" si="90"/>
        <v>0</v>
      </c>
      <c r="O200" s="14">
        <f t="shared" si="90"/>
        <v>70</v>
      </c>
      <c r="P200" s="128"/>
      <c r="Q200" s="7"/>
    </row>
    <row r="201" spans="2:17" ht="15.75" x14ac:dyDescent="0.2">
      <c r="B201" s="129"/>
      <c r="C201" s="129"/>
      <c r="D201" s="129"/>
      <c r="E201" s="129"/>
      <c r="F201" s="129"/>
      <c r="G201" s="129"/>
      <c r="H201" s="84" t="s">
        <v>4</v>
      </c>
      <c r="I201" s="14">
        <f t="shared" ref="I201:O201" si="91">SUMIF($H$192:$H$199,"фед*",I$192:I$199)</f>
        <v>492.7</v>
      </c>
      <c r="J201" s="14">
        <f t="shared" si="91"/>
        <v>0</v>
      </c>
      <c r="K201" s="14">
        <f t="shared" si="91"/>
        <v>0</v>
      </c>
      <c r="L201" s="14">
        <f t="shared" si="91"/>
        <v>0</v>
      </c>
      <c r="M201" s="14">
        <f t="shared" si="91"/>
        <v>492.7</v>
      </c>
      <c r="N201" s="14">
        <f t="shared" si="91"/>
        <v>0</v>
      </c>
      <c r="O201" s="14">
        <f t="shared" si="91"/>
        <v>0</v>
      </c>
      <c r="P201" s="129"/>
      <c r="Q201" s="7"/>
    </row>
    <row r="202" spans="2:17" ht="15.75" x14ac:dyDescent="0.2">
      <c r="B202" s="129"/>
      <c r="C202" s="129"/>
      <c r="D202" s="129"/>
      <c r="E202" s="129"/>
      <c r="F202" s="129"/>
      <c r="G202" s="129"/>
      <c r="H202" s="84" t="s">
        <v>6</v>
      </c>
      <c r="I202" s="14">
        <f t="shared" ref="I202:O202" si="92">SUMIF($H$192:$H$199,"конс*",I$192:I$199)</f>
        <v>81.400000000000006</v>
      </c>
      <c r="J202" s="14">
        <f t="shared" si="92"/>
        <v>0</v>
      </c>
      <c r="K202" s="14">
        <f t="shared" si="92"/>
        <v>0</v>
      </c>
      <c r="L202" s="14">
        <f t="shared" si="92"/>
        <v>2.2000000000000002</v>
      </c>
      <c r="M202" s="14">
        <f t="shared" si="92"/>
        <v>9.1999999999999993</v>
      </c>
      <c r="N202" s="14">
        <f t="shared" si="92"/>
        <v>0</v>
      </c>
      <c r="O202" s="14">
        <f t="shared" si="92"/>
        <v>70</v>
      </c>
      <c r="P202" s="129"/>
      <c r="Q202" s="7"/>
    </row>
    <row r="203" spans="2:17" ht="15.75" x14ac:dyDescent="0.2">
      <c r="B203" s="130"/>
      <c r="C203" s="130"/>
      <c r="D203" s="130"/>
      <c r="E203" s="130"/>
      <c r="F203" s="130"/>
      <c r="G203" s="130"/>
      <c r="H203" s="84" t="s">
        <v>5</v>
      </c>
      <c r="I203" s="76">
        <f t="shared" ref="I203:O203" si="93">SUMIF($H$192:$H$199,"вне*",I$192:I$199)</f>
        <v>0</v>
      </c>
      <c r="J203" s="76">
        <f t="shared" si="93"/>
        <v>0</v>
      </c>
      <c r="K203" s="76">
        <f t="shared" si="93"/>
        <v>0</v>
      </c>
      <c r="L203" s="76">
        <f t="shared" si="93"/>
        <v>0</v>
      </c>
      <c r="M203" s="76">
        <f t="shared" si="93"/>
        <v>0</v>
      </c>
      <c r="N203" s="76">
        <f t="shared" si="93"/>
        <v>0</v>
      </c>
      <c r="O203" s="76">
        <f t="shared" si="93"/>
        <v>0</v>
      </c>
      <c r="P203" s="130"/>
      <c r="Q203" s="7"/>
    </row>
    <row r="204" spans="2:17" ht="25.5" customHeight="1" x14ac:dyDescent="0.2">
      <c r="B204" s="111" t="s">
        <v>557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3"/>
    </row>
    <row r="205" spans="2:17" ht="42.75" outlineLevel="1" x14ac:dyDescent="0.2">
      <c r="B205" s="117" t="s">
        <v>1762</v>
      </c>
      <c r="C205" s="117" t="s">
        <v>1709</v>
      </c>
      <c r="D205" s="117" t="s">
        <v>1763</v>
      </c>
      <c r="E205" s="117" t="s">
        <v>330</v>
      </c>
      <c r="F205" s="117"/>
      <c r="G205" s="117" t="s">
        <v>1764</v>
      </c>
      <c r="H205" s="84" t="s">
        <v>3</v>
      </c>
      <c r="I205" s="83">
        <f>SUM(J205:O205)</f>
        <v>1284</v>
      </c>
      <c r="J205" s="83">
        <f t="shared" ref="J205:O205" si="94">J206+J207+J208</f>
        <v>214</v>
      </c>
      <c r="K205" s="83">
        <f t="shared" si="94"/>
        <v>214</v>
      </c>
      <c r="L205" s="83">
        <f t="shared" si="94"/>
        <v>214</v>
      </c>
      <c r="M205" s="83">
        <f t="shared" si="94"/>
        <v>214</v>
      </c>
      <c r="N205" s="83">
        <f t="shared" si="94"/>
        <v>214</v>
      </c>
      <c r="O205" s="83">
        <f t="shared" si="94"/>
        <v>214</v>
      </c>
      <c r="P205" s="117"/>
    </row>
    <row r="206" spans="2:17" outlineLevel="1" x14ac:dyDescent="0.2">
      <c r="B206" s="118"/>
      <c r="C206" s="132"/>
      <c r="D206" s="118"/>
      <c r="E206" s="118"/>
      <c r="F206" s="118"/>
      <c r="G206" s="118"/>
      <c r="H206" s="84" t="s">
        <v>4</v>
      </c>
      <c r="I206" s="83">
        <f t="shared" ref="I206:I208" si="95">SUM(J206:O206)</f>
        <v>1284</v>
      </c>
      <c r="J206" s="75">
        <v>214</v>
      </c>
      <c r="K206" s="75">
        <v>214</v>
      </c>
      <c r="L206" s="75">
        <v>214</v>
      </c>
      <c r="M206" s="75">
        <v>214</v>
      </c>
      <c r="N206" s="75">
        <v>214</v>
      </c>
      <c r="O206" s="75">
        <v>214</v>
      </c>
      <c r="P206" s="118"/>
    </row>
    <row r="207" spans="2:17" ht="17.25" outlineLevel="1" x14ac:dyDescent="0.2">
      <c r="B207" s="118"/>
      <c r="C207" s="132"/>
      <c r="D207" s="118"/>
      <c r="E207" s="118"/>
      <c r="F207" s="118"/>
      <c r="G207" s="118"/>
      <c r="H207" s="84" t="s">
        <v>6</v>
      </c>
      <c r="I207" s="83">
        <f t="shared" si="95"/>
        <v>0</v>
      </c>
      <c r="J207" s="75"/>
      <c r="K207" s="75"/>
      <c r="L207" s="52">
        <v>0</v>
      </c>
      <c r="M207" s="52">
        <v>0</v>
      </c>
      <c r="N207" s="52">
        <v>0</v>
      </c>
      <c r="O207" s="52">
        <v>0</v>
      </c>
      <c r="P207" s="118"/>
    </row>
    <row r="208" spans="2:17" outlineLevel="1" x14ac:dyDescent="0.2">
      <c r="B208" s="119"/>
      <c r="C208" s="133"/>
      <c r="D208" s="119"/>
      <c r="E208" s="119"/>
      <c r="F208" s="119"/>
      <c r="G208" s="119"/>
      <c r="H208" s="84" t="s">
        <v>5</v>
      </c>
      <c r="I208" s="83">
        <f t="shared" si="95"/>
        <v>0</v>
      </c>
      <c r="J208" s="75"/>
      <c r="K208" s="75"/>
      <c r="L208" s="75"/>
      <c r="M208" s="75"/>
      <c r="N208" s="75"/>
      <c r="O208" s="75"/>
      <c r="P208" s="119"/>
    </row>
    <row r="209" spans="2:16" ht="42.75" outlineLevel="1" x14ac:dyDescent="0.2">
      <c r="B209" s="117" t="s">
        <v>1765</v>
      </c>
      <c r="C209" s="117" t="s">
        <v>1705</v>
      </c>
      <c r="D209" s="117" t="s">
        <v>1766</v>
      </c>
      <c r="E209" s="117" t="s">
        <v>925</v>
      </c>
      <c r="F209" s="117"/>
      <c r="G209" s="117" t="s">
        <v>83</v>
      </c>
      <c r="H209" s="84" t="s">
        <v>3</v>
      </c>
      <c r="I209" s="83">
        <f>SUM(J209:O209)</f>
        <v>1140.7</v>
      </c>
      <c r="J209" s="83">
        <f t="shared" ref="J209:O209" si="96">J210+J211+J212</f>
        <v>860.4</v>
      </c>
      <c r="K209" s="83">
        <f t="shared" si="96"/>
        <v>93.43</v>
      </c>
      <c r="L209" s="83">
        <f t="shared" si="96"/>
        <v>93.43</v>
      </c>
      <c r="M209" s="83">
        <f t="shared" si="96"/>
        <v>93.44</v>
      </c>
      <c r="N209" s="83">
        <f t="shared" si="96"/>
        <v>0</v>
      </c>
      <c r="O209" s="83">
        <f t="shared" si="96"/>
        <v>0</v>
      </c>
      <c r="P209" s="117"/>
    </row>
    <row r="210" spans="2:16" outlineLevel="1" x14ac:dyDescent="0.2">
      <c r="B210" s="118"/>
      <c r="C210" s="132"/>
      <c r="D210" s="118"/>
      <c r="E210" s="118"/>
      <c r="F210" s="118"/>
      <c r="G210" s="118"/>
      <c r="H210" s="84" t="s">
        <v>4</v>
      </c>
      <c r="I210" s="83">
        <f>SUM(J210:O210)</f>
        <v>1129.3</v>
      </c>
      <c r="J210" s="75">
        <v>851.8</v>
      </c>
      <c r="K210" s="75">
        <v>92.5</v>
      </c>
      <c r="L210" s="75">
        <v>92.5</v>
      </c>
      <c r="M210" s="75">
        <v>92.5</v>
      </c>
      <c r="N210" s="75"/>
      <c r="O210" s="75"/>
      <c r="P210" s="118"/>
    </row>
    <row r="211" spans="2:16" ht="17.25" outlineLevel="1" x14ac:dyDescent="0.2">
      <c r="B211" s="118"/>
      <c r="C211" s="132"/>
      <c r="D211" s="118"/>
      <c r="E211" s="118"/>
      <c r="F211" s="118"/>
      <c r="G211" s="118"/>
      <c r="H211" s="84" t="s">
        <v>6</v>
      </c>
      <c r="I211" s="83">
        <f>SUM(J211:O211)</f>
        <v>11.399999999999999</v>
      </c>
      <c r="J211" s="75">
        <v>8.6</v>
      </c>
      <c r="K211" s="52">
        <v>0.93</v>
      </c>
      <c r="L211" s="52">
        <v>0.93</v>
      </c>
      <c r="M211" s="52">
        <v>0.94</v>
      </c>
      <c r="N211" s="52">
        <v>0</v>
      </c>
      <c r="O211" s="52">
        <v>0</v>
      </c>
      <c r="P211" s="118"/>
    </row>
    <row r="212" spans="2:16" outlineLevel="1" x14ac:dyDescent="0.2">
      <c r="B212" s="119"/>
      <c r="C212" s="133"/>
      <c r="D212" s="119"/>
      <c r="E212" s="119"/>
      <c r="F212" s="119"/>
      <c r="G212" s="119"/>
      <c r="H212" s="84" t="s">
        <v>5</v>
      </c>
      <c r="I212" s="83"/>
      <c r="J212" s="75"/>
      <c r="K212" s="75"/>
      <c r="L212" s="75"/>
      <c r="M212" s="75"/>
      <c r="N212" s="75"/>
      <c r="O212" s="75"/>
      <c r="P212" s="119"/>
    </row>
    <row r="213" spans="2:16" ht="42.75" outlineLevel="1" x14ac:dyDescent="0.2">
      <c r="B213" s="117" t="s">
        <v>1767</v>
      </c>
      <c r="C213" s="117" t="s">
        <v>1705</v>
      </c>
      <c r="D213" s="117" t="s">
        <v>1766</v>
      </c>
      <c r="E213" s="117">
        <v>2024</v>
      </c>
      <c r="F213" s="117"/>
      <c r="G213" s="117" t="s">
        <v>138</v>
      </c>
      <c r="H213" s="84" t="s">
        <v>3</v>
      </c>
      <c r="I213" s="83">
        <f>SUM(J213:O213)</f>
        <v>35</v>
      </c>
      <c r="J213" s="83">
        <f t="shared" ref="J213:O213" si="97">J214+J215+J216</f>
        <v>0</v>
      </c>
      <c r="K213" s="83">
        <f t="shared" si="97"/>
        <v>0</v>
      </c>
      <c r="L213" s="83">
        <f t="shared" si="97"/>
        <v>0</v>
      </c>
      <c r="M213" s="83">
        <f t="shared" si="97"/>
        <v>0</v>
      </c>
      <c r="N213" s="83">
        <f t="shared" si="97"/>
        <v>35</v>
      </c>
      <c r="O213" s="83">
        <f t="shared" si="97"/>
        <v>0</v>
      </c>
      <c r="P213" s="117"/>
    </row>
    <row r="214" spans="2:16" outlineLevel="1" x14ac:dyDescent="0.2">
      <c r="B214" s="118"/>
      <c r="C214" s="132"/>
      <c r="D214" s="118"/>
      <c r="E214" s="118"/>
      <c r="F214" s="118"/>
      <c r="G214" s="118"/>
      <c r="H214" s="84" t="s">
        <v>4</v>
      </c>
      <c r="I214" s="83">
        <f>SUM(J214:O214)</f>
        <v>34.65</v>
      </c>
      <c r="J214" s="75"/>
      <c r="K214" s="75"/>
      <c r="L214" s="75"/>
      <c r="M214" s="75"/>
      <c r="N214" s="75">
        <v>34.65</v>
      </c>
      <c r="O214" s="75"/>
      <c r="P214" s="118"/>
    </row>
    <row r="215" spans="2:16" ht="17.25" outlineLevel="1" x14ac:dyDescent="0.2">
      <c r="B215" s="118"/>
      <c r="C215" s="132"/>
      <c r="D215" s="118"/>
      <c r="E215" s="118"/>
      <c r="F215" s="118"/>
      <c r="G215" s="118"/>
      <c r="H215" s="84" t="s">
        <v>6</v>
      </c>
      <c r="I215" s="83">
        <f>SUM(J215:O215)</f>
        <v>0.35</v>
      </c>
      <c r="J215" s="75"/>
      <c r="K215" s="52">
        <v>0</v>
      </c>
      <c r="L215" s="52">
        <v>0</v>
      </c>
      <c r="M215" s="52">
        <v>0</v>
      </c>
      <c r="N215" s="52">
        <v>0.35</v>
      </c>
      <c r="O215" s="52">
        <v>0</v>
      </c>
      <c r="P215" s="118"/>
    </row>
    <row r="216" spans="2:16" outlineLevel="1" x14ac:dyDescent="0.2">
      <c r="B216" s="119"/>
      <c r="C216" s="133"/>
      <c r="D216" s="119"/>
      <c r="E216" s="119"/>
      <c r="F216" s="119"/>
      <c r="G216" s="119"/>
      <c r="H216" s="84" t="s">
        <v>5</v>
      </c>
      <c r="I216" s="83"/>
      <c r="J216" s="75"/>
      <c r="K216" s="75"/>
      <c r="L216" s="75"/>
      <c r="M216" s="75"/>
      <c r="N216" s="75"/>
      <c r="O216" s="75"/>
      <c r="P216" s="119"/>
    </row>
    <row r="217" spans="2:16" ht="42.75" outlineLevel="1" x14ac:dyDescent="0.2">
      <c r="B217" s="117" t="s">
        <v>1768</v>
      </c>
      <c r="C217" s="117" t="s">
        <v>1705</v>
      </c>
      <c r="D217" s="117" t="s">
        <v>1766</v>
      </c>
      <c r="E217" s="117">
        <v>2024</v>
      </c>
      <c r="F217" s="117"/>
      <c r="G217" s="117" t="s">
        <v>138</v>
      </c>
      <c r="H217" s="84" t="s">
        <v>3</v>
      </c>
      <c r="I217" s="83">
        <f>SUM(J217:O217)</f>
        <v>20</v>
      </c>
      <c r="J217" s="83">
        <f t="shared" ref="J217:O217" si="98">J218+J219+J220</f>
        <v>0</v>
      </c>
      <c r="K217" s="83">
        <f t="shared" si="98"/>
        <v>0</v>
      </c>
      <c r="L217" s="83">
        <f t="shared" si="98"/>
        <v>0</v>
      </c>
      <c r="M217" s="83">
        <f t="shared" si="98"/>
        <v>0</v>
      </c>
      <c r="N217" s="83">
        <f t="shared" si="98"/>
        <v>20</v>
      </c>
      <c r="O217" s="83">
        <f t="shared" si="98"/>
        <v>0</v>
      </c>
      <c r="P217" s="117"/>
    </row>
    <row r="218" spans="2:16" ht="17.25" outlineLevel="1" x14ac:dyDescent="0.2">
      <c r="B218" s="118"/>
      <c r="C218" s="132"/>
      <c r="D218" s="118"/>
      <c r="E218" s="118"/>
      <c r="F218" s="118"/>
      <c r="G218" s="118"/>
      <c r="H218" s="84" t="s">
        <v>4</v>
      </c>
      <c r="I218" s="83">
        <f>SUM(J218:O218)</f>
        <v>19.8</v>
      </c>
      <c r="J218" s="52">
        <v>0</v>
      </c>
      <c r="K218" s="75"/>
      <c r="L218" s="52">
        <v>0</v>
      </c>
      <c r="M218" s="52">
        <v>0</v>
      </c>
      <c r="N218" s="52">
        <v>19.8</v>
      </c>
      <c r="O218" s="52">
        <v>0</v>
      </c>
      <c r="P218" s="118"/>
    </row>
    <row r="219" spans="2:16" ht="17.25" outlineLevel="1" x14ac:dyDescent="0.2">
      <c r="B219" s="118"/>
      <c r="C219" s="132"/>
      <c r="D219" s="118"/>
      <c r="E219" s="118"/>
      <c r="F219" s="118"/>
      <c r="G219" s="118"/>
      <c r="H219" s="84" t="s">
        <v>6</v>
      </c>
      <c r="I219" s="83">
        <f>SUM(J219:O219)</f>
        <v>0.2</v>
      </c>
      <c r="J219" s="52">
        <v>0</v>
      </c>
      <c r="K219" s="75"/>
      <c r="L219" s="52">
        <v>0</v>
      </c>
      <c r="M219" s="52">
        <v>0</v>
      </c>
      <c r="N219" s="52">
        <v>0.2</v>
      </c>
      <c r="O219" s="52">
        <v>0</v>
      </c>
      <c r="P219" s="118"/>
    </row>
    <row r="220" spans="2:16" outlineLevel="1" x14ac:dyDescent="0.2">
      <c r="B220" s="119"/>
      <c r="C220" s="133"/>
      <c r="D220" s="119"/>
      <c r="E220" s="119"/>
      <c r="F220" s="119"/>
      <c r="G220" s="119"/>
      <c r="H220" s="84" t="s">
        <v>5</v>
      </c>
      <c r="I220" s="83"/>
      <c r="J220" s="75"/>
      <c r="K220" s="75"/>
      <c r="L220" s="75"/>
      <c r="M220" s="75"/>
      <c r="N220" s="75"/>
      <c r="O220" s="75"/>
      <c r="P220" s="119"/>
    </row>
    <row r="221" spans="2:16" ht="42.75" outlineLevel="1" x14ac:dyDescent="0.2">
      <c r="B221" s="117" t="s">
        <v>1769</v>
      </c>
      <c r="C221" s="117"/>
      <c r="D221" s="117" t="s">
        <v>1766</v>
      </c>
      <c r="E221" s="117" t="s">
        <v>34</v>
      </c>
      <c r="F221" s="117"/>
      <c r="G221" s="117" t="s">
        <v>1770</v>
      </c>
      <c r="H221" s="84" t="s">
        <v>3</v>
      </c>
      <c r="I221" s="83">
        <f>SUM(J221:O221)</f>
        <v>96.5</v>
      </c>
      <c r="J221" s="83">
        <f t="shared" ref="J221:O221" si="99">J222+J223+J224</f>
        <v>0</v>
      </c>
      <c r="K221" s="83">
        <f t="shared" si="99"/>
        <v>35</v>
      </c>
      <c r="L221" s="83">
        <f t="shared" si="99"/>
        <v>35</v>
      </c>
      <c r="M221" s="83">
        <f t="shared" si="99"/>
        <v>26.5</v>
      </c>
      <c r="N221" s="83">
        <f t="shared" si="99"/>
        <v>0</v>
      </c>
      <c r="O221" s="83">
        <f t="shared" si="99"/>
        <v>0</v>
      </c>
      <c r="P221" s="117"/>
    </row>
    <row r="222" spans="2:16" outlineLevel="1" x14ac:dyDescent="0.2">
      <c r="B222" s="118"/>
      <c r="C222" s="132"/>
      <c r="D222" s="118"/>
      <c r="E222" s="118"/>
      <c r="F222" s="118"/>
      <c r="G222" s="118"/>
      <c r="H222" s="84" t="s">
        <v>4</v>
      </c>
      <c r="I222" s="83">
        <f>SUM(J222:O222)</f>
        <v>0</v>
      </c>
      <c r="J222" s="75"/>
      <c r="K222" s="75"/>
      <c r="L222" s="75"/>
      <c r="M222" s="75"/>
      <c r="N222" s="75"/>
      <c r="O222" s="75"/>
      <c r="P222" s="118"/>
    </row>
    <row r="223" spans="2:16" outlineLevel="1" x14ac:dyDescent="0.2">
      <c r="B223" s="118"/>
      <c r="C223" s="132"/>
      <c r="D223" s="118"/>
      <c r="E223" s="118"/>
      <c r="F223" s="118"/>
      <c r="G223" s="118"/>
      <c r="H223" s="84" t="s">
        <v>6</v>
      </c>
      <c r="I223" s="83">
        <f>SUM(J223:O223)</f>
        <v>96.5</v>
      </c>
      <c r="J223" s="75"/>
      <c r="K223" s="83">
        <v>35</v>
      </c>
      <c r="L223" s="83">
        <v>35</v>
      </c>
      <c r="M223" s="83">
        <v>26.5</v>
      </c>
      <c r="N223" s="83"/>
      <c r="O223" s="83">
        <v>0</v>
      </c>
      <c r="P223" s="118"/>
    </row>
    <row r="224" spans="2:16" outlineLevel="1" x14ac:dyDescent="0.2">
      <c r="B224" s="119"/>
      <c r="C224" s="133"/>
      <c r="D224" s="119"/>
      <c r="E224" s="119"/>
      <c r="F224" s="119"/>
      <c r="G224" s="119"/>
      <c r="H224" s="84" t="s">
        <v>5</v>
      </c>
      <c r="I224" s="83"/>
      <c r="J224" s="75"/>
      <c r="K224" s="75"/>
      <c r="L224" s="75"/>
      <c r="M224" s="75"/>
      <c r="N224" s="75"/>
      <c r="O224" s="75"/>
      <c r="P224" s="119"/>
    </row>
    <row r="225" spans="2:17" ht="42.75" outlineLevel="1" x14ac:dyDescent="0.2">
      <c r="B225" s="117" t="s">
        <v>1771</v>
      </c>
      <c r="C225" s="117"/>
      <c r="D225" s="117" t="s">
        <v>1766</v>
      </c>
      <c r="E225" s="117" t="s">
        <v>73</v>
      </c>
      <c r="F225" s="117"/>
      <c r="G225" s="117" t="s">
        <v>1770</v>
      </c>
      <c r="H225" s="84" t="s">
        <v>3</v>
      </c>
      <c r="I225" s="83">
        <f>SUM(J225:O225)</f>
        <v>361.2</v>
      </c>
      <c r="J225" s="83">
        <f t="shared" ref="J225:O225" si="100">J226+J227+J228</f>
        <v>0</v>
      </c>
      <c r="K225" s="83">
        <f t="shared" si="100"/>
        <v>50</v>
      </c>
      <c r="L225" s="83">
        <f t="shared" si="100"/>
        <v>50</v>
      </c>
      <c r="M225" s="83">
        <f t="shared" si="100"/>
        <v>70</v>
      </c>
      <c r="N225" s="83">
        <f t="shared" si="100"/>
        <v>120</v>
      </c>
      <c r="O225" s="83">
        <f t="shared" si="100"/>
        <v>71.2</v>
      </c>
      <c r="P225" s="117"/>
    </row>
    <row r="226" spans="2:17" outlineLevel="1" x14ac:dyDescent="0.2">
      <c r="B226" s="118"/>
      <c r="C226" s="132"/>
      <c r="D226" s="118"/>
      <c r="E226" s="118"/>
      <c r="F226" s="118"/>
      <c r="G226" s="118"/>
      <c r="H226" s="84" t="s">
        <v>4</v>
      </c>
      <c r="I226" s="83">
        <f>SUM(J226:O226)</f>
        <v>0</v>
      </c>
      <c r="J226" s="83">
        <v>0</v>
      </c>
      <c r="K226" s="75"/>
      <c r="L226" s="83">
        <v>0</v>
      </c>
      <c r="M226" s="83">
        <v>0</v>
      </c>
      <c r="N226" s="83"/>
      <c r="O226" s="83">
        <v>0</v>
      </c>
      <c r="P226" s="118"/>
    </row>
    <row r="227" spans="2:17" outlineLevel="1" x14ac:dyDescent="0.2">
      <c r="B227" s="118"/>
      <c r="C227" s="132"/>
      <c r="D227" s="118"/>
      <c r="E227" s="118"/>
      <c r="F227" s="118"/>
      <c r="G227" s="118"/>
      <c r="H227" s="84" t="s">
        <v>6</v>
      </c>
      <c r="I227" s="83">
        <f>SUM(J227:O227)</f>
        <v>361.2</v>
      </c>
      <c r="J227" s="83">
        <v>0</v>
      </c>
      <c r="K227" s="75">
        <v>50</v>
      </c>
      <c r="L227" s="83">
        <v>50</v>
      </c>
      <c r="M227" s="83">
        <v>70</v>
      </c>
      <c r="N227" s="83">
        <v>120</v>
      </c>
      <c r="O227" s="83">
        <v>71.2</v>
      </c>
      <c r="P227" s="118"/>
    </row>
    <row r="228" spans="2:17" outlineLevel="1" x14ac:dyDescent="0.2">
      <c r="B228" s="119"/>
      <c r="C228" s="133"/>
      <c r="D228" s="119"/>
      <c r="E228" s="119"/>
      <c r="F228" s="119"/>
      <c r="G228" s="119"/>
      <c r="H228" s="84" t="s">
        <v>5</v>
      </c>
      <c r="I228" s="83"/>
      <c r="J228" s="75"/>
      <c r="K228" s="75"/>
      <c r="L228" s="75"/>
      <c r="M228" s="75"/>
      <c r="N228" s="75"/>
      <c r="O228" s="75"/>
      <c r="P228" s="119"/>
    </row>
    <row r="229" spans="2:17" ht="42.75" outlineLevel="1" x14ac:dyDescent="0.2">
      <c r="B229" s="117" t="s">
        <v>1772</v>
      </c>
      <c r="C229" s="117"/>
      <c r="D229" s="117" t="s">
        <v>1766</v>
      </c>
      <c r="E229" s="117" t="s">
        <v>73</v>
      </c>
      <c r="F229" s="117"/>
      <c r="G229" s="117" t="s">
        <v>226</v>
      </c>
      <c r="H229" s="84" t="s">
        <v>3</v>
      </c>
      <c r="I229" s="83">
        <f>SUM(J229:O229)</f>
        <v>269.2</v>
      </c>
      <c r="J229" s="83">
        <f t="shared" ref="J229:O229" si="101">J230+J231+J232</f>
        <v>0</v>
      </c>
      <c r="K229" s="83">
        <f t="shared" si="101"/>
        <v>50</v>
      </c>
      <c r="L229" s="83">
        <f t="shared" si="101"/>
        <v>50</v>
      </c>
      <c r="M229" s="83">
        <f t="shared" si="101"/>
        <v>70</v>
      </c>
      <c r="N229" s="83">
        <f t="shared" si="101"/>
        <v>80</v>
      </c>
      <c r="O229" s="83">
        <f t="shared" si="101"/>
        <v>19.2</v>
      </c>
      <c r="P229" s="117"/>
    </row>
    <row r="230" spans="2:17" outlineLevel="1" x14ac:dyDescent="0.2">
      <c r="B230" s="118"/>
      <c r="C230" s="132"/>
      <c r="D230" s="118"/>
      <c r="E230" s="118"/>
      <c r="F230" s="118"/>
      <c r="G230" s="118"/>
      <c r="H230" s="84" t="s">
        <v>4</v>
      </c>
      <c r="I230" s="83">
        <f>SUM(J230:O230)</f>
        <v>0</v>
      </c>
      <c r="J230" s="75"/>
      <c r="K230" s="75"/>
      <c r="L230" s="75"/>
      <c r="M230" s="75"/>
      <c r="N230" s="75"/>
      <c r="O230" s="75"/>
      <c r="P230" s="118"/>
    </row>
    <row r="231" spans="2:17" outlineLevel="1" x14ac:dyDescent="0.2">
      <c r="B231" s="118"/>
      <c r="C231" s="132"/>
      <c r="D231" s="118"/>
      <c r="E231" s="118"/>
      <c r="F231" s="118"/>
      <c r="G231" s="118"/>
      <c r="H231" s="84" t="s">
        <v>6</v>
      </c>
      <c r="I231" s="83">
        <f>SUM(J231:O231)</f>
        <v>269.2</v>
      </c>
      <c r="J231" s="75"/>
      <c r="K231" s="83">
        <v>50</v>
      </c>
      <c r="L231" s="83">
        <v>50</v>
      </c>
      <c r="M231" s="83">
        <v>70</v>
      </c>
      <c r="N231" s="83">
        <v>80</v>
      </c>
      <c r="O231" s="83">
        <v>19.2</v>
      </c>
      <c r="P231" s="118"/>
    </row>
    <row r="232" spans="2:17" outlineLevel="1" x14ac:dyDescent="0.2">
      <c r="B232" s="119"/>
      <c r="C232" s="133"/>
      <c r="D232" s="119"/>
      <c r="E232" s="119"/>
      <c r="F232" s="119"/>
      <c r="G232" s="119"/>
      <c r="H232" s="84" t="s">
        <v>5</v>
      </c>
      <c r="I232" s="83"/>
      <c r="J232" s="75"/>
      <c r="K232" s="75"/>
      <c r="L232" s="75"/>
      <c r="M232" s="75"/>
      <c r="N232" s="75"/>
      <c r="O232" s="75"/>
      <c r="P232" s="119"/>
    </row>
    <row r="233" spans="2:17" ht="42.75" outlineLevel="1" x14ac:dyDescent="0.2">
      <c r="B233" s="117" t="s">
        <v>1773</v>
      </c>
      <c r="C233" s="117"/>
      <c r="D233" s="117" t="s">
        <v>1766</v>
      </c>
      <c r="E233" s="117" t="s">
        <v>73</v>
      </c>
      <c r="F233" s="117" t="s">
        <v>1774</v>
      </c>
      <c r="G233" s="117" t="s">
        <v>226</v>
      </c>
      <c r="H233" s="84" t="s">
        <v>3</v>
      </c>
      <c r="I233" s="83">
        <f>SUM(J233:O233)</f>
        <v>1030.5</v>
      </c>
      <c r="J233" s="83">
        <f t="shared" ref="J233:O233" si="102">J234+J235+J236</f>
        <v>0</v>
      </c>
      <c r="K233" s="83">
        <f t="shared" si="102"/>
        <v>180</v>
      </c>
      <c r="L233" s="83">
        <f t="shared" si="102"/>
        <v>250</v>
      </c>
      <c r="M233" s="83">
        <f t="shared" si="102"/>
        <v>210</v>
      </c>
      <c r="N233" s="83">
        <f t="shared" si="102"/>
        <v>200</v>
      </c>
      <c r="O233" s="83">
        <f t="shared" si="102"/>
        <v>190.5</v>
      </c>
      <c r="P233" s="117"/>
    </row>
    <row r="234" spans="2:17" outlineLevel="1" x14ac:dyDescent="0.2">
      <c r="B234" s="118"/>
      <c r="C234" s="132"/>
      <c r="D234" s="118"/>
      <c r="E234" s="118"/>
      <c r="F234" s="118"/>
      <c r="G234" s="118"/>
      <c r="H234" s="84" t="s">
        <v>4</v>
      </c>
      <c r="I234" s="83">
        <f>SUM(J234:O234)</f>
        <v>0</v>
      </c>
      <c r="J234" s="83">
        <v>0</v>
      </c>
      <c r="K234" s="75"/>
      <c r="L234" s="83">
        <v>0</v>
      </c>
      <c r="M234" s="83">
        <v>0</v>
      </c>
      <c r="N234" s="83"/>
      <c r="O234" s="83">
        <v>0</v>
      </c>
      <c r="P234" s="118"/>
    </row>
    <row r="235" spans="2:17" outlineLevel="1" x14ac:dyDescent="0.2">
      <c r="B235" s="118"/>
      <c r="C235" s="132"/>
      <c r="D235" s="118"/>
      <c r="E235" s="118"/>
      <c r="F235" s="118"/>
      <c r="G235" s="118"/>
      <c r="H235" s="84" t="s">
        <v>6</v>
      </c>
      <c r="I235" s="83">
        <f>SUM(J235:O235)</f>
        <v>1030.5</v>
      </c>
      <c r="J235" s="83">
        <v>0</v>
      </c>
      <c r="K235" s="75">
        <v>180</v>
      </c>
      <c r="L235" s="83">
        <v>250</v>
      </c>
      <c r="M235" s="83">
        <v>210</v>
      </c>
      <c r="N235" s="83">
        <v>200</v>
      </c>
      <c r="O235" s="83">
        <v>190.5</v>
      </c>
      <c r="P235" s="118"/>
    </row>
    <row r="236" spans="2:17" outlineLevel="1" x14ac:dyDescent="0.2">
      <c r="B236" s="119"/>
      <c r="C236" s="133"/>
      <c r="D236" s="119"/>
      <c r="E236" s="119"/>
      <c r="F236" s="119"/>
      <c r="G236" s="119"/>
      <c r="H236" s="84" t="s">
        <v>5</v>
      </c>
      <c r="I236" s="83"/>
      <c r="J236" s="75"/>
      <c r="K236" s="75"/>
      <c r="L236" s="75"/>
      <c r="M236" s="75"/>
      <c r="N236" s="75"/>
      <c r="O236" s="75"/>
      <c r="P236" s="119"/>
    </row>
    <row r="237" spans="2:17" ht="42.75" x14ac:dyDescent="0.2">
      <c r="B237" s="128" t="s">
        <v>560</v>
      </c>
      <c r="C237" s="128" t="s">
        <v>38</v>
      </c>
      <c r="D237" s="128" t="s">
        <v>38</v>
      </c>
      <c r="E237" s="128" t="s">
        <v>38</v>
      </c>
      <c r="F237" s="128" t="s">
        <v>38</v>
      </c>
      <c r="G237" s="128" t="s">
        <v>38</v>
      </c>
      <c r="H237" s="84" t="s">
        <v>3</v>
      </c>
      <c r="I237" s="14">
        <f t="shared" ref="I237:O237" si="103">SUMIF($H$205:$H$236,"Объем*",I$205:I$236)</f>
        <v>4237.0999999999995</v>
      </c>
      <c r="J237" s="14">
        <f t="shared" si="103"/>
        <v>1074.4000000000001</v>
      </c>
      <c r="K237" s="14">
        <f t="shared" si="103"/>
        <v>622.43000000000006</v>
      </c>
      <c r="L237" s="14">
        <f t="shared" si="103"/>
        <v>692.43000000000006</v>
      </c>
      <c r="M237" s="14">
        <f t="shared" si="103"/>
        <v>683.94</v>
      </c>
      <c r="N237" s="14">
        <f t="shared" si="103"/>
        <v>669</v>
      </c>
      <c r="O237" s="14">
        <f t="shared" si="103"/>
        <v>494.9</v>
      </c>
      <c r="P237" s="128"/>
      <c r="Q237" s="7"/>
    </row>
    <row r="238" spans="2:17" ht="15.75" x14ac:dyDescent="0.2">
      <c r="B238" s="129"/>
      <c r="C238" s="129"/>
      <c r="D238" s="129"/>
      <c r="E238" s="129"/>
      <c r="F238" s="129"/>
      <c r="G238" s="129"/>
      <c r="H238" s="84" t="s">
        <v>4</v>
      </c>
      <c r="I238" s="14">
        <f t="shared" ref="I238:O238" si="104">SUMIF($H$205:$H$236,"фед*",I$205:I$236)</f>
        <v>2467.7500000000005</v>
      </c>
      <c r="J238" s="14">
        <f t="shared" si="104"/>
        <v>1065.8</v>
      </c>
      <c r="K238" s="14">
        <f t="shared" si="104"/>
        <v>306.5</v>
      </c>
      <c r="L238" s="14">
        <f t="shared" si="104"/>
        <v>306.5</v>
      </c>
      <c r="M238" s="14">
        <f t="shared" si="104"/>
        <v>306.5</v>
      </c>
      <c r="N238" s="14">
        <f t="shared" si="104"/>
        <v>268.45</v>
      </c>
      <c r="O238" s="14">
        <f t="shared" si="104"/>
        <v>214</v>
      </c>
      <c r="P238" s="129"/>
      <c r="Q238" s="7"/>
    </row>
    <row r="239" spans="2:17" ht="15.75" x14ac:dyDescent="0.2">
      <c r="B239" s="129"/>
      <c r="C239" s="129"/>
      <c r="D239" s="129"/>
      <c r="E239" s="129"/>
      <c r="F239" s="129"/>
      <c r="G239" s="129"/>
      <c r="H239" s="84" t="s">
        <v>6</v>
      </c>
      <c r="I239" s="14">
        <f t="shared" ref="I239:O239" si="105">SUMIF($H$205:$H$236,"конс*",I$205:I$236)</f>
        <v>1769.35</v>
      </c>
      <c r="J239" s="14">
        <f t="shared" si="105"/>
        <v>8.6</v>
      </c>
      <c r="K239" s="14">
        <f t="shared" si="105"/>
        <v>315.93</v>
      </c>
      <c r="L239" s="14">
        <f t="shared" si="105"/>
        <v>385.93</v>
      </c>
      <c r="M239" s="14">
        <f t="shared" si="105"/>
        <v>377.44</v>
      </c>
      <c r="N239" s="14">
        <f t="shared" si="105"/>
        <v>400.55</v>
      </c>
      <c r="O239" s="14">
        <f t="shared" si="105"/>
        <v>280.89999999999998</v>
      </c>
      <c r="P239" s="129"/>
      <c r="Q239" s="7"/>
    </row>
    <row r="240" spans="2:17" ht="15.75" x14ac:dyDescent="0.2">
      <c r="B240" s="130"/>
      <c r="C240" s="130"/>
      <c r="D240" s="130"/>
      <c r="E240" s="130"/>
      <c r="F240" s="130"/>
      <c r="G240" s="130"/>
      <c r="H240" s="84" t="s">
        <v>5</v>
      </c>
      <c r="I240" s="14">
        <f t="shared" ref="I240:O240" si="106">SUMIF($H$205:$H$236,"вне*",I$205:I$236)</f>
        <v>0</v>
      </c>
      <c r="J240" s="14">
        <f t="shared" si="106"/>
        <v>0</v>
      </c>
      <c r="K240" s="14">
        <f t="shared" si="106"/>
        <v>0</v>
      </c>
      <c r="L240" s="14">
        <f t="shared" si="106"/>
        <v>0</v>
      </c>
      <c r="M240" s="14">
        <f t="shared" si="106"/>
        <v>0</v>
      </c>
      <c r="N240" s="14">
        <f t="shared" si="106"/>
        <v>0</v>
      </c>
      <c r="O240" s="14">
        <f t="shared" si="106"/>
        <v>0</v>
      </c>
      <c r="P240" s="130"/>
      <c r="Q240" s="7"/>
    </row>
    <row r="241" spans="2:16" ht="25.5" customHeight="1" x14ac:dyDescent="0.2">
      <c r="B241" s="111" t="s">
        <v>65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3"/>
    </row>
    <row r="242" spans="2:16" ht="42.75" customHeight="1" outlineLevel="1" x14ac:dyDescent="0.2">
      <c r="B242" s="117" t="s">
        <v>1898</v>
      </c>
      <c r="C242" s="117"/>
      <c r="D242" s="117" t="s">
        <v>575</v>
      </c>
      <c r="E242" s="117" t="s">
        <v>286</v>
      </c>
      <c r="F242" s="117"/>
      <c r="G242" s="117" t="s">
        <v>1899</v>
      </c>
      <c r="H242" s="84" t="s">
        <v>3</v>
      </c>
      <c r="I242" s="83">
        <f t="shared" ref="I242:I277" si="107">SUM(J242:O242)</f>
        <v>4000</v>
      </c>
      <c r="J242" s="83">
        <f t="shared" ref="J242:O242" si="108">J243+J244+J245</f>
        <v>0</v>
      </c>
      <c r="K242" s="83">
        <f t="shared" si="108"/>
        <v>0</v>
      </c>
      <c r="L242" s="83">
        <f t="shared" si="108"/>
        <v>0</v>
      </c>
      <c r="M242" s="83">
        <f t="shared" si="108"/>
        <v>1500</v>
      </c>
      <c r="N242" s="83">
        <f t="shared" si="108"/>
        <v>1250</v>
      </c>
      <c r="O242" s="83">
        <f t="shared" si="108"/>
        <v>1250</v>
      </c>
      <c r="P242" s="134">
        <v>200000</v>
      </c>
    </row>
    <row r="243" spans="2:16" ht="15" customHeight="1" outlineLevel="1" x14ac:dyDescent="0.2">
      <c r="B243" s="118"/>
      <c r="C243" s="190"/>
      <c r="D243" s="118"/>
      <c r="E243" s="118"/>
      <c r="F243" s="118"/>
      <c r="G243" s="118"/>
      <c r="H243" s="84" t="s">
        <v>4</v>
      </c>
      <c r="I243" s="83">
        <f t="shared" si="107"/>
        <v>3600</v>
      </c>
      <c r="J243" s="81"/>
      <c r="K243" s="81"/>
      <c r="L243" s="81"/>
      <c r="M243" s="86">
        <v>1350</v>
      </c>
      <c r="N243" s="86">
        <v>1125</v>
      </c>
      <c r="O243" s="86">
        <v>1125</v>
      </c>
      <c r="P243" s="135"/>
    </row>
    <row r="244" spans="2:16" ht="15" customHeight="1" outlineLevel="1" x14ac:dyDescent="0.2">
      <c r="B244" s="118"/>
      <c r="C244" s="190"/>
      <c r="D244" s="118"/>
      <c r="E244" s="118"/>
      <c r="F244" s="118"/>
      <c r="G244" s="118"/>
      <c r="H244" s="84" t="s">
        <v>6</v>
      </c>
      <c r="I244" s="83">
        <f t="shared" si="107"/>
        <v>400</v>
      </c>
      <c r="J244" s="81"/>
      <c r="K244" s="81"/>
      <c r="L244" s="81"/>
      <c r="M244" s="86">
        <v>150</v>
      </c>
      <c r="N244" s="86">
        <v>125</v>
      </c>
      <c r="O244" s="86">
        <v>125</v>
      </c>
      <c r="P244" s="135"/>
    </row>
    <row r="245" spans="2:16" ht="15" customHeight="1" outlineLevel="1" x14ac:dyDescent="0.2">
      <c r="B245" s="119"/>
      <c r="C245" s="191"/>
      <c r="D245" s="119"/>
      <c r="E245" s="119"/>
      <c r="F245" s="119"/>
      <c r="G245" s="119"/>
      <c r="H245" s="84" t="s">
        <v>5</v>
      </c>
      <c r="I245" s="83">
        <f t="shared" si="107"/>
        <v>0</v>
      </c>
      <c r="J245" s="83"/>
      <c r="K245" s="83"/>
      <c r="L245" s="83"/>
      <c r="M245" s="83"/>
      <c r="N245" s="83"/>
      <c r="O245" s="83"/>
      <c r="P245" s="136"/>
    </row>
    <row r="246" spans="2:16" ht="42.75" customHeight="1" outlineLevel="1" x14ac:dyDescent="0.2">
      <c r="B246" s="117" t="s">
        <v>1775</v>
      </c>
      <c r="C246" s="117" t="s">
        <v>1705</v>
      </c>
      <c r="D246" s="117" t="s">
        <v>575</v>
      </c>
      <c r="E246" s="117" t="s">
        <v>209</v>
      </c>
      <c r="F246" s="117" t="s">
        <v>1776</v>
      </c>
      <c r="G246" s="117" t="s">
        <v>138</v>
      </c>
      <c r="H246" s="84" t="s">
        <v>3</v>
      </c>
      <c r="I246" s="83">
        <f t="shared" si="107"/>
        <v>780</v>
      </c>
      <c r="J246" s="83">
        <f t="shared" ref="J246:O246" si="109">J247+J248+J249</f>
        <v>0</v>
      </c>
      <c r="K246" s="83">
        <f t="shared" si="109"/>
        <v>0</v>
      </c>
      <c r="L246" s="83">
        <f t="shared" si="109"/>
        <v>0</v>
      </c>
      <c r="M246" s="83">
        <f t="shared" si="109"/>
        <v>300</v>
      </c>
      <c r="N246" s="83">
        <f t="shared" si="109"/>
        <v>480</v>
      </c>
      <c r="O246" s="83">
        <f t="shared" si="109"/>
        <v>0</v>
      </c>
      <c r="P246" s="134">
        <v>200000</v>
      </c>
    </row>
    <row r="247" spans="2:16" ht="15" customHeight="1" outlineLevel="1" x14ac:dyDescent="0.2">
      <c r="B247" s="118"/>
      <c r="C247" s="190"/>
      <c r="D247" s="118"/>
      <c r="E247" s="118"/>
      <c r="F247" s="118"/>
      <c r="G247" s="118"/>
      <c r="H247" s="84" t="s">
        <v>4</v>
      </c>
      <c r="I247" s="83">
        <f t="shared" si="107"/>
        <v>772.2</v>
      </c>
      <c r="J247" s="81"/>
      <c r="K247" s="81"/>
      <c r="L247" s="81"/>
      <c r="M247" s="86">
        <v>297</v>
      </c>
      <c r="N247" s="86">
        <v>475.2</v>
      </c>
      <c r="O247" s="86"/>
      <c r="P247" s="135"/>
    </row>
    <row r="248" spans="2:16" ht="15" customHeight="1" outlineLevel="1" x14ac:dyDescent="0.2">
      <c r="B248" s="118"/>
      <c r="C248" s="190"/>
      <c r="D248" s="118"/>
      <c r="E248" s="118"/>
      <c r="F248" s="118"/>
      <c r="G248" s="118"/>
      <c r="H248" s="84" t="s">
        <v>6</v>
      </c>
      <c r="I248" s="83">
        <f t="shared" si="107"/>
        <v>7.8</v>
      </c>
      <c r="J248" s="81"/>
      <c r="K248" s="81"/>
      <c r="L248" s="81"/>
      <c r="M248" s="86">
        <v>3</v>
      </c>
      <c r="N248" s="86">
        <v>4.8</v>
      </c>
      <c r="O248" s="86"/>
      <c r="P248" s="135"/>
    </row>
    <row r="249" spans="2:16" ht="15" customHeight="1" outlineLevel="1" x14ac:dyDescent="0.2">
      <c r="B249" s="119"/>
      <c r="C249" s="191"/>
      <c r="D249" s="119"/>
      <c r="E249" s="119"/>
      <c r="F249" s="119"/>
      <c r="G249" s="119"/>
      <c r="H249" s="84" t="s">
        <v>5</v>
      </c>
      <c r="I249" s="83">
        <f t="shared" si="107"/>
        <v>0</v>
      </c>
      <c r="J249" s="83"/>
      <c r="K249" s="83"/>
      <c r="L249" s="83"/>
      <c r="M249" s="83"/>
      <c r="N249" s="83"/>
      <c r="O249" s="83"/>
      <c r="P249" s="136"/>
    </row>
    <row r="250" spans="2:16" ht="42.75" customHeight="1" outlineLevel="1" x14ac:dyDescent="0.2">
      <c r="B250" s="117" t="s">
        <v>1777</v>
      </c>
      <c r="C250" s="117" t="s">
        <v>1705</v>
      </c>
      <c r="D250" s="117" t="s">
        <v>575</v>
      </c>
      <c r="E250" s="117">
        <v>2025</v>
      </c>
      <c r="F250" s="117" t="s">
        <v>1778</v>
      </c>
      <c r="G250" s="117" t="s">
        <v>138</v>
      </c>
      <c r="H250" s="84" t="s">
        <v>3</v>
      </c>
      <c r="I250" s="83">
        <f t="shared" ref="I250:I253" si="110">SUM(J250:O250)</f>
        <v>600</v>
      </c>
      <c r="J250" s="83">
        <f t="shared" ref="J250:O250" si="111">J251+J252+J253</f>
        <v>0</v>
      </c>
      <c r="K250" s="83">
        <f t="shared" si="111"/>
        <v>0</v>
      </c>
      <c r="L250" s="83">
        <f>L251+L252+L253</f>
        <v>0</v>
      </c>
      <c r="M250" s="83">
        <f>M251+M252+M253</f>
        <v>0</v>
      </c>
      <c r="N250" s="83">
        <f t="shared" si="111"/>
        <v>0</v>
      </c>
      <c r="O250" s="83">
        <f t="shared" si="111"/>
        <v>600</v>
      </c>
      <c r="P250" s="134">
        <v>100000</v>
      </c>
    </row>
    <row r="251" spans="2:16" ht="15" customHeight="1" outlineLevel="1" x14ac:dyDescent="0.2">
      <c r="B251" s="118"/>
      <c r="C251" s="190"/>
      <c r="D251" s="118"/>
      <c r="E251" s="118"/>
      <c r="F251" s="118"/>
      <c r="G251" s="118"/>
      <c r="H251" s="84" t="s">
        <v>4</v>
      </c>
      <c r="I251" s="83">
        <f t="shared" si="110"/>
        <v>594</v>
      </c>
      <c r="J251" s="81"/>
      <c r="K251" s="81"/>
      <c r="L251" s="81"/>
      <c r="M251" s="86"/>
      <c r="N251" s="86"/>
      <c r="O251" s="86">
        <v>594</v>
      </c>
      <c r="P251" s="135"/>
    </row>
    <row r="252" spans="2:16" ht="15" customHeight="1" outlineLevel="1" x14ac:dyDescent="0.2">
      <c r="B252" s="118"/>
      <c r="C252" s="190"/>
      <c r="D252" s="118"/>
      <c r="E252" s="118"/>
      <c r="F252" s="118"/>
      <c r="G252" s="118"/>
      <c r="H252" s="84" t="s">
        <v>6</v>
      </c>
      <c r="I252" s="83">
        <f t="shared" si="110"/>
        <v>6</v>
      </c>
      <c r="J252" s="81"/>
      <c r="K252" s="81"/>
      <c r="L252" s="81"/>
      <c r="M252" s="86"/>
      <c r="N252" s="86"/>
      <c r="O252" s="86">
        <v>6</v>
      </c>
      <c r="P252" s="135"/>
    </row>
    <row r="253" spans="2:16" ht="15" customHeight="1" outlineLevel="1" x14ac:dyDescent="0.2">
      <c r="B253" s="119"/>
      <c r="C253" s="191"/>
      <c r="D253" s="119"/>
      <c r="E253" s="119"/>
      <c r="F253" s="119"/>
      <c r="G253" s="119"/>
      <c r="H253" s="84" t="s">
        <v>5</v>
      </c>
      <c r="I253" s="83">
        <f t="shared" si="110"/>
        <v>0</v>
      </c>
      <c r="J253" s="83"/>
      <c r="K253" s="83"/>
      <c r="L253" s="83"/>
      <c r="M253" s="83"/>
      <c r="N253" s="83"/>
      <c r="O253" s="83"/>
      <c r="P253" s="136"/>
    </row>
    <row r="254" spans="2:16" ht="42.75" customHeight="1" outlineLevel="1" x14ac:dyDescent="0.2">
      <c r="B254" s="117" t="s">
        <v>1779</v>
      </c>
      <c r="C254" s="117" t="s">
        <v>1705</v>
      </c>
      <c r="D254" s="117" t="s">
        <v>575</v>
      </c>
      <c r="E254" s="117">
        <v>2023</v>
      </c>
      <c r="F254" s="117" t="s">
        <v>1780</v>
      </c>
      <c r="G254" s="117" t="s">
        <v>138</v>
      </c>
      <c r="H254" s="84" t="s">
        <v>3</v>
      </c>
      <c r="I254" s="83">
        <f t="shared" si="107"/>
        <v>361.59999999999997</v>
      </c>
      <c r="J254" s="83">
        <f t="shared" ref="J254:O254" si="112">J255+J256+J257</f>
        <v>0</v>
      </c>
      <c r="K254" s="83">
        <f t="shared" si="112"/>
        <v>0</v>
      </c>
      <c r="L254" s="83">
        <f t="shared" si="112"/>
        <v>0</v>
      </c>
      <c r="M254" s="83">
        <f t="shared" si="112"/>
        <v>361.59999999999997</v>
      </c>
      <c r="N254" s="83">
        <f t="shared" si="112"/>
        <v>0</v>
      </c>
      <c r="O254" s="83">
        <f t="shared" si="112"/>
        <v>0</v>
      </c>
      <c r="P254" s="134">
        <v>50000</v>
      </c>
    </row>
    <row r="255" spans="2:16" ht="15" customHeight="1" outlineLevel="1" x14ac:dyDescent="0.2">
      <c r="B255" s="118"/>
      <c r="C255" s="190"/>
      <c r="D255" s="118"/>
      <c r="E255" s="118"/>
      <c r="F255" s="118"/>
      <c r="G255" s="118"/>
      <c r="H255" s="84" t="s">
        <v>4</v>
      </c>
      <c r="I255" s="83">
        <f t="shared" si="107"/>
        <v>358.7</v>
      </c>
      <c r="J255" s="83"/>
      <c r="K255" s="83"/>
      <c r="L255" s="83"/>
      <c r="M255" s="83">
        <v>358.7</v>
      </c>
      <c r="N255" s="83"/>
      <c r="O255" s="83"/>
      <c r="P255" s="135"/>
    </row>
    <row r="256" spans="2:16" ht="15" customHeight="1" outlineLevel="1" x14ac:dyDescent="0.2">
      <c r="B256" s="118"/>
      <c r="C256" s="190"/>
      <c r="D256" s="118"/>
      <c r="E256" s="118"/>
      <c r="F256" s="118"/>
      <c r="G256" s="118"/>
      <c r="H256" s="84" t="s">
        <v>6</v>
      </c>
      <c r="I256" s="83">
        <f t="shared" si="107"/>
        <v>2.9</v>
      </c>
      <c r="J256" s="83"/>
      <c r="K256" s="83"/>
      <c r="L256" s="83"/>
      <c r="M256" s="83">
        <v>2.9</v>
      </c>
      <c r="N256" s="83"/>
      <c r="O256" s="83"/>
      <c r="P256" s="135"/>
    </row>
    <row r="257" spans="2:16" ht="15" customHeight="1" outlineLevel="1" x14ac:dyDescent="0.2">
      <c r="B257" s="119"/>
      <c r="C257" s="191"/>
      <c r="D257" s="119"/>
      <c r="E257" s="119"/>
      <c r="F257" s="119"/>
      <c r="G257" s="119"/>
      <c r="H257" s="84" t="s">
        <v>5</v>
      </c>
      <c r="I257" s="83">
        <f t="shared" si="107"/>
        <v>0</v>
      </c>
      <c r="J257" s="83"/>
      <c r="K257" s="83"/>
      <c r="L257" s="83"/>
      <c r="M257" s="83"/>
      <c r="N257" s="83"/>
      <c r="O257" s="83"/>
      <c r="P257" s="136"/>
    </row>
    <row r="258" spans="2:16" ht="42.75" customHeight="1" outlineLevel="1" x14ac:dyDescent="0.2">
      <c r="B258" s="205" t="s">
        <v>1781</v>
      </c>
      <c r="C258" s="205"/>
      <c r="D258" s="205" t="s">
        <v>65</v>
      </c>
      <c r="E258" s="205">
        <v>2025</v>
      </c>
      <c r="F258" s="205"/>
      <c r="G258" s="153" t="s">
        <v>138</v>
      </c>
      <c r="H258" s="84" t="s">
        <v>3</v>
      </c>
      <c r="I258" s="83">
        <f t="shared" si="107"/>
        <v>100</v>
      </c>
      <c r="J258" s="83">
        <f t="shared" ref="J258:K258" si="113">J259+J260+J261</f>
        <v>0</v>
      </c>
      <c r="K258" s="83">
        <f t="shared" si="113"/>
        <v>0</v>
      </c>
      <c r="L258" s="83">
        <f>L259+L260+L261</f>
        <v>0</v>
      </c>
      <c r="M258" s="83">
        <f>M259+M260+M261</f>
        <v>0</v>
      </c>
      <c r="N258" s="83">
        <f t="shared" ref="N258:O258" si="114">N259+N260+N261</f>
        <v>0</v>
      </c>
      <c r="O258" s="83">
        <f t="shared" si="114"/>
        <v>100</v>
      </c>
      <c r="P258" s="134">
        <v>50000</v>
      </c>
    </row>
    <row r="259" spans="2:16" outlineLevel="1" x14ac:dyDescent="0.2">
      <c r="B259" s="205"/>
      <c r="C259" s="205"/>
      <c r="D259" s="205"/>
      <c r="E259" s="205"/>
      <c r="F259" s="205"/>
      <c r="G259" s="154"/>
      <c r="H259" s="84" t="s">
        <v>4</v>
      </c>
      <c r="I259" s="83">
        <f t="shared" si="107"/>
        <v>99</v>
      </c>
      <c r="J259" s="13"/>
      <c r="K259" s="13"/>
      <c r="L259" s="13"/>
      <c r="M259" s="13"/>
      <c r="N259" s="13"/>
      <c r="O259" s="75">
        <v>99</v>
      </c>
      <c r="P259" s="135"/>
    </row>
    <row r="260" spans="2:16" outlineLevel="1" x14ac:dyDescent="0.2">
      <c r="B260" s="205"/>
      <c r="C260" s="205"/>
      <c r="D260" s="205"/>
      <c r="E260" s="205"/>
      <c r="F260" s="205"/>
      <c r="G260" s="154"/>
      <c r="H260" s="84" t="s">
        <v>6</v>
      </c>
      <c r="I260" s="83">
        <f t="shared" si="107"/>
        <v>1</v>
      </c>
      <c r="J260" s="13"/>
      <c r="K260" s="13"/>
      <c r="L260" s="13"/>
      <c r="M260" s="13"/>
      <c r="N260" s="13"/>
      <c r="O260" s="75">
        <v>1</v>
      </c>
      <c r="P260" s="135"/>
    </row>
    <row r="261" spans="2:16" outlineLevel="1" x14ac:dyDescent="0.2">
      <c r="B261" s="205"/>
      <c r="C261" s="205"/>
      <c r="D261" s="205"/>
      <c r="E261" s="205"/>
      <c r="F261" s="205"/>
      <c r="G261" s="155"/>
      <c r="H261" s="84" t="s">
        <v>5</v>
      </c>
      <c r="I261" s="83">
        <f t="shared" si="107"/>
        <v>0</v>
      </c>
      <c r="J261" s="83"/>
      <c r="K261" s="83"/>
      <c r="L261" s="83"/>
      <c r="M261" s="83"/>
      <c r="N261" s="83"/>
      <c r="O261" s="83"/>
      <c r="P261" s="136"/>
    </row>
    <row r="262" spans="2:16" ht="42.75" customHeight="1" outlineLevel="1" x14ac:dyDescent="0.2">
      <c r="B262" s="205" t="s">
        <v>1782</v>
      </c>
      <c r="C262" s="205" t="s">
        <v>1783</v>
      </c>
      <c r="D262" s="205" t="s">
        <v>65</v>
      </c>
      <c r="E262" s="205">
        <v>2025</v>
      </c>
      <c r="F262" s="205"/>
      <c r="G262" s="205" t="s">
        <v>566</v>
      </c>
      <c r="H262" s="84" t="s">
        <v>3</v>
      </c>
      <c r="I262" s="83">
        <f t="shared" si="107"/>
        <v>50</v>
      </c>
      <c r="J262" s="83">
        <f t="shared" ref="J262:O262" si="115">J263+J264+J265</f>
        <v>0</v>
      </c>
      <c r="K262" s="83">
        <f t="shared" si="115"/>
        <v>0</v>
      </c>
      <c r="L262" s="83">
        <f t="shared" si="115"/>
        <v>0</v>
      </c>
      <c r="M262" s="83">
        <f t="shared" si="115"/>
        <v>0</v>
      </c>
      <c r="N262" s="83">
        <f t="shared" si="115"/>
        <v>0</v>
      </c>
      <c r="O262" s="83">
        <f t="shared" si="115"/>
        <v>50</v>
      </c>
      <c r="P262" s="134">
        <v>80000</v>
      </c>
    </row>
    <row r="263" spans="2:16" outlineLevel="1" x14ac:dyDescent="0.2">
      <c r="B263" s="205"/>
      <c r="C263" s="205"/>
      <c r="D263" s="205"/>
      <c r="E263" s="205"/>
      <c r="F263" s="205"/>
      <c r="G263" s="205"/>
      <c r="H263" s="84" t="s">
        <v>4</v>
      </c>
      <c r="I263" s="83">
        <f t="shared" si="107"/>
        <v>49.5</v>
      </c>
      <c r="J263" s="86"/>
      <c r="K263" s="86"/>
      <c r="L263" s="86"/>
      <c r="M263" s="86"/>
      <c r="N263" s="86"/>
      <c r="O263" s="86">
        <v>49.5</v>
      </c>
      <c r="P263" s="135"/>
    </row>
    <row r="264" spans="2:16" outlineLevel="1" x14ac:dyDescent="0.2">
      <c r="B264" s="205"/>
      <c r="C264" s="205"/>
      <c r="D264" s="205"/>
      <c r="E264" s="205"/>
      <c r="F264" s="205"/>
      <c r="G264" s="205"/>
      <c r="H264" s="84" t="s">
        <v>6</v>
      </c>
      <c r="I264" s="83">
        <f t="shared" si="107"/>
        <v>0.5</v>
      </c>
      <c r="J264" s="86"/>
      <c r="K264" s="86"/>
      <c r="L264" s="86"/>
      <c r="M264" s="86"/>
      <c r="N264" s="86"/>
      <c r="O264" s="86">
        <v>0.5</v>
      </c>
      <c r="P264" s="135"/>
    </row>
    <row r="265" spans="2:16" outlineLevel="1" x14ac:dyDescent="0.2">
      <c r="B265" s="205"/>
      <c r="C265" s="205"/>
      <c r="D265" s="205"/>
      <c r="E265" s="205"/>
      <c r="F265" s="205"/>
      <c r="G265" s="205"/>
      <c r="H265" s="84" t="s">
        <v>5</v>
      </c>
      <c r="I265" s="83">
        <f t="shared" si="107"/>
        <v>0</v>
      </c>
      <c r="J265" s="83"/>
      <c r="K265" s="83"/>
      <c r="L265" s="83"/>
      <c r="M265" s="83"/>
      <c r="N265" s="83"/>
      <c r="O265" s="83"/>
      <c r="P265" s="136"/>
    </row>
    <row r="266" spans="2:16" ht="42.75" customHeight="1" outlineLevel="1" x14ac:dyDescent="0.2">
      <c r="B266" s="205" t="s">
        <v>1784</v>
      </c>
      <c r="C266" s="205" t="s">
        <v>1783</v>
      </c>
      <c r="D266" s="205" t="s">
        <v>65</v>
      </c>
      <c r="E266" s="205">
        <v>2022</v>
      </c>
      <c r="F266" s="205"/>
      <c r="G266" s="205" t="s">
        <v>566</v>
      </c>
      <c r="H266" s="84" t="s">
        <v>3</v>
      </c>
      <c r="I266" s="83">
        <f t="shared" si="107"/>
        <v>50</v>
      </c>
      <c r="J266" s="83">
        <f t="shared" ref="J266:N266" si="116">J267+J268+J269</f>
        <v>0</v>
      </c>
      <c r="K266" s="83">
        <f t="shared" si="116"/>
        <v>0</v>
      </c>
      <c r="L266" s="83">
        <f t="shared" si="116"/>
        <v>50</v>
      </c>
      <c r="M266" s="83">
        <f t="shared" si="116"/>
        <v>0</v>
      </c>
      <c r="N266" s="83">
        <f t="shared" si="116"/>
        <v>0</v>
      </c>
      <c r="O266" s="83"/>
      <c r="P266" s="134">
        <v>20000</v>
      </c>
    </row>
    <row r="267" spans="2:16" outlineLevel="1" x14ac:dyDescent="0.2">
      <c r="B267" s="205"/>
      <c r="C267" s="205"/>
      <c r="D267" s="205"/>
      <c r="E267" s="205"/>
      <c r="F267" s="205"/>
      <c r="G267" s="205"/>
      <c r="H267" s="84" t="s">
        <v>4</v>
      </c>
      <c r="I267" s="83">
        <f t="shared" si="107"/>
        <v>49.5</v>
      </c>
      <c r="J267" s="86"/>
      <c r="K267" s="86"/>
      <c r="L267" s="86">
        <v>49.5</v>
      </c>
      <c r="M267" s="86"/>
      <c r="N267" s="86"/>
      <c r="O267" s="86"/>
      <c r="P267" s="135"/>
    </row>
    <row r="268" spans="2:16" outlineLevel="1" x14ac:dyDescent="0.2">
      <c r="B268" s="205"/>
      <c r="C268" s="205"/>
      <c r="D268" s="205"/>
      <c r="E268" s="205"/>
      <c r="F268" s="205"/>
      <c r="G268" s="205"/>
      <c r="H268" s="84" t="s">
        <v>6</v>
      </c>
      <c r="I268" s="83">
        <f t="shared" si="107"/>
        <v>0.5</v>
      </c>
      <c r="J268" s="86"/>
      <c r="K268" s="86"/>
      <c r="L268" s="86">
        <v>0.5</v>
      </c>
      <c r="M268" s="86"/>
      <c r="N268" s="86"/>
      <c r="O268" s="86"/>
      <c r="P268" s="135"/>
    </row>
    <row r="269" spans="2:16" outlineLevel="1" x14ac:dyDescent="0.2">
      <c r="B269" s="205"/>
      <c r="C269" s="205"/>
      <c r="D269" s="205"/>
      <c r="E269" s="205"/>
      <c r="F269" s="205"/>
      <c r="G269" s="205"/>
      <c r="H269" s="84" t="s">
        <v>5</v>
      </c>
      <c r="I269" s="83">
        <f t="shared" si="107"/>
        <v>0</v>
      </c>
      <c r="J269" s="83"/>
      <c r="K269" s="83"/>
      <c r="L269" s="83"/>
      <c r="M269" s="83"/>
      <c r="N269" s="83"/>
      <c r="O269" s="83"/>
      <c r="P269" s="136"/>
    </row>
    <row r="270" spans="2:16" ht="42.75" customHeight="1" outlineLevel="1" x14ac:dyDescent="0.2">
      <c r="B270" s="153" t="s">
        <v>1785</v>
      </c>
      <c r="C270" s="153"/>
      <c r="D270" s="153" t="s">
        <v>65</v>
      </c>
      <c r="E270" s="153" t="s">
        <v>99</v>
      </c>
      <c r="F270" s="153" t="s">
        <v>1786</v>
      </c>
      <c r="G270" s="153" t="s">
        <v>138</v>
      </c>
      <c r="H270" s="84" t="s">
        <v>3</v>
      </c>
      <c r="I270" s="83">
        <f t="shared" si="107"/>
        <v>305.39999999999998</v>
      </c>
      <c r="J270" s="81">
        <f t="shared" ref="J270:O270" si="117">SUM(J271:J272)</f>
        <v>5.4</v>
      </c>
      <c r="K270" s="81">
        <f t="shared" si="117"/>
        <v>150</v>
      </c>
      <c r="L270" s="81">
        <f t="shared" si="117"/>
        <v>150</v>
      </c>
      <c r="M270" s="81">
        <f t="shared" si="117"/>
        <v>0</v>
      </c>
      <c r="N270" s="81">
        <f t="shared" si="117"/>
        <v>0</v>
      </c>
      <c r="O270" s="81">
        <f t="shared" si="117"/>
        <v>0</v>
      </c>
      <c r="P270" s="134">
        <v>500000</v>
      </c>
    </row>
    <row r="271" spans="2:16" outlineLevel="1" x14ac:dyDescent="0.2">
      <c r="B271" s="154"/>
      <c r="C271" s="154"/>
      <c r="D271" s="154"/>
      <c r="E271" s="154"/>
      <c r="F271" s="154"/>
      <c r="G271" s="154"/>
      <c r="H271" s="84" t="s">
        <v>4</v>
      </c>
      <c r="I271" s="83">
        <f t="shared" si="107"/>
        <v>297</v>
      </c>
      <c r="J271" s="86"/>
      <c r="K271" s="86">
        <v>148.5</v>
      </c>
      <c r="L271" s="86">
        <v>148.5</v>
      </c>
      <c r="M271" s="86"/>
      <c r="N271" s="86"/>
      <c r="O271" s="86"/>
      <c r="P271" s="135"/>
    </row>
    <row r="272" spans="2:16" outlineLevel="1" x14ac:dyDescent="0.2">
      <c r="B272" s="154"/>
      <c r="C272" s="154"/>
      <c r="D272" s="154"/>
      <c r="E272" s="154"/>
      <c r="F272" s="154"/>
      <c r="G272" s="154"/>
      <c r="H272" s="84" t="s">
        <v>6</v>
      </c>
      <c r="I272" s="83">
        <f t="shared" si="107"/>
        <v>8.4</v>
      </c>
      <c r="J272" s="86">
        <v>5.4</v>
      </c>
      <c r="K272" s="86">
        <v>1.5</v>
      </c>
      <c r="L272" s="86">
        <v>1.5</v>
      </c>
      <c r="M272" s="86"/>
      <c r="N272" s="86"/>
      <c r="O272" s="86"/>
      <c r="P272" s="135"/>
    </row>
    <row r="273" spans="2:18" outlineLevel="1" x14ac:dyDescent="0.2">
      <c r="B273" s="155"/>
      <c r="C273" s="155"/>
      <c r="D273" s="155"/>
      <c r="E273" s="155"/>
      <c r="F273" s="155"/>
      <c r="G273" s="155"/>
      <c r="H273" s="84" t="s">
        <v>5</v>
      </c>
      <c r="I273" s="83">
        <f t="shared" si="107"/>
        <v>0</v>
      </c>
      <c r="J273" s="86"/>
      <c r="K273" s="86"/>
      <c r="L273" s="86"/>
      <c r="M273" s="86"/>
      <c r="N273" s="86"/>
      <c r="O273" s="86"/>
      <c r="P273" s="136"/>
    </row>
    <row r="274" spans="2:18" ht="42.75" customHeight="1" outlineLevel="1" x14ac:dyDescent="0.2">
      <c r="B274" s="205" t="s">
        <v>1787</v>
      </c>
      <c r="C274" s="205"/>
      <c r="D274" s="205" t="s">
        <v>65</v>
      </c>
      <c r="E274" s="205" t="s">
        <v>568</v>
      </c>
      <c r="F274" s="205"/>
      <c r="G274" s="205" t="s">
        <v>138</v>
      </c>
      <c r="H274" s="84" t="s">
        <v>3</v>
      </c>
      <c r="I274" s="83">
        <f t="shared" si="107"/>
        <v>900</v>
      </c>
      <c r="J274" s="86">
        <f t="shared" ref="J274:O274" si="118">J275+J276+J277</f>
        <v>0</v>
      </c>
      <c r="K274" s="86">
        <f t="shared" si="118"/>
        <v>0</v>
      </c>
      <c r="L274" s="86">
        <f t="shared" si="118"/>
        <v>225</v>
      </c>
      <c r="M274" s="86">
        <f t="shared" si="118"/>
        <v>225</v>
      </c>
      <c r="N274" s="86">
        <f t="shared" si="118"/>
        <v>225</v>
      </c>
      <c r="O274" s="86">
        <f t="shared" si="118"/>
        <v>225</v>
      </c>
      <c r="P274" s="134"/>
    </row>
    <row r="275" spans="2:18" outlineLevel="1" x14ac:dyDescent="0.2">
      <c r="B275" s="205"/>
      <c r="C275" s="205"/>
      <c r="D275" s="205"/>
      <c r="E275" s="205"/>
      <c r="F275" s="205"/>
      <c r="G275" s="205"/>
      <c r="H275" s="84" t="s">
        <v>4</v>
      </c>
      <c r="I275" s="83">
        <f t="shared" si="107"/>
        <v>891</v>
      </c>
      <c r="J275" s="86"/>
      <c r="K275" s="86"/>
      <c r="L275" s="86">
        <v>222.75</v>
      </c>
      <c r="M275" s="86">
        <v>222.75</v>
      </c>
      <c r="N275" s="86">
        <v>222.75</v>
      </c>
      <c r="O275" s="86">
        <v>222.75</v>
      </c>
      <c r="P275" s="135"/>
    </row>
    <row r="276" spans="2:18" outlineLevel="1" x14ac:dyDescent="0.2">
      <c r="B276" s="205"/>
      <c r="C276" s="205"/>
      <c r="D276" s="205"/>
      <c r="E276" s="205"/>
      <c r="F276" s="205"/>
      <c r="G276" s="205"/>
      <c r="H276" s="84" t="s">
        <v>6</v>
      </c>
      <c r="I276" s="83">
        <f t="shared" si="107"/>
        <v>9</v>
      </c>
      <c r="J276" s="86"/>
      <c r="K276" s="81"/>
      <c r="L276" s="81">
        <v>2.25</v>
      </c>
      <c r="M276" s="81">
        <v>2.25</v>
      </c>
      <c r="N276" s="81">
        <v>2.25</v>
      </c>
      <c r="O276" s="81">
        <v>2.25</v>
      </c>
      <c r="P276" s="135"/>
    </row>
    <row r="277" spans="2:18" outlineLevel="1" x14ac:dyDescent="0.2">
      <c r="B277" s="205"/>
      <c r="C277" s="205"/>
      <c r="D277" s="205"/>
      <c r="E277" s="205"/>
      <c r="F277" s="205"/>
      <c r="G277" s="205"/>
      <c r="H277" s="84" t="s">
        <v>5</v>
      </c>
      <c r="I277" s="83">
        <f t="shared" si="107"/>
        <v>0</v>
      </c>
      <c r="J277" s="86"/>
      <c r="K277" s="86"/>
      <c r="L277" s="86"/>
      <c r="M277" s="86"/>
      <c r="N277" s="86"/>
      <c r="O277" s="86"/>
      <c r="P277" s="136"/>
    </row>
    <row r="278" spans="2:18" ht="42.75" x14ac:dyDescent="0.2">
      <c r="B278" s="128" t="s">
        <v>76</v>
      </c>
      <c r="C278" s="128" t="s">
        <v>38</v>
      </c>
      <c r="D278" s="128" t="s">
        <v>38</v>
      </c>
      <c r="E278" s="128" t="s">
        <v>38</v>
      </c>
      <c r="F278" s="128" t="s">
        <v>38</v>
      </c>
      <c r="G278" s="128" t="s">
        <v>38</v>
      </c>
      <c r="H278" s="84" t="s">
        <v>3</v>
      </c>
      <c r="I278" s="14">
        <f t="shared" ref="I278:O278" si="119">SUMIF($H$242:$H$277,"Объем*",I$242:I$277)</f>
        <v>7147</v>
      </c>
      <c r="J278" s="14">
        <f t="shared" si="119"/>
        <v>5.4</v>
      </c>
      <c r="K278" s="14">
        <f t="shared" si="119"/>
        <v>150</v>
      </c>
      <c r="L278" s="14">
        <f t="shared" si="119"/>
        <v>425</v>
      </c>
      <c r="M278" s="14">
        <f t="shared" si="119"/>
        <v>2386.6</v>
      </c>
      <c r="N278" s="14">
        <f t="shared" si="119"/>
        <v>1955</v>
      </c>
      <c r="O278" s="14">
        <f t="shared" si="119"/>
        <v>2225</v>
      </c>
      <c r="P278" s="128"/>
      <c r="Q278" s="7"/>
    </row>
    <row r="279" spans="2:18" ht="15.75" x14ac:dyDescent="0.2">
      <c r="B279" s="129"/>
      <c r="C279" s="129"/>
      <c r="D279" s="129"/>
      <c r="E279" s="129"/>
      <c r="F279" s="129"/>
      <c r="G279" s="129"/>
      <c r="H279" s="84" t="s">
        <v>4</v>
      </c>
      <c r="I279" s="14">
        <f t="shared" ref="I279:O279" si="120">SUMIF($H$242:$H$277,"фед*",I$242:I$277)</f>
        <v>6710.9</v>
      </c>
      <c r="J279" s="14">
        <f t="shared" si="120"/>
        <v>0</v>
      </c>
      <c r="K279" s="14">
        <f t="shared" si="120"/>
        <v>148.5</v>
      </c>
      <c r="L279" s="14">
        <f t="shared" si="120"/>
        <v>420.75</v>
      </c>
      <c r="M279" s="14">
        <f t="shared" si="120"/>
        <v>2228.4499999999998</v>
      </c>
      <c r="N279" s="14">
        <f t="shared" si="120"/>
        <v>1822.95</v>
      </c>
      <c r="O279" s="14">
        <f t="shared" si="120"/>
        <v>2090.25</v>
      </c>
      <c r="P279" s="129"/>
      <c r="Q279" s="7"/>
    </row>
    <row r="280" spans="2:18" ht="15.75" x14ac:dyDescent="0.2">
      <c r="B280" s="129"/>
      <c r="C280" s="129"/>
      <c r="D280" s="129"/>
      <c r="E280" s="129"/>
      <c r="F280" s="129"/>
      <c r="G280" s="129"/>
      <c r="H280" s="84" t="s">
        <v>6</v>
      </c>
      <c r="I280" s="14">
        <f t="shared" ref="I280:O280" si="121">SUMIF($H$242:$H$277,"конс*",I$242:I$277)</f>
        <v>436.09999999999997</v>
      </c>
      <c r="J280" s="14">
        <f t="shared" si="121"/>
        <v>5.4</v>
      </c>
      <c r="K280" s="14">
        <f t="shared" si="121"/>
        <v>1.5</v>
      </c>
      <c r="L280" s="14">
        <f t="shared" si="121"/>
        <v>4.25</v>
      </c>
      <c r="M280" s="14">
        <f t="shared" si="121"/>
        <v>158.15</v>
      </c>
      <c r="N280" s="14">
        <f t="shared" si="121"/>
        <v>132.05000000000001</v>
      </c>
      <c r="O280" s="14">
        <f t="shared" si="121"/>
        <v>134.75</v>
      </c>
      <c r="P280" s="129"/>
      <c r="Q280" s="7"/>
    </row>
    <row r="281" spans="2:18" ht="15.75" x14ac:dyDescent="0.2">
      <c r="B281" s="130"/>
      <c r="C281" s="130"/>
      <c r="D281" s="130"/>
      <c r="E281" s="130"/>
      <c r="F281" s="130"/>
      <c r="G281" s="130"/>
      <c r="H281" s="84" t="s">
        <v>5</v>
      </c>
      <c r="I281" s="14">
        <f t="shared" ref="I281:O281" si="122">SUMIF($H$242:$H$277,"вне*",I$242:I$277)</f>
        <v>0</v>
      </c>
      <c r="J281" s="14">
        <f t="shared" si="122"/>
        <v>0</v>
      </c>
      <c r="K281" s="14">
        <f t="shared" si="122"/>
        <v>0</v>
      </c>
      <c r="L281" s="14">
        <f t="shared" si="122"/>
        <v>0</v>
      </c>
      <c r="M281" s="14">
        <f t="shared" si="122"/>
        <v>0</v>
      </c>
      <c r="N281" s="14">
        <f t="shared" si="122"/>
        <v>0</v>
      </c>
      <c r="O281" s="14">
        <f t="shared" si="122"/>
        <v>0</v>
      </c>
      <c r="P281" s="130"/>
      <c r="Q281" s="7"/>
    </row>
    <row r="282" spans="2:18" ht="42.75" x14ac:dyDescent="0.2">
      <c r="B282" s="128" t="s">
        <v>77</v>
      </c>
      <c r="C282" s="128" t="s">
        <v>38</v>
      </c>
      <c r="D282" s="128" t="s">
        <v>38</v>
      </c>
      <c r="E282" s="128" t="s">
        <v>38</v>
      </c>
      <c r="F282" s="128" t="s">
        <v>38</v>
      </c>
      <c r="G282" s="128" t="s">
        <v>38</v>
      </c>
      <c r="H282" s="84" t="s">
        <v>3</v>
      </c>
      <c r="I282" s="14">
        <f t="shared" ref="I282:O285" si="123">I14+I23+I36+I49+I58+I67+I84+I93+I122+I131+I152+I161+I178+I187+I200+I237+I278</f>
        <v>13668.699999999999</v>
      </c>
      <c r="J282" s="14">
        <f t="shared" si="123"/>
        <v>1313.0000000000002</v>
      </c>
      <c r="K282" s="14">
        <f t="shared" si="123"/>
        <v>898.88000000000011</v>
      </c>
      <c r="L282" s="14">
        <f t="shared" si="123"/>
        <v>2103.63</v>
      </c>
      <c r="M282" s="14">
        <f t="shared" si="123"/>
        <v>3630.14</v>
      </c>
      <c r="N282" s="14">
        <f t="shared" si="123"/>
        <v>2915</v>
      </c>
      <c r="O282" s="14">
        <f t="shared" si="123"/>
        <v>2808.05</v>
      </c>
      <c r="P282" s="128"/>
      <c r="Q282" s="7"/>
      <c r="R282" s="7"/>
    </row>
    <row r="283" spans="2:18" ht="15.75" x14ac:dyDescent="0.2">
      <c r="B283" s="129"/>
      <c r="C283" s="129"/>
      <c r="D283" s="129"/>
      <c r="E283" s="129"/>
      <c r="F283" s="129"/>
      <c r="G283" s="129"/>
      <c r="H283" s="84" t="s">
        <v>4</v>
      </c>
      <c r="I283" s="14">
        <f t="shared" si="123"/>
        <v>11194.619999999999</v>
      </c>
      <c r="J283" s="14">
        <f t="shared" si="123"/>
        <v>1275.8999999999999</v>
      </c>
      <c r="K283" s="14">
        <f t="shared" si="123"/>
        <v>553</v>
      </c>
      <c r="L283" s="14">
        <f t="shared" si="123"/>
        <v>1632.05</v>
      </c>
      <c r="M283" s="14">
        <f t="shared" si="123"/>
        <v>3074.72</v>
      </c>
      <c r="N283" s="14">
        <f t="shared" si="123"/>
        <v>2354.6999999999998</v>
      </c>
      <c r="O283" s="14">
        <f t="shared" si="123"/>
        <v>2304.25</v>
      </c>
      <c r="P283" s="129"/>
      <c r="Q283" s="7"/>
    </row>
    <row r="284" spans="2:18" ht="15.75" x14ac:dyDescent="0.2">
      <c r="B284" s="129"/>
      <c r="C284" s="129"/>
      <c r="D284" s="129"/>
      <c r="E284" s="129"/>
      <c r="F284" s="129"/>
      <c r="G284" s="129"/>
      <c r="H284" s="84" t="s">
        <v>6</v>
      </c>
      <c r="I284" s="14">
        <f t="shared" si="123"/>
        <v>2469.08</v>
      </c>
      <c r="J284" s="14">
        <f t="shared" si="123"/>
        <v>37.099999999999994</v>
      </c>
      <c r="K284" s="14">
        <f t="shared" si="123"/>
        <v>345.88</v>
      </c>
      <c r="L284" s="14">
        <f t="shared" si="123"/>
        <v>469.58</v>
      </c>
      <c r="M284" s="14">
        <f t="shared" si="123"/>
        <v>552.41999999999996</v>
      </c>
      <c r="N284" s="14">
        <f t="shared" si="123"/>
        <v>560.29999999999995</v>
      </c>
      <c r="O284" s="14">
        <f t="shared" si="123"/>
        <v>503.79999999999995</v>
      </c>
      <c r="P284" s="129"/>
      <c r="Q284" s="7"/>
    </row>
    <row r="285" spans="2:18" ht="15.75" x14ac:dyDescent="0.2">
      <c r="B285" s="130"/>
      <c r="C285" s="130"/>
      <c r="D285" s="130"/>
      <c r="E285" s="130"/>
      <c r="F285" s="130"/>
      <c r="G285" s="130"/>
      <c r="H285" s="84" t="s">
        <v>5</v>
      </c>
      <c r="I285" s="14">
        <f t="shared" si="123"/>
        <v>5</v>
      </c>
      <c r="J285" s="14">
        <f t="shared" si="123"/>
        <v>0</v>
      </c>
      <c r="K285" s="14">
        <f t="shared" si="123"/>
        <v>0</v>
      </c>
      <c r="L285" s="14">
        <f t="shared" si="123"/>
        <v>2</v>
      </c>
      <c r="M285" s="14">
        <f t="shared" si="123"/>
        <v>3</v>
      </c>
      <c r="N285" s="14">
        <f t="shared" si="123"/>
        <v>0</v>
      </c>
      <c r="O285" s="14">
        <f t="shared" si="123"/>
        <v>0</v>
      </c>
      <c r="P285" s="130"/>
      <c r="Q285" s="7"/>
    </row>
    <row r="286" spans="2:18" x14ac:dyDescent="0.2">
      <c r="Q286" s="7"/>
    </row>
  </sheetData>
  <mergeCells count="488">
    <mergeCell ref="P278:P281"/>
    <mergeCell ref="B282:B285"/>
    <mergeCell ref="C282:C285"/>
    <mergeCell ref="D282:D285"/>
    <mergeCell ref="E282:E285"/>
    <mergeCell ref="F282:F285"/>
    <mergeCell ref="G282:G285"/>
    <mergeCell ref="P282:P285"/>
    <mergeCell ref="B278:B281"/>
    <mergeCell ref="C278:C281"/>
    <mergeCell ref="D278:D281"/>
    <mergeCell ref="E278:E281"/>
    <mergeCell ref="F278:F281"/>
    <mergeCell ref="G278:G281"/>
    <mergeCell ref="P270:P273"/>
    <mergeCell ref="B274:B277"/>
    <mergeCell ref="C274:C277"/>
    <mergeCell ref="D274:D277"/>
    <mergeCell ref="E274:E277"/>
    <mergeCell ref="F274:F277"/>
    <mergeCell ref="G274:G277"/>
    <mergeCell ref="P274:P277"/>
    <mergeCell ref="B270:B273"/>
    <mergeCell ref="C270:C273"/>
    <mergeCell ref="D270:D273"/>
    <mergeCell ref="E270:E273"/>
    <mergeCell ref="F270:F273"/>
    <mergeCell ref="G270:G273"/>
    <mergeCell ref="P262:P265"/>
    <mergeCell ref="B266:B269"/>
    <mergeCell ref="C266:C269"/>
    <mergeCell ref="D266:D269"/>
    <mergeCell ref="E266:E269"/>
    <mergeCell ref="F266:F269"/>
    <mergeCell ref="G266:G269"/>
    <mergeCell ref="P266:P269"/>
    <mergeCell ref="B262:B265"/>
    <mergeCell ref="C262:C265"/>
    <mergeCell ref="D262:D265"/>
    <mergeCell ref="E262:E265"/>
    <mergeCell ref="F262:F265"/>
    <mergeCell ref="G262:G265"/>
    <mergeCell ref="P254:P257"/>
    <mergeCell ref="B258:B261"/>
    <mergeCell ref="C258:C261"/>
    <mergeCell ref="D258:D261"/>
    <mergeCell ref="E258:E261"/>
    <mergeCell ref="F258:F261"/>
    <mergeCell ref="G258:G261"/>
    <mergeCell ref="P258:P261"/>
    <mergeCell ref="B254:B257"/>
    <mergeCell ref="C254:C257"/>
    <mergeCell ref="D254:D257"/>
    <mergeCell ref="E254:E257"/>
    <mergeCell ref="F254:F257"/>
    <mergeCell ref="G254:G257"/>
    <mergeCell ref="P246:P249"/>
    <mergeCell ref="B250:B253"/>
    <mergeCell ref="C250:C253"/>
    <mergeCell ref="D250:D253"/>
    <mergeCell ref="E250:E253"/>
    <mergeCell ref="F250:F253"/>
    <mergeCell ref="G250:G253"/>
    <mergeCell ref="P250:P253"/>
    <mergeCell ref="B246:B249"/>
    <mergeCell ref="C246:C249"/>
    <mergeCell ref="D246:D249"/>
    <mergeCell ref="E246:E249"/>
    <mergeCell ref="F246:F249"/>
    <mergeCell ref="G246:G249"/>
    <mergeCell ref="B241:P241"/>
    <mergeCell ref="B242:B245"/>
    <mergeCell ref="C242:C245"/>
    <mergeCell ref="D242:D245"/>
    <mergeCell ref="E242:E245"/>
    <mergeCell ref="F242:F245"/>
    <mergeCell ref="G242:G245"/>
    <mergeCell ref="P242:P245"/>
    <mergeCell ref="P233:P236"/>
    <mergeCell ref="B237:B240"/>
    <mergeCell ref="C237:C240"/>
    <mergeCell ref="D237:D240"/>
    <mergeCell ref="E237:E240"/>
    <mergeCell ref="F237:F240"/>
    <mergeCell ref="G237:G240"/>
    <mergeCell ref="P237:P240"/>
    <mergeCell ref="B233:B236"/>
    <mergeCell ref="C233:C236"/>
    <mergeCell ref="D233:D236"/>
    <mergeCell ref="E233:E236"/>
    <mergeCell ref="F233:F236"/>
    <mergeCell ref="G233:G236"/>
    <mergeCell ref="P225:P228"/>
    <mergeCell ref="B229:B232"/>
    <mergeCell ref="C229:C232"/>
    <mergeCell ref="D229:D232"/>
    <mergeCell ref="E229:E232"/>
    <mergeCell ref="F229:F232"/>
    <mergeCell ref="G229:G232"/>
    <mergeCell ref="P229:P232"/>
    <mergeCell ref="B225:B228"/>
    <mergeCell ref="C225:C228"/>
    <mergeCell ref="D225:D228"/>
    <mergeCell ref="E225:E228"/>
    <mergeCell ref="F225:F228"/>
    <mergeCell ref="G225:G228"/>
    <mergeCell ref="P217:P220"/>
    <mergeCell ref="B221:B224"/>
    <mergeCell ref="C221:C224"/>
    <mergeCell ref="D221:D224"/>
    <mergeCell ref="E221:E224"/>
    <mergeCell ref="F221:F224"/>
    <mergeCell ref="G221:G224"/>
    <mergeCell ref="P221:P224"/>
    <mergeCell ref="B217:B220"/>
    <mergeCell ref="C217:C220"/>
    <mergeCell ref="D217:D220"/>
    <mergeCell ref="E217:E220"/>
    <mergeCell ref="F217:F220"/>
    <mergeCell ref="G217:G220"/>
    <mergeCell ref="P209:P212"/>
    <mergeCell ref="B213:B216"/>
    <mergeCell ref="C213:C216"/>
    <mergeCell ref="D213:D216"/>
    <mergeCell ref="E213:E216"/>
    <mergeCell ref="F213:F216"/>
    <mergeCell ref="G213:G216"/>
    <mergeCell ref="P213:P216"/>
    <mergeCell ref="B209:B212"/>
    <mergeCell ref="C209:C212"/>
    <mergeCell ref="D209:D212"/>
    <mergeCell ref="E209:E212"/>
    <mergeCell ref="F209:F212"/>
    <mergeCell ref="G209:G212"/>
    <mergeCell ref="B204:P204"/>
    <mergeCell ref="B205:B208"/>
    <mergeCell ref="C205:C208"/>
    <mergeCell ref="D205:D208"/>
    <mergeCell ref="E205:E208"/>
    <mergeCell ref="F205:F208"/>
    <mergeCell ref="G205:G208"/>
    <mergeCell ref="P205:P208"/>
    <mergeCell ref="P196:P199"/>
    <mergeCell ref="B200:B203"/>
    <mergeCell ref="C200:C203"/>
    <mergeCell ref="D200:D203"/>
    <mergeCell ref="E200:E203"/>
    <mergeCell ref="F200:F203"/>
    <mergeCell ref="G200:G203"/>
    <mergeCell ref="P200:P203"/>
    <mergeCell ref="B196:B199"/>
    <mergeCell ref="C196:C199"/>
    <mergeCell ref="D196:D199"/>
    <mergeCell ref="E196:E199"/>
    <mergeCell ref="F196:F199"/>
    <mergeCell ref="G196:G199"/>
    <mergeCell ref="P187:P190"/>
    <mergeCell ref="B191:P191"/>
    <mergeCell ref="B192:B195"/>
    <mergeCell ref="C192:C195"/>
    <mergeCell ref="D192:D195"/>
    <mergeCell ref="E192:E195"/>
    <mergeCell ref="F192:F195"/>
    <mergeCell ref="G192:G195"/>
    <mergeCell ref="P192:P195"/>
    <mergeCell ref="B187:B190"/>
    <mergeCell ref="C187:C190"/>
    <mergeCell ref="D187:D190"/>
    <mergeCell ref="E187:E190"/>
    <mergeCell ref="F187:F190"/>
    <mergeCell ref="G187:G190"/>
    <mergeCell ref="P178:P181"/>
    <mergeCell ref="B182:P182"/>
    <mergeCell ref="B183:B186"/>
    <mergeCell ref="C183:C186"/>
    <mergeCell ref="D183:D186"/>
    <mergeCell ref="E183:E186"/>
    <mergeCell ref="F183:F186"/>
    <mergeCell ref="G183:G186"/>
    <mergeCell ref="P183:P186"/>
    <mergeCell ref="B178:B181"/>
    <mergeCell ref="C178:C181"/>
    <mergeCell ref="D178:D181"/>
    <mergeCell ref="E178:E181"/>
    <mergeCell ref="F178:F181"/>
    <mergeCell ref="G178:G181"/>
    <mergeCell ref="P170:P173"/>
    <mergeCell ref="B174:B177"/>
    <mergeCell ref="C174:C177"/>
    <mergeCell ref="D174:D177"/>
    <mergeCell ref="E174:E177"/>
    <mergeCell ref="F174:F177"/>
    <mergeCell ref="G174:G177"/>
    <mergeCell ref="P174:P177"/>
    <mergeCell ref="B170:B173"/>
    <mergeCell ref="C170:C173"/>
    <mergeCell ref="D170:D173"/>
    <mergeCell ref="E170:E173"/>
    <mergeCell ref="F170:F173"/>
    <mergeCell ref="G170:G173"/>
    <mergeCell ref="P161:P164"/>
    <mergeCell ref="B165:P165"/>
    <mergeCell ref="B166:B169"/>
    <mergeCell ref="C166:C169"/>
    <mergeCell ref="D166:D169"/>
    <mergeCell ref="E166:E169"/>
    <mergeCell ref="F166:F169"/>
    <mergeCell ref="G166:G169"/>
    <mergeCell ref="P166:P169"/>
    <mergeCell ref="B161:B164"/>
    <mergeCell ref="C161:C164"/>
    <mergeCell ref="D161:D164"/>
    <mergeCell ref="E161:E164"/>
    <mergeCell ref="F161:F164"/>
    <mergeCell ref="G161:G164"/>
    <mergeCell ref="B156:P156"/>
    <mergeCell ref="B157:B160"/>
    <mergeCell ref="C157:C160"/>
    <mergeCell ref="D157:D160"/>
    <mergeCell ref="E157:E160"/>
    <mergeCell ref="F157:F160"/>
    <mergeCell ref="G157:G160"/>
    <mergeCell ref="P157:P160"/>
    <mergeCell ref="P148:P151"/>
    <mergeCell ref="B152:B155"/>
    <mergeCell ref="C152:C155"/>
    <mergeCell ref="D152:D155"/>
    <mergeCell ref="E152:E155"/>
    <mergeCell ref="F152:F155"/>
    <mergeCell ref="G152:G155"/>
    <mergeCell ref="P152:P155"/>
    <mergeCell ref="B148:B151"/>
    <mergeCell ref="C148:C151"/>
    <mergeCell ref="D148:D151"/>
    <mergeCell ref="E148:E151"/>
    <mergeCell ref="F148:F151"/>
    <mergeCell ref="G148:G151"/>
    <mergeCell ref="P140:P143"/>
    <mergeCell ref="B144:B147"/>
    <mergeCell ref="C144:C147"/>
    <mergeCell ref="D144:D147"/>
    <mergeCell ref="E144:E147"/>
    <mergeCell ref="F144:F147"/>
    <mergeCell ref="G144:G147"/>
    <mergeCell ref="P144:P147"/>
    <mergeCell ref="B140:B143"/>
    <mergeCell ref="C140:C143"/>
    <mergeCell ref="D140:D143"/>
    <mergeCell ref="E140:E143"/>
    <mergeCell ref="F140:F143"/>
    <mergeCell ref="G140:G143"/>
    <mergeCell ref="P131:P134"/>
    <mergeCell ref="B135:P135"/>
    <mergeCell ref="B136:B139"/>
    <mergeCell ref="C136:C139"/>
    <mergeCell ref="D136:D139"/>
    <mergeCell ref="E136:E139"/>
    <mergeCell ref="F136:F139"/>
    <mergeCell ref="G136:G139"/>
    <mergeCell ref="P136:P139"/>
    <mergeCell ref="B131:B134"/>
    <mergeCell ref="C131:C134"/>
    <mergeCell ref="D131:D134"/>
    <mergeCell ref="E131:E134"/>
    <mergeCell ref="F131:F134"/>
    <mergeCell ref="G131:G134"/>
    <mergeCell ref="B126:P126"/>
    <mergeCell ref="B127:B130"/>
    <mergeCell ref="C127:C130"/>
    <mergeCell ref="D127:D130"/>
    <mergeCell ref="E127:E130"/>
    <mergeCell ref="F127:F130"/>
    <mergeCell ref="G127:G130"/>
    <mergeCell ref="P127:P130"/>
    <mergeCell ref="P118:P121"/>
    <mergeCell ref="B122:B125"/>
    <mergeCell ref="C122:C125"/>
    <mergeCell ref="D122:D125"/>
    <mergeCell ref="E122:E125"/>
    <mergeCell ref="F122:F125"/>
    <mergeCell ref="G122:G125"/>
    <mergeCell ref="P122:P125"/>
    <mergeCell ref="B118:B121"/>
    <mergeCell ref="C118:C121"/>
    <mergeCell ref="D118:D121"/>
    <mergeCell ref="E118:E121"/>
    <mergeCell ref="F118:F121"/>
    <mergeCell ref="G118:G121"/>
    <mergeCell ref="P110:P113"/>
    <mergeCell ref="B114:B117"/>
    <mergeCell ref="C114:C117"/>
    <mergeCell ref="D114:D117"/>
    <mergeCell ref="E114:E117"/>
    <mergeCell ref="F114:F117"/>
    <mergeCell ref="G114:G117"/>
    <mergeCell ref="P114:P117"/>
    <mergeCell ref="B110:B113"/>
    <mergeCell ref="C110:C113"/>
    <mergeCell ref="D110:D113"/>
    <mergeCell ref="E110:E113"/>
    <mergeCell ref="F110:F113"/>
    <mergeCell ref="G110:G113"/>
    <mergeCell ref="P102:P105"/>
    <mergeCell ref="B106:B109"/>
    <mergeCell ref="C106:C109"/>
    <mergeCell ref="D106:D109"/>
    <mergeCell ref="E106:E109"/>
    <mergeCell ref="F106:F109"/>
    <mergeCell ref="G106:G109"/>
    <mergeCell ref="P106:P109"/>
    <mergeCell ref="B102:B105"/>
    <mergeCell ref="C102:C105"/>
    <mergeCell ref="D102:D105"/>
    <mergeCell ref="E102:E105"/>
    <mergeCell ref="F102:F105"/>
    <mergeCell ref="G102:G105"/>
    <mergeCell ref="P93:P96"/>
    <mergeCell ref="B97:P97"/>
    <mergeCell ref="B98:B101"/>
    <mergeCell ref="C98:C101"/>
    <mergeCell ref="D98:D101"/>
    <mergeCell ref="E98:E101"/>
    <mergeCell ref="F98:F101"/>
    <mergeCell ref="G98:G101"/>
    <mergeCell ref="P98:P101"/>
    <mergeCell ref="B93:B96"/>
    <mergeCell ref="C93:C96"/>
    <mergeCell ref="D93:D96"/>
    <mergeCell ref="E93:E96"/>
    <mergeCell ref="F93:F96"/>
    <mergeCell ref="G93:G96"/>
    <mergeCell ref="P84:P87"/>
    <mergeCell ref="B88:P88"/>
    <mergeCell ref="B89:B92"/>
    <mergeCell ref="C89:C92"/>
    <mergeCell ref="D89:D92"/>
    <mergeCell ref="E89:E92"/>
    <mergeCell ref="F89:F92"/>
    <mergeCell ref="G89:G92"/>
    <mergeCell ref="P89:P92"/>
    <mergeCell ref="B84:B87"/>
    <mergeCell ref="C84:C87"/>
    <mergeCell ref="D84:D87"/>
    <mergeCell ref="E84:E87"/>
    <mergeCell ref="F84:F87"/>
    <mergeCell ref="G84:G87"/>
    <mergeCell ref="P76:P79"/>
    <mergeCell ref="B80:B83"/>
    <mergeCell ref="C80:C83"/>
    <mergeCell ref="D80:D83"/>
    <mergeCell ref="E80:E83"/>
    <mergeCell ref="F80:F83"/>
    <mergeCell ref="G80:G83"/>
    <mergeCell ref="P80:P83"/>
    <mergeCell ref="B76:B79"/>
    <mergeCell ref="C76:C79"/>
    <mergeCell ref="D76:D79"/>
    <mergeCell ref="E76:E79"/>
    <mergeCell ref="F76:F79"/>
    <mergeCell ref="G76:G79"/>
    <mergeCell ref="P67:P70"/>
    <mergeCell ref="B71:P71"/>
    <mergeCell ref="B72:B75"/>
    <mergeCell ref="C72:C75"/>
    <mergeCell ref="D72:D75"/>
    <mergeCell ref="E72:E75"/>
    <mergeCell ref="F72:F75"/>
    <mergeCell ref="G72:G75"/>
    <mergeCell ref="P72:P75"/>
    <mergeCell ref="B67:B70"/>
    <mergeCell ref="C67:C70"/>
    <mergeCell ref="D67:D70"/>
    <mergeCell ref="E67:E70"/>
    <mergeCell ref="F67:F70"/>
    <mergeCell ref="G67:G70"/>
    <mergeCell ref="P58:P61"/>
    <mergeCell ref="B62:P62"/>
    <mergeCell ref="B63:B66"/>
    <mergeCell ref="C63:C66"/>
    <mergeCell ref="D63:D66"/>
    <mergeCell ref="E63:E66"/>
    <mergeCell ref="F63:F66"/>
    <mergeCell ref="G63:G66"/>
    <mergeCell ref="P63:P66"/>
    <mergeCell ref="B58:B61"/>
    <mergeCell ref="C58:C61"/>
    <mergeCell ref="D58:D61"/>
    <mergeCell ref="E58:E61"/>
    <mergeCell ref="F58:F61"/>
    <mergeCell ref="G58:G61"/>
    <mergeCell ref="B53:P53"/>
    <mergeCell ref="B54:B57"/>
    <mergeCell ref="C54:C57"/>
    <mergeCell ref="D54:D57"/>
    <mergeCell ref="E54:E57"/>
    <mergeCell ref="F54:F57"/>
    <mergeCell ref="G54:G57"/>
    <mergeCell ref="P54:P57"/>
    <mergeCell ref="P45:P48"/>
    <mergeCell ref="B49:B52"/>
    <mergeCell ref="C49:C52"/>
    <mergeCell ref="D49:D52"/>
    <mergeCell ref="E49:E52"/>
    <mergeCell ref="F49:F52"/>
    <mergeCell ref="G49:G52"/>
    <mergeCell ref="P49:P52"/>
    <mergeCell ref="B45:B48"/>
    <mergeCell ref="C45:C48"/>
    <mergeCell ref="D45:D48"/>
    <mergeCell ref="E45:E48"/>
    <mergeCell ref="F45:F48"/>
    <mergeCell ref="G45:G48"/>
    <mergeCell ref="B40:P40"/>
    <mergeCell ref="B41:B44"/>
    <mergeCell ref="C41:C44"/>
    <mergeCell ref="D41:D44"/>
    <mergeCell ref="E41:E44"/>
    <mergeCell ref="F41:F44"/>
    <mergeCell ref="G41:G44"/>
    <mergeCell ref="P41:P44"/>
    <mergeCell ref="P32:P35"/>
    <mergeCell ref="B36:B39"/>
    <mergeCell ref="C36:C39"/>
    <mergeCell ref="D36:D39"/>
    <mergeCell ref="E36:E39"/>
    <mergeCell ref="F36:F39"/>
    <mergeCell ref="G36:G39"/>
    <mergeCell ref="P36:P39"/>
    <mergeCell ref="B32:B35"/>
    <mergeCell ref="C32:C35"/>
    <mergeCell ref="D32:D35"/>
    <mergeCell ref="E32:E35"/>
    <mergeCell ref="F32:F35"/>
    <mergeCell ref="G32:G35"/>
    <mergeCell ref="P23:P26"/>
    <mergeCell ref="B27:P27"/>
    <mergeCell ref="B28:B31"/>
    <mergeCell ref="C28:C31"/>
    <mergeCell ref="D28:D31"/>
    <mergeCell ref="E28:E31"/>
    <mergeCell ref="F28:F31"/>
    <mergeCell ref="G28:G31"/>
    <mergeCell ref="P28:P31"/>
    <mergeCell ref="B23:B26"/>
    <mergeCell ref="C23:C26"/>
    <mergeCell ref="D23:D26"/>
    <mergeCell ref="E23:E26"/>
    <mergeCell ref="F23:F26"/>
    <mergeCell ref="G23:G26"/>
    <mergeCell ref="B18:P18"/>
    <mergeCell ref="B19:B22"/>
    <mergeCell ref="C19:C22"/>
    <mergeCell ref="D19:D22"/>
    <mergeCell ref="E19:E22"/>
    <mergeCell ref="F19:F22"/>
    <mergeCell ref="G19:G22"/>
    <mergeCell ref="P19:P22"/>
    <mergeCell ref="P10:P13"/>
    <mergeCell ref="B14:B17"/>
    <mergeCell ref="C14:C17"/>
    <mergeCell ref="D14:D17"/>
    <mergeCell ref="E14:E17"/>
    <mergeCell ref="F14:F17"/>
    <mergeCell ref="G14:G17"/>
    <mergeCell ref="P14:P17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286:XFD1048576 A191:XFD199 A200:P203 I278:O285 I14:O17 I23:O26 I49:O52 I67:O70 I84:O87 I131:O134 I161:O164 I178:O181 I187:O190 I237:O240 I36:O39 I122:O125 I93:O96 I58:O61 I152:O155 A3:C4 E3:G4 I4:XFD4 P3:XFD3 A1:XFD2">
    <cfRule type="cellIs" dxfId="18" priority="7" operator="equal">
      <formula>0</formula>
    </cfRule>
  </conditionalFormatting>
  <conditionalFormatting sqref="R200:XFD203">
    <cfRule type="cellIs" dxfId="17" priority="6" operator="equal">
      <formula>0</formula>
    </cfRule>
  </conditionalFormatting>
  <conditionalFormatting sqref="I200:O200">
    <cfRule type="cellIs" priority="5" operator="equal">
      <formula>0</formula>
    </cfRule>
  </conditionalFormatting>
  <conditionalFormatting sqref="B135:B155">
    <cfRule type="duplicateValues" dxfId="16" priority="4"/>
  </conditionalFormatting>
  <conditionalFormatting sqref="D3:D4">
    <cfRule type="cellIs" dxfId="15" priority="3" operator="equal">
      <formula>0</formula>
    </cfRule>
  </conditionalFormatting>
  <conditionalFormatting sqref="H4">
    <cfRule type="cellIs" dxfId="14" priority="2" operator="equal">
      <formula>0</formula>
    </cfRule>
  </conditionalFormatting>
  <conditionalFormatting sqref="H3:O3">
    <cfRule type="cellIs" dxfId="13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51D1-5AE3-4F62-9FB6-5CC55095D16C}">
  <sheetPr>
    <pageSetUpPr fitToPage="1"/>
  </sheetPr>
  <dimension ref="B1:Q173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425781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6384" width="9.140625" style="2"/>
  </cols>
  <sheetData>
    <row r="1" spans="2:16" ht="21.75" customHeight="1" x14ac:dyDescent="0.25">
      <c r="B1" s="120" t="s">
        <v>1788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6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6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6" ht="16.5" x14ac:dyDescent="0.2">
      <c r="B5" s="111" t="s">
        <v>79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42.75" customHeight="1" outlineLevel="1" x14ac:dyDescent="0.2">
      <c r="B6" s="117" t="s">
        <v>1789</v>
      </c>
      <c r="C6" s="117"/>
      <c r="D6" s="117" t="s">
        <v>79</v>
      </c>
      <c r="E6" s="117">
        <v>2021</v>
      </c>
      <c r="F6" s="117" t="s">
        <v>191</v>
      </c>
      <c r="G6" s="117" t="s">
        <v>101</v>
      </c>
      <c r="H6" s="84" t="s">
        <v>3</v>
      </c>
      <c r="I6" s="85">
        <f>SUM(J6:O6)</f>
        <v>5</v>
      </c>
      <c r="J6" s="83">
        <f t="shared" ref="J6:O6" si="0">J7+J8+J9</f>
        <v>0</v>
      </c>
      <c r="K6" s="83">
        <f t="shared" si="0"/>
        <v>5</v>
      </c>
      <c r="L6" s="83">
        <f t="shared" si="0"/>
        <v>0</v>
      </c>
      <c r="M6" s="83">
        <f t="shared" si="0"/>
        <v>0</v>
      </c>
      <c r="N6" s="83">
        <f t="shared" si="0"/>
        <v>0</v>
      </c>
      <c r="O6" s="83">
        <f t="shared" si="0"/>
        <v>0</v>
      </c>
      <c r="P6" s="117">
        <v>300</v>
      </c>
    </row>
    <row r="7" spans="2:16" outlineLevel="1" x14ac:dyDescent="0.2">
      <c r="B7" s="118"/>
      <c r="C7" s="118"/>
      <c r="D7" s="118"/>
      <c r="E7" s="118"/>
      <c r="F7" s="118"/>
      <c r="G7" s="118"/>
      <c r="H7" s="84" t="s">
        <v>4</v>
      </c>
      <c r="I7" s="83"/>
      <c r="J7" s="83"/>
      <c r="K7" s="83"/>
      <c r="L7" s="83"/>
      <c r="M7" s="83"/>
      <c r="N7" s="83"/>
      <c r="O7" s="83"/>
      <c r="P7" s="118"/>
    </row>
    <row r="8" spans="2:16" outlineLevel="1" x14ac:dyDescent="0.2">
      <c r="B8" s="118"/>
      <c r="C8" s="118"/>
      <c r="D8" s="118"/>
      <c r="E8" s="118"/>
      <c r="F8" s="118"/>
      <c r="G8" s="118"/>
      <c r="H8" s="84" t="s">
        <v>6</v>
      </c>
      <c r="I8" s="85">
        <f>SUM(J8:O8)</f>
        <v>5</v>
      </c>
      <c r="J8" s="83">
        <v>0</v>
      </c>
      <c r="K8" s="83">
        <v>5</v>
      </c>
      <c r="L8" s="83">
        <v>0</v>
      </c>
      <c r="M8" s="83">
        <v>0</v>
      </c>
      <c r="N8" s="83">
        <v>0</v>
      </c>
      <c r="O8" s="83">
        <v>0</v>
      </c>
      <c r="P8" s="118"/>
    </row>
    <row r="9" spans="2:16" outlineLevel="1" x14ac:dyDescent="0.2">
      <c r="B9" s="119"/>
      <c r="C9" s="119"/>
      <c r="D9" s="119"/>
      <c r="E9" s="119"/>
      <c r="F9" s="119"/>
      <c r="G9" s="119"/>
      <c r="H9" s="84" t="s">
        <v>5</v>
      </c>
      <c r="P9" s="119"/>
    </row>
    <row r="10" spans="2:16" ht="42.75" x14ac:dyDescent="0.2">
      <c r="B10" s="128" t="s">
        <v>89</v>
      </c>
      <c r="C10" s="128" t="s">
        <v>38</v>
      </c>
      <c r="D10" s="128" t="s">
        <v>38</v>
      </c>
      <c r="E10" s="128" t="s">
        <v>38</v>
      </c>
      <c r="F10" s="128" t="s">
        <v>38</v>
      </c>
      <c r="G10" s="128" t="s">
        <v>38</v>
      </c>
      <c r="H10" s="84" t="s">
        <v>3</v>
      </c>
      <c r="I10" s="14">
        <f t="shared" ref="I10:O10" si="1">SUMIF($H$6:$H$9,"Объем*",I$6:I$9)</f>
        <v>5</v>
      </c>
      <c r="J10" s="14">
        <f t="shared" si="1"/>
        <v>0</v>
      </c>
      <c r="K10" s="14">
        <f t="shared" si="1"/>
        <v>5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28"/>
    </row>
    <row r="11" spans="2:16" ht="15.75" x14ac:dyDescent="0.2">
      <c r="B11" s="129"/>
      <c r="C11" s="129"/>
      <c r="D11" s="129"/>
      <c r="E11" s="129"/>
      <c r="F11" s="129"/>
      <c r="G11" s="129"/>
      <c r="H11" s="84" t="s">
        <v>4</v>
      </c>
      <c r="I11" s="14">
        <f t="shared" ref="I11:O11" si="2">SUMIF($H$6:$H$9,"фед*",I$6:I$9)</f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29"/>
    </row>
    <row r="12" spans="2:16" ht="15.75" x14ac:dyDescent="0.2">
      <c r="B12" s="129"/>
      <c r="C12" s="129"/>
      <c r="D12" s="129"/>
      <c r="E12" s="129"/>
      <c r="F12" s="129"/>
      <c r="G12" s="129"/>
      <c r="H12" s="84" t="s">
        <v>6</v>
      </c>
      <c r="I12" s="14">
        <f t="shared" ref="I12:O12" si="3">SUMIF($H$6:$H$9,"конс*",I$6:I$9)</f>
        <v>5</v>
      </c>
      <c r="J12" s="14">
        <f t="shared" si="3"/>
        <v>0</v>
      </c>
      <c r="K12" s="14">
        <f t="shared" si="3"/>
        <v>5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29"/>
    </row>
    <row r="13" spans="2:16" ht="15.75" x14ac:dyDescent="0.2">
      <c r="B13" s="130"/>
      <c r="C13" s="130"/>
      <c r="D13" s="130"/>
      <c r="E13" s="130"/>
      <c r="F13" s="130"/>
      <c r="G13" s="130"/>
      <c r="H13" s="84" t="s">
        <v>5</v>
      </c>
      <c r="I13" s="76">
        <f t="shared" ref="I13:O13" si="4">SUMIF($H$6:$H$9,"вне*",I$6:I$9)</f>
        <v>0</v>
      </c>
      <c r="J13" s="76">
        <f t="shared" si="4"/>
        <v>0</v>
      </c>
      <c r="K13" s="76">
        <f t="shared" si="4"/>
        <v>0</v>
      </c>
      <c r="L13" s="76">
        <f t="shared" si="4"/>
        <v>0</v>
      </c>
      <c r="M13" s="76">
        <f t="shared" si="4"/>
        <v>0</v>
      </c>
      <c r="N13" s="76">
        <f t="shared" si="4"/>
        <v>0</v>
      </c>
      <c r="O13" s="76">
        <f t="shared" si="4"/>
        <v>0</v>
      </c>
      <c r="P13" s="130"/>
    </row>
    <row r="14" spans="2:16" ht="25.5" customHeight="1" x14ac:dyDescent="0.2">
      <c r="B14" s="111" t="s">
        <v>90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</row>
    <row r="15" spans="2:16" ht="42.75" outlineLevel="1" x14ac:dyDescent="0.2">
      <c r="B15" s="117" t="s">
        <v>1790</v>
      </c>
      <c r="C15" s="117"/>
      <c r="D15" s="117" t="s">
        <v>1222</v>
      </c>
      <c r="E15" s="117">
        <v>2021</v>
      </c>
      <c r="F15" s="117" t="s">
        <v>1791</v>
      </c>
      <c r="G15" s="117" t="s">
        <v>1792</v>
      </c>
      <c r="H15" s="84" t="s">
        <v>3</v>
      </c>
      <c r="I15" s="58">
        <f t="shared" ref="I15:I38" si="5">SUM(J15:O15)</f>
        <v>4.0199999999999996</v>
      </c>
      <c r="J15" s="83">
        <f t="shared" ref="J15:O15" si="6">J16+J17+J18</f>
        <v>0</v>
      </c>
      <c r="K15" s="83">
        <f t="shared" si="6"/>
        <v>4.0199999999999996</v>
      </c>
      <c r="L15" s="83">
        <f t="shared" si="6"/>
        <v>0</v>
      </c>
      <c r="M15" s="83">
        <v>0</v>
      </c>
      <c r="N15" s="83">
        <f t="shared" si="6"/>
        <v>0</v>
      </c>
      <c r="O15" s="83">
        <f t="shared" si="6"/>
        <v>0</v>
      </c>
      <c r="P15" s="117">
        <v>146</v>
      </c>
    </row>
    <row r="16" spans="2:16" outlineLevel="1" x14ac:dyDescent="0.2">
      <c r="B16" s="118"/>
      <c r="C16" s="132"/>
      <c r="D16" s="118"/>
      <c r="E16" s="118"/>
      <c r="F16" s="118"/>
      <c r="G16" s="118"/>
      <c r="H16" s="84" t="s">
        <v>4</v>
      </c>
      <c r="I16" s="58">
        <f t="shared" si="5"/>
        <v>0</v>
      </c>
      <c r="J16" s="83"/>
      <c r="L16" s="83"/>
      <c r="M16" s="83"/>
      <c r="N16" s="83"/>
      <c r="O16" s="83"/>
      <c r="P16" s="118"/>
    </row>
    <row r="17" spans="2:16" outlineLevel="1" x14ac:dyDescent="0.2">
      <c r="B17" s="118"/>
      <c r="C17" s="132"/>
      <c r="D17" s="118"/>
      <c r="E17" s="118"/>
      <c r="F17" s="118"/>
      <c r="G17" s="118"/>
      <c r="H17" s="84" t="s">
        <v>6</v>
      </c>
      <c r="I17" s="58">
        <f t="shared" si="5"/>
        <v>4.0199999999999996</v>
      </c>
      <c r="J17" s="83">
        <v>0</v>
      </c>
      <c r="K17" s="83">
        <v>4.0199999999999996</v>
      </c>
      <c r="L17" s="83">
        <v>0</v>
      </c>
      <c r="M17" s="83">
        <v>0</v>
      </c>
      <c r="N17" s="83">
        <v>0</v>
      </c>
      <c r="O17" s="83">
        <v>0</v>
      </c>
      <c r="P17" s="118"/>
    </row>
    <row r="18" spans="2:16" outlineLevel="1" x14ac:dyDescent="0.2">
      <c r="B18" s="119"/>
      <c r="C18" s="133"/>
      <c r="D18" s="119"/>
      <c r="E18" s="119"/>
      <c r="F18" s="119"/>
      <c r="G18" s="119"/>
      <c r="H18" s="84" t="s">
        <v>5</v>
      </c>
      <c r="I18" s="58">
        <f t="shared" si="5"/>
        <v>0</v>
      </c>
      <c r="J18" s="83"/>
      <c r="K18" s="83"/>
      <c r="L18" s="83"/>
      <c r="M18" s="83"/>
      <c r="N18" s="83"/>
      <c r="O18" s="83"/>
      <c r="P18" s="119"/>
    </row>
    <row r="19" spans="2:16" ht="42.75" outlineLevel="1" x14ac:dyDescent="0.2">
      <c r="B19" s="117" t="s">
        <v>1793</v>
      </c>
      <c r="C19" s="117"/>
      <c r="D19" s="117" t="s">
        <v>1222</v>
      </c>
      <c r="E19" s="117" t="s">
        <v>61</v>
      </c>
      <c r="F19" s="117" t="s">
        <v>1794</v>
      </c>
      <c r="G19" s="117" t="s">
        <v>1795</v>
      </c>
      <c r="H19" s="84" t="s">
        <v>3</v>
      </c>
      <c r="I19" s="58">
        <f t="shared" si="5"/>
        <v>8.7000000000000011</v>
      </c>
      <c r="J19" s="83">
        <f t="shared" ref="J19:O19" si="7">J20+J21+J22</f>
        <v>0</v>
      </c>
      <c r="K19" s="83"/>
      <c r="L19" s="83">
        <f t="shared" si="7"/>
        <v>4.3500000000000005</v>
      </c>
      <c r="M19" s="83">
        <f t="shared" si="7"/>
        <v>4.3500000000000005</v>
      </c>
      <c r="N19" s="83">
        <f t="shared" si="7"/>
        <v>0</v>
      </c>
      <c r="O19" s="83">
        <f t="shared" si="7"/>
        <v>0</v>
      </c>
      <c r="P19" s="117">
        <v>436</v>
      </c>
    </row>
    <row r="20" spans="2:16" outlineLevel="1" x14ac:dyDescent="0.2">
      <c r="B20" s="118"/>
      <c r="C20" s="118"/>
      <c r="D20" s="118"/>
      <c r="E20" s="118"/>
      <c r="F20" s="118"/>
      <c r="G20" s="118"/>
      <c r="H20" s="84" t="s">
        <v>4</v>
      </c>
      <c r="I20" s="58">
        <f t="shared" si="5"/>
        <v>0</v>
      </c>
      <c r="J20" s="83"/>
      <c r="K20" s="83"/>
      <c r="L20" s="83"/>
      <c r="M20" s="83"/>
      <c r="N20" s="83"/>
      <c r="O20" s="83"/>
      <c r="P20" s="118"/>
    </row>
    <row r="21" spans="2:16" outlineLevel="1" x14ac:dyDescent="0.2">
      <c r="B21" s="118"/>
      <c r="C21" s="118"/>
      <c r="D21" s="118"/>
      <c r="E21" s="118"/>
      <c r="F21" s="118"/>
      <c r="G21" s="118"/>
      <c r="H21" s="84" t="s">
        <v>6</v>
      </c>
      <c r="I21" s="58">
        <f t="shared" si="5"/>
        <v>8.3000000000000007</v>
      </c>
      <c r="J21" s="83">
        <v>0</v>
      </c>
      <c r="K21" s="83"/>
      <c r="L21" s="83">
        <v>4.1500000000000004</v>
      </c>
      <c r="M21" s="83">
        <v>4.1500000000000004</v>
      </c>
      <c r="N21" s="83">
        <v>0</v>
      </c>
      <c r="O21" s="83">
        <v>0</v>
      </c>
      <c r="P21" s="118"/>
    </row>
    <row r="22" spans="2:16" outlineLevel="1" x14ac:dyDescent="0.2">
      <c r="B22" s="119"/>
      <c r="C22" s="119"/>
      <c r="D22" s="119"/>
      <c r="E22" s="119"/>
      <c r="F22" s="119"/>
      <c r="G22" s="119"/>
      <c r="H22" s="84" t="s">
        <v>5</v>
      </c>
      <c r="I22" s="58">
        <f t="shared" si="5"/>
        <v>0.4</v>
      </c>
      <c r="J22" s="83"/>
      <c r="K22" s="83"/>
      <c r="L22" s="83">
        <v>0.2</v>
      </c>
      <c r="M22" s="83">
        <v>0.2</v>
      </c>
      <c r="N22" s="83"/>
      <c r="O22" s="83"/>
      <c r="P22" s="119"/>
    </row>
    <row r="23" spans="2:16" ht="42.75" outlineLevel="1" x14ac:dyDescent="0.2">
      <c r="B23" s="117" t="s">
        <v>1796</v>
      </c>
      <c r="C23" s="117"/>
      <c r="D23" s="117" t="s">
        <v>1222</v>
      </c>
      <c r="E23" s="117">
        <v>2024</v>
      </c>
      <c r="F23" s="117" t="s">
        <v>300</v>
      </c>
      <c r="G23" s="117" t="s">
        <v>1797</v>
      </c>
      <c r="H23" s="84" t="s">
        <v>3</v>
      </c>
      <c r="I23" s="58">
        <f t="shared" si="5"/>
        <v>3.99</v>
      </c>
      <c r="J23" s="83">
        <f t="shared" ref="J23:O23" si="8">J24+J25+J26</f>
        <v>0</v>
      </c>
      <c r="K23" s="83">
        <f t="shared" si="8"/>
        <v>0</v>
      </c>
      <c r="L23" s="83">
        <f t="shared" si="8"/>
        <v>0</v>
      </c>
      <c r="M23" s="83">
        <v>0</v>
      </c>
      <c r="N23" s="83">
        <v>3.99</v>
      </c>
      <c r="O23" s="83">
        <f t="shared" si="8"/>
        <v>0</v>
      </c>
      <c r="P23" s="117">
        <v>347</v>
      </c>
    </row>
    <row r="24" spans="2:16" outlineLevel="1" x14ac:dyDescent="0.2">
      <c r="B24" s="118"/>
      <c r="C24" s="118"/>
      <c r="D24" s="118"/>
      <c r="E24" s="118"/>
      <c r="F24" s="118"/>
      <c r="G24" s="118"/>
      <c r="H24" s="84" t="s">
        <v>4</v>
      </c>
      <c r="I24" s="58">
        <f t="shared" si="5"/>
        <v>0</v>
      </c>
      <c r="J24" s="83"/>
      <c r="K24" s="83"/>
      <c r="L24" s="83"/>
      <c r="M24" s="83"/>
      <c r="N24" s="83"/>
      <c r="O24" s="83"/>
      <c r="P24" s="118"/>
    </row>
    <row r="25" spans="2:16" outlineLevel="1" x14ac:dyDescent="0.2">
      <c r="B25" s="118"/>
      <c r="C25" s="118"/>
      <c r="D25" s="118"/>
      <c r="E25" s="118"/>
      <c r="F25" s="118"/>
      <c r="G25" s="118"/>
      <c r="H25" s="84" t="s">
        <v>6</v>
      </c>
      <c r="I25" s="58">
        <f t="shared" si="5"/>
        <v>3.99</v>
      </c>
      <c r="J25" s="83">
        <v>0</v>
      </c>
      <c r="K25" s="83">
        <v>0</v>
      </c>
      <c r="L25" s="83">
        <v>0</v>
      </c>
      <c r="M25" s="83">
        <v>0</v>
      </c>
      <c r="N25" s="83">
        <v>3.99</v>
      </c>
      <c r="O25" s="83">
        <v>0</v>
      </c>
      <c r="P25" s="118"/>
    </row>
    <row r="26" spans="2:16" outlineLevel="1" x14ac:dyDescent="0.2">
      <c r="B26" s="119"/>
      <c r="C26" s="119"/>
      <c r="D26" s="119"/>
      <c r="E26" s="119"/>
      <c r="F26" s="119"/>
      <c r="G26" s="119"/>
      <c r="H26" s="84" t="s">
        <v>5</v>
      </c>
      <c r="I26" s="58">
        <f t="shared" si="5"/>
        <v>0</v>
      </c>
      <c r="J26" s="83"/>
      <c r="K26" s="83"/>
      <c r="L26" s="83"/>
      <c r="M26" s="83"/>
      <c r="N26" s="83"/>
      <c r="O26" s="83"/>
      <c r="P26" s="119"/>
    </row>
    <row r="27" spans="2:16" ht="42.75" outlineLevel="1" x14ac:dyDescent="0.2">
      <c r="B27" s="117" t="s">
        <v>1798</v>
      </c>
      <c r="C27" s="117"/>
      <c r="D27" s="117" t="s">
        <v>90</v>
      </c>
      <c r="E27" s="117">
        <v>2025</v>
      </c>
      <c r="F27" s="117" t="s">
        <v>1799</v>
      </c>
      <c r="G27" s="117" t="s">
        <v>1800</v>
      </c>
      <c r="H27" s="84" t="s">
        <v>3</v>
      </c>
      <c r="I27" s="58">
        <f t="shared" si="5"/>
        <v>1.448</v>
      </c>
      <c r="J27" s="83">
        <f t="shared" ref="J27:O27" si="9">J28+J29+J30</f>
        <v>0</v>
      </c>
      <c r="K27" s="83">
        <f t="shared" si="9"/>
        <v>0</v>
      </c>
      <c r="L27" s="83">
        <f t="shared" si="9"/>
        <v>0</v>
      </c>
      <c r="M27" s="83">
        <v>0</v>
      </c>
      <c r="N27" s="83">
        <f t="shared" si="9"/>
        <v>0</v>
      </c>
      <c r="O27" s="17">
        <f t="shared" si="9"/>
        <v>1.448</v>
      </c>
      <c r="P27" s="117">
        <v>824</v>
      </c>
    </row>
    <row r="28" spans="2:16" outlineLevel="1" x14ac:dyDescent="0.2">
      <c r="B28" s="118"/>
      <c r="C28" s="132"/>
      <c r="D28" s="118"/>
      <c r="E28" s="118"/>
      <c r="F28" s="118"/>
      <c r="G28" s="118"/>
      <c r="H28" s="84" t="s">
        <v>4</v>
      </c>
      <c r="I28" s="58">
        <f t="shared" si="5"/>
        <v>0</v>
      </c>
      <c r="J28" s="83"/>
      <c r="K28" s="83"/>
      <c r="L28" s="83"/>
      <c r="M28" s="83"/>
      <c r="N28" s="83"/>
      <c r="O28" s="83"/>
      <c r="P28" s="118"/>
    </row>
    <row r="29" spans="2:16" outlineLevel="1" x14ac:dyDescent="0.2">
      <c r="B29" s="118"/>
      <c r="C29" s="132"/>
      <c r="D29" s="118"/>
      <c r="E29" s="118"/>
      <c r="F29" s="118"/>
      <c r="G29" s="118"/>
      <c r="H29" s="84" t="s">
        <v>6</v>
      </c>
      <c r="I29" s="58">
        <f t="shared" si="5"/>
        <v>1.3779999999999999</v>
      </c>
      <c r="J29" s="83"/>
      <c r="K29" s="83"/>
      <c r="L29" s="83"/>
      <c r="M29" s="83"/>
      <c r="N29" s="83"/>
      <c r="O29" s="17">
        <v>1.3779999999999999</v>
      </c>
      <c r="P29" s="118"/>
    </row>
    <row r="30" spans="2:16" outlineLevel="1" x14ac:dyDescent="0.2">
      <c r="B30" s="119"/>
      <c r="C30" s="133"/>
      <c r="D30" s="119"/>
      <c r="E30" s="119"/>
      <c r="F30" s="119"/>
      <c r="G30" s="119"/>
      <c r="H30" s="84" t="s">
        <v>5</v>
      </c>
      <c r="I30" s="58">
        <f t="shared" si="5"/>
        <v>7.0000000000000007E-2</v>
      </c>
      <c r="J30" s="83"/>
      <c r="K30" s="83"/>
      <c r="L30" s="83"/>
      <c r="M30" s="83"/>
      <c r="N30" s="83"/>
      <c r="O30" s="17">
        <v>7.0000000000000007E-2</v>
      </c>
      <c r="P30" s="119"/>
    </row>
    <row r="31" spans="2:16" ht="42.75" outlineLevel="1" x14ac:dyDescent="0.2">
      <c r="B31" s="117" t="s">
        <v>1801</v>
      </c>
      <c r="C31" s="117"/>
      <c r="D31" s="117" t="s">
        <v>1802</v>
      </c>
      <c r="E31" s="117">
        <v>2021</v>
      </c>
      <c r="F31" s="117" t="s">
        <v>279</v>
      </c>
      <c r="G31" s="117" t="s">
        <v>1803</v>
      </c>
      <c r="H31" s="84" t="s">
        <v>3</v>
      </c>
      <c r="I31" s="58">
        <f t="shared" si="5"/>
        <v>3.25</v>
      </c>
      <c r="J31" s="83">
        <f t="shared" ref="J31:O31" si="10">J32+J33+J34</f>
        <v>0</v>
      </c>
      <c r="K31" s="83">
        <v>3.25</v>
      </c>
      <c r="L31" s="83">
        <f t="shared" si="10"/>
        <v>0</v>
      </c>
      <c r="M31" s="83">
        <v>0</v>
      </c>
      <c r="N31" s="83">
        <f t="shared" si="10"/>
        <v>0</v>
      </c>
      <c r="O31" s="83">
        <f t="shared" si="10"/>
        <v>0</v>
      </c>
      <c r="P31" s="117">
        <v>130</v>
      </c>
    </row>
    <row r="32" spans="2:16" outlineLevel="1" x14ac:dyDescent="0.2">
      <c r="B32" s="118"/>
      <c r="C32" s="132"/>
      <c r="D32" s="118"/>
      <c r="E32" s="118"/>
      <c r="F32" s="118"/>
      <c r="G32" s="118"/>
      <c r="H32" s="84" t="s">
        <v>4</v>
      </c>
      <c r="I32" s="58">
        <f t="shared" si="5"/>
        <v>0</v>
      </c>
      <c r="J32" s="83"/>
      <c r="K32" s="83"/>
      <c r="L32" s="83"/>
      <c r="M32" s="83"/>
      <c r="N32" s="83"/>
      <c r="O32" s="83"/>
      <c r="P32" s="118"/>
    </row>
    <row r="33" spans="2:17" outlineLevel="1" x14ac:dyDescent="0.2">
      <c r="B33" s="118"/>
      <c r="C33" s="132"/>
      <c r="D33" s="118"/>
      <c r="E33" s="118"/>
      <c r="F33" s="118"/>
      <c r="G33" s="118"/>
      <c r="H33" s="84" t="s">
        <v>6</v>
      </c>
      <c r="I33" s="58">
        <f t="shared" si="5"/>
        <v>3.25</v>
      </c>
      <c r="J33" s="83"/>
      <c r="K33" s="83">
        <v>3.25</v>
      </c>
      <c r="L33" s="83"/>
      <c r="M33" s="83"/>
      <c r="N33" s="83"/>
      <c r="O33" s="83"/>
      <c r="P33" s="118"/>
    </row>
    <row r="34" spans="2:17" outlineLevel="1" x14ac:dyDescent="0.2">
      <c r="B34" s="119"/>
      <c r="C34" s="133"/>
      <c r="D34" s="119"/>
      <c r="E34" s="119"/>
      <c r="F34" s="119"/>
      <c r="G34" s="119"/>
      <c r="H34" s="84" t="s">
        <v>5</v>
      </c>
      <c r="I34" s="58">
        <f t="shared" si="5"/>
        <v>0</v>
      </c>
      <c r="J34" s="83"/>
      <c r="K34" s="83"/>
      <c r="L34" s="83"/>
      <c r="M34" s="83"/>
      <c r="N34" s="83"/>
      <c r="O34" s="83"/>
      <c r="P34" s="119"/>
    </row>
    <row r="35" spans="2:17" ht="42.75" outlineLevel="1" x14ac:dyDescent="0.2">
      <c r="B35" s="117" t="s">
        <v>1804</v>
      </c>
      <c r="C35" s="117"/>
      <c r="D35" s="117" t="s">
        <v>1805</v>
      </c>
      <c r="E35" s="117">
        <v>2022</v>
      </c>
      <c r="F35" s="117" t="s">
        <v>1806</v>
      </c>
      <c r="G35" s="117" t="s">
        <v>1807</v>
      </c>
      <c r="H35" s="84" t="s">
        <v>3</v>
      </c>
      <c r="I35" s="58">
        <f t="shared" si="5"/>
        <v>1.6</v>
      </c>
      <c r="J35" s="83">
        <f t="shared" ref="J35:O35" si="11">J36+J37+J38</f>
        <v>0</v>
      </c>
      <c r="K35" s="83">
        <f t="shared" si="11"/>
        <v>0</v>
      </c>
      <c r="L35" s="83">
        <v>1.6</v>
      </c>
      <c r="M35" s="83">
        <v>0</v>
      </c>
      <c r="N35" s="83">
        <f t="shared" si="11"/>
        <v>0</v>
      </c>
      <c r="O35" s="83">
        <f t="shared" si="11"/>
        <v>0</v>
      </c>
      <c r="P35" s="117">
        <v>24</v>
      </c>
    </row>
    <row r="36" spans="2:17" outlineLevel="1" x14ac:dyDescent="0.2">
      <c r="B36" s="118"/>
      <c r="C36" s="132"/>
      <c r="D36" s="118"/>
      <c r="E36" s="118"/>
      <c r="F36" s="118"/>
      <c r="G36" s="118"/>
      <c r="H36" s="84" t="s">
        <v>4</v>
      </c>
      <c r="I36" s="58">
        <f t="shared" si="5"/>
        <v>0</v>
      </c>
      <c r="J36" s="83"/>
      <c r="K36" s="83"/>
      <c r="L36" s="83"/>
      <c r="M36" s="83"/>
      <c r="N36" s="83"/>
      <c r="O36" s="83"/>
      <c r="P36" s="118"/>
    </row>
    <row r="37" spans="2:17" outlineLevel="1" x14ac:dyDescent="0.2">
      <c r="B37" s="118"/>
      <c r="C37" s="132"/>
      <c r="D37" s="118"/>
      <c r="E37" s="118"/>
      <c r="F37" s="118"/>
      <c r="G37" s="118"/>
      <c r="H37" s="84" t="s">
        <v>6</v>
      </c>
      <c r="I37" s="58">
        <f t="shared" si="5"/>
        <v>1.6</v>
      </c>
      <c r="J37" s="83"/>
      <c r="K37" s="83"/>
      <c r="L37" s="83">
        <v>1.6</v>
      </c>
      <c r="M37" s="83"/>
      <c r="N37" s="83"/>
      <c r="O37" s="83"/>
      <c r="P37" s="118"/>
    </row>
    <row r="38" spans="2:17" outlineLevel="1" x14ac:dyDescent="0.2">
      <c r="B38" s="119"/>
      <c r="C38" s="133"/>
      <c r="D38" s="119"/>
      <c r="E38" s="119"/>
      <c r="F38" s="119"/>
      <c r="G38" s="119"/>
      <c r="H38" s="84" t="s">
        <v>5</v>
      </c>
      <c r="I38" s="58">
        <f t="shared" si="5"/>
        <v>0</v>
      </c>
      <c r="J38" s="83"/>
      <c r="K38" s="83"/>
      <c r="L38" s="83"/>
      <c r="M38" s="83"/>
      <c r="N38" s="83"/>
      <c r="O38" s="83"/>
      <c r="P38" s="119"/>
    </row>
    <row r="39" spans="2:17" ht="42.75" x14ac:dyDescent="0.2">
      <c r="B39" s="128" t="s">
        <v>110</v>
      </c>
      <c r="C39" s="128" t="s">
        <v>38</v>
      </c>
      <c r="D39" s="128" t="s">
        <v>38</v>
      </c>
      <c r="E39" s="128" t="s">
        <v>38</v>
      </c>
      <c r="F39" s="128" t="s">
        <v>38</v>
      </c>
      <c r="G39" s="128" t="s">
        <v>38</v>
      </c>
      <c r="H39" s="84" t="s">
        <v>3</v>
      </c>
      <c r="I39" s="14">
        <f>SUMIF($H$15:$H$38,"Объем*",I$15:I$38)</f>
        <v>23.008000000000003</v>
      </c>
      <c r="J39" s="14">
        <f t="shared" ref="J39:O39" si="12">SUMIF($H$15:$H$38,"Объем*",J$15:J$38)</f>
        <v>0</v>
      </c>
      <c r="K39" s="14">
        <f t="shared" si="12"/>
        <v>7.27</v>
      </c>
      <c r="L39" s="14">
        <f t="shared" si="12"/>
        <v>5.9500000000000011</v>
      </c>
      <c r="M39" s="14">
        <f t="shared" si="12"/>
        <v>4.3500000000000005</v>
      </c>
      <c r="N39" s="14">
        <f t="shared" si="12"/>
        <v>3.99</v>
      </c>
      <c r="O39" s="14">
        <f t="shared" si="12"/>
        <v>1.448</v>
      </c>
      <c r="P39" s="128"/>
      <c r="Q39" s="7"/>
    </row>
    <row r="40" spans="2:17" ht="15.75" x14ac:dyDescent="0.2">
      <c r="B40" s="129"/>
      <c r="C40" s="129"/>
      <c r="D40" s="129"/>
      <c r="E40" s="129"/>
      <c r="F40" s="129"/>
      <c r="G40" s="129"/>
      <c r="H40" s="84" t="s">
        <v>4</v>
      </c>
      <c r="I40" s="14">
        <f>SUMIF($H$15:$H$38,"фед*",I$15:I$38)</f>
        <v>0</v>
      </c>
      <c r="J40" s="14">
        <f t="shared" ref="J40:O40" si="13">SUMIF($H$15:$H$38,"фед*",J$15:J$38)</f>
        <v>0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3"/>
        <v>0</v>
      </c>
      <c r="O40" s="14">
        <f t="shared" si="13"/>
        <v>0</v>
      </c>
      <c r="P40" s="129"/>
    </row>
    <row r="41" spans="2:17" ht="15.75" x14ac:dyDescent="0.2">
      <c r="B41" s="129"/>
      <c r="C41" s="129"/>
      <c r="D41" s="129"/>
      <c r="E41" s="129"/>
      <c r="F41" s="129"/>
      <c r="G41" s="129"/>
      <c r="H41" s="84" t="s">
        <v>6</v>
      </c>
      <c r="I41" s="14">
        <f>SUMIF($H$15:$H$38,"конс*",I$15:I$38)</f>
        <v>22.538000000000004</v>
      </c>
      <c r="J41" s="14">
        <f t="shared" ref="J41:O41" si="14">SUMIF($H$15:$H$38,"конс*",J$15:J$38)</f>
        <v>0</v>
      </c>
      <c r="K41" s="14">
        <f t="shared" si="14"/>
        <v>7.27</v>
      </c>
      <c r="L41" s="14">
        <f t="shared" si="14"/>
        <v>5.75</v>
      </c>
      <c r="M41" s="14">
        <f t="shared" si="14"/>
        <v>4.1500000000000004</v>
      </c>
      <c r="N41" s="14">
        <f t="shared" si="14"/>
        <v>3.99</v>
      </c>
      <c r="O41" s="14">
        <f t="shared" si="14"/>
        <v>1.3779999999999999</v>
      </c>
      <c r="P41" s="129"/>
    </row>
    <row r="42" spans="2:17" ht="15.75" x14ac:dyDescent="0.2">
      <c r="B42" s="130"/>
      <c r="C42" s="130"/>
      <c r="D42" s="130"/>
      <c r="E42" s="130"/>
      <c r="F42" s="130"/>
      <c r="G42" s="130"/>
      <c r="H42" s="84" t="s">
        <v>5</v>
      </c>
      <c r="I42" s="14">
        <f>SUMIF($H$15:$H$38,"вне*",I$15:I$38)</f>
        <v>0.47000000000000003</v>
      </c>
      <c r="J42" s="14">
        <f t="shared" ref="J42:O42" si="15">SUMIF($H$15:$H$38,"вне*",J$15:J$38)</f>
        <v>0</v>
      </c>
      <c r="K42" s="14">
        <f t="shared" si="15"/>
        <v>0</v>
      </c>
      <c r="L42" s="14">
        <f t="shared" si="15"/>
        <v>0.2</v>
      </c>
      <c r="M42" s="14">
        <f t="shared" si="15"/>
        <v>0.2</v>
      </c>
      <c r="N42" s="14">
        <f t="shared" si="15"/>
        <v>0</v>
      </c>
      <c r="O42" s="14">
        <f t="shared" si="15"/>
        <v>7.0000000000000007E-2</v>
      </c>
      <c r="P42" s="130"/>
    </row>
    <row r="43" spans="2:17" ht="25.5" customHeight="1" x14ac:dyDescent="0.2">
      <c r="B43" s="111" t="s">
        <v>32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3"/>
    </row>
    <row r="44" spans="2:17" ht="42.75" outlineLevel="1" x14ac:dyDescent="0.2">
      <c r="B44" s="117" t="s">
        <v>1808</v>
      </c>
      <c r="C44" s="117" t="s">
        <v>119</v>
      </c>
      <c r="D44" s="117" t="s">
        <v>142</v>
      </c>
      <c r="E44" s="117">
        <v>2021</v>
      </c>
      <c r="F44" s="117" t="s">
        <v>674</v>
      </c>
      <c r="G44" s="117" t="s">
        <v>138</v>
      </c>
      <c r="H44" s="84" t="s">
        <v>3</v>
      </c>
      <c r="I44" s="58">
        <f t="shared" ref="I44:I51" si="16">SUM(J44:O44)</f>
        <v>35</v>
      </c>
      <c r="J44" s="83">
        <f t="shared" ref="J44:O44" si="17">J45+J46+J47</f>
        <v>0</v>
      </c>
      <c r="K44" s="83">
        <f t="shared" si="17"/>
        <v>35</v>
      </c>
      <c r="L44" s="83">
        <f t="shared" si="17"/>
        <v>0</v>
      </c>
      <c r="M44" s="83">
        <f t="shared" si="17"/>
        <v>0</v>
      </c>
      <c r="N44" s="83">
        <f t="shared" si="17"/>
        <v>0</v>
      </c>
      <c r="O44" s="83">
        <f t="shared" si="17"/>
        <v>0</v>
      </c>
      <c r="P44" s="117">
        <v>625</v>
      </c>
    </row>
    <row r="45" spans="2:17" outlineLevel="1" x14ac:dyDescent="0.2">
      <c r="B45" s="118"/>
      <c r="C45" s="132"/>
      <c r="D45" s="118"/>
      <c r="E45" s="118"/>
      <c r="F45" s="118"/>
      <c r="G45" s="118"/>
      <c r="H45" s="84" t="s">
        <v>4</v>
      </c>
      <c r="I45" s="58">
        <f t="shared" si="16"/>
        <v>34.65</v>
      </c>
      <c r="J45" s="83"/>
      <c r="K45" s="83">
        <v>34.65</v>
      </c>
      <c r="L45" s="75">
        <v>0</v>
      </c>
      <c r="M45" s="75">
        <v>0</v>
      </c>
      <c r="N45" s="75">
        <v>0</v>
      </c>
      <c r="O45" s="75">
        <v>0</v>
      </c>
      <c r="P45" s="118"/>
    </row>
    <row r="46" spans="2:17" outlineLevel="1" x14ac:dyDescent="0.2">
      <c r="B46" s="118"/>
      <c r="C46" s="132"/>
      <c r="D46" s="118"/>
      <c r="E46" s="118"/>
      <c r="F46" s="118"/>
      <c r="G46" s="118"/>
      <c r="H46" s="84" t="s">
        <v>6</v>
      </c>
      <c r="I46" s="58">
        <f t="shared" si="16"/>
        <v>0.35</v>
      </c>
      <c r="J46" s="83"/>
      <c r="K46" s="83">
        <v>0.35</v>
      </c>
      <c r="L46" s="75">
        <v>0</v>
      </c>
      <c r="M46" s="75">
        <v>0</v>
      </c>
      <c r="N46" s="75">
        <v>0</v>
      </c>
      <c r="O46" s="75">
        <v>0</v>
      </c>
      <c r="P46" s="118"/>
    </row>
    <row r="47" spans="2:17" outlineLevel="1" x14ac:dyDescent="0.2">
      <c r="B47" s="119"/>
      <c r="C47" s="133"/>
      <c r="D47" s="119"/>
      <c r="E47" s="119"/>
      <c r="F47" s="119"/>
      <c r="G47" s="119"/>
      <c r="H47" s="84" t="s">
        <v>5</v>
      </c>
      <c r="I47" s="58">
        <f t="shared" si="16"/>
        <v>0</v>
      </c>
      <c r="J47" s="83"/>
      <c r="K47" s="83"/>
      <c r="L47" s="83"/>
      <c r="M47" s="83"/>
      <c r="N47" s="83"/>
      <c r="O47" s="83"/>
      <c r="P47" s="119"/>
    </row>
    <row r="48" spans="2:17" ht="42.75" outlineLevel="1" x14ac:dyDescent="0.2">
      <c r="B48" s="117" t="s">
        <v>1809</v>
      </c>
      <c r="C48" s="117" t="s">
        <v>119</v>
      </c>
      <c r="D48" s="117" t="s">
        <v>1810</v>
      </c>
      <c r="E48" s="117">
        <v>2022</v>
      </c>
      <c r="F48" s="117" t="s">
        <v>677</v>
      </c>
      <c r="G48" s="117" t="s">
        <v>138</v>
      </c>
      <c r="H48" s="84" t="s">
        <v>3</v>
      </c>
      <c r="I48" s="58">
        <f t="shared" si="16"/>
        <v>204</v>
      </c>
      <c r="J48" s="83">
        <f t="shared" ref="J48:O48" si="18">J49+J50+J51</f>
        <v>0</v>
      </c>
      <c r="K48" s="83">
        <f t="shared" si="18"/>
        <v>0</v>
      </c>
      <c r="L48" s="83">
        <f t="shared" si="18"/>
        <v>204</v>
      </c>
      <c r="M48" s="83">
        <f t="shared" si="18"/>
        <v>0</v>
      </c>
      <c r="N48" s="83">
        <f t="shared" si="18"/>
        <v>0</v>
      </c>
      <c r="O48" s="83">
        <f t="shared" si="18"/>
        <v>0</v>
      </c>
      <c r="P48" s="117">
        <v>2100</v>
      </c>
    </row>
    <row r="49" spans="2:17" outlineLevel="1" x14ac:dyDescent="0.2">
      <c r="B49" s="118"/>
      <c r="C49" s="132"/>
      <c r="D49" s="118"/>
      <c r="E49" s="118"/>
      <c r="F49" s="118"/>
      <c r="G49" s="118"/>
      <c r="H49" s="84" t="s">
        <v>4</v>
      </c>
      <c r="I49" s="58">
        <f t="shared" si="16"/>
        <v>201.96</v>
      </c>
      <c r="J49" s="83"/>
      <c r="K49" s="83"/>
      <c r="L49" s="75">
        <v>201.96</v>
      </c>
      <c r="M49" s="75">
        <v>0</v>
      </c>
      <c r="N49" s="75">
        <v>0</v>
      </c>
      <c r="O49" s="75">
        <v>0</v>
      </c>
      <c r="P49" s="118"/>
    </row>
    <row r="50" spans="2:17" outlineLevel="1" x14ac:dyDescent="0.2">
      <c r="B50" s="118"/>
      <c r="C50" s="132"/>
      <c r="D50" s="118"/>
      <c r="E50" s="118"/>
      <c r="F50" s="118"/>
      <c r="G50" s="118"/>
      <c r="H50" s="84" t="s">
        <v>6</v>
      </c>
      <c r="I50" s="58">
        <f t="shared" si="16"/>
        <v>2.04</v>
      </c>
      <c r="J50" s="83"/>
      <c r="K50" s="83"/>
      <c r="L50" s="75">
        <v>2.04</v>
      </c>
      <c r="M50" s="75">
        <v>0</v>
      </c>
      <c r="N50" s="75">
        <v>0</v>
      </c>
      <c r="O50" s="75">
        <v>0</v>
      </c>
      <c r="P50" s="118"/>
    </row>
    <row r="51" spans="2:17" outlineLevel="1" x14ac:dyDescent="0.2">
      <c r="B51" s="119"/>
      <c r="C51" s="133"/>
      <c r="D51" s="119"/>
      <c r="E51" s="119"/>
      <c r="F51" s="119"/>
      <c r="G51" s="119"/>
      <c r="H51" s="84" t="s">
        <v>5</v>
      </c>
      <c r="I51" s="58">
        <f t="shared" si="16"/>
        <v>0</v>
      </c>
      <c r="J51" s="83"/>
      <c r="K51" s="83"/>
      <c r="L51" s="83"/>
      <c r="M51" s="83"/>
      <c r="N51" s="83"/>
      <c r="O51" s="83"/>
      <c r="P51" s="119"/>
    </row>
    <row r="52" spans="2:17" ht="42.75" x14ac:dyDescent="0.2">
      <c r="B52" s="128" t="s">
        <v>37</v>
      </c>
      <c r="C52" s="128" t="s">
        <v>38</v>
      </c>
      <c r="D52" s="128" t="s">
        <v>38</v>
      </c>
      <c r="E52" s="128" t="s">
        <v>38</v>
      </c>
      <c r="F52" s="128" t="s">
        <v>38</v>
      </c>
      <c r="G52" s="128" t="s">
        <v>38</v>
      </c>
      <c r="H52" s="84" t="s">
        <v>3</v>
      </c>
      <c r="I52" s="14">
        <f t="shared" ref="I52:O52" si="19">SUMIF($H$44:$H$51,"Объем*",I$44:I$51)</f>
        <v>239</v>
      </c>
      <c r="J52" s="14">
        <f t="shared" si="19"/>
        <v>0</v>
      </c>
      <c r="K52" s="14">
        <f t="shared" si="19"/>
        <v>35</v>
      </c>
      <c r="L52" s="14">
        <f t="shared" si="19"/>
        <v>204</v>
      </c>
      <c r="M52" s="14">
        <f t="shared" si="19"/>
        <v>0</v>
      </c>
      <c r="N52" s="14">
        <f t="shared" si="19"/>
        <v>0</v>
      </c>
      <c r="O52" s="14">
        <f t="shared" si="19"/>
        <v>0</v>
      </c>
      <c r="P52" s="128"/>
      <c r="Q52" s="7"/>
    </row>
    <row r="53" spans="2:17" ht="15.75" x14ac:dyDescent="0.2">
      <c r="B53" s="129"/>
      <c r="C53" s="129"/>
      <c r="D53" s="129"/>
      <c r="E53" s="129"/>
      <c r="F53" s="129"/>
      <c r="G53" s="129"/>
      <c r="H53" s="84" t="s">
        <v>4</v>
      </c>
      <c r="I53" s="14">
        <f t="shared" ref="I53:O53" si="20">SUMIF($H$44:$H$51,"фед*",I$44:I$51)</f>
        <v>236.61</v>
      </c>
      <c r="J53" s="14">
        <f t="shared" si="20"/>
        <v>0</v>
      </c>
      <c r="K53" s="14">
        <f t="shared" si="20"/>
        <v>34.65</v>
      </c>
      <c r="L53" s="14">
        <f t="shared" si="20"/>
        <v>201.96</v>
      </c>
      <c r="M53" s="14">
        <f t="shared" si="20"/>
        <v>0</v>
      </c>
      <c r="N53" s="14">
        <f t="shared" si="20"/>
        <v>0</v>
      </c>
      <c r="O53" s="14">
        <f t="shared" si="20"/>
        <v>0</v>
      </c>
      <c r="P53" s="129"/>
    </row>
    <row r="54" spans="2:17" ht="15.75" x14ac:dyDescent="0.2">
      <c r="B54" s="129"/>
      <c r="C54" s="129"/>
      <c r="D54" s="129"/>
      <c r="E54" s="129"/>
      <c r="F54" s="129"/>
      <c r="G54" s="129"/>
      <c r="H54" s="84" t="s">
        <v>6</v>
      </c>
      <c r="I54" s="14">
        <f t="shared" ref="I54:O54" si="21">SUMIF($H$44:$H$51,"конс*",I$44:I$51)</f>
        <v>2.39</v>
      </c>
      <c r="J54" s="14">
        <f t="shared" si="21"/>
        <v>0</v>
      </c>
      <c r="K54" s="14">
        <f t="shared" si="21"/>
        <v>0.35</v>
      </c>
      <c r="L54" s="14">
        <f t="shared" si="21"/>
        <v>2.04</v>
      </c>
      <c r="M54" s="14">
        <f t="shared" si="21"/>
        <v>0</v>
      </c>
      <c r="N54" s="14">
        <f t="shared" si="21"/>
        <v>0</v>
      </c>
      <c r="O54" s="14">
        <f t="shared" si="21"/>
        <v>0</v>
      </c>
      <c r="P54" s="129"/>
    </row>
    <row r="55" spans="2:17" ht="15.75" x14ac:dyDescent="0.2">
      <c r="B55" s="130"/>
      <c r="C55" s="130"/>
      <c r="D55" s="130"/>
      <c r="E55" s="130"/>
      <c r="F55" s="130"/>
      <c r="G55" s="130"/>
      <c r="H55" s="84" t="s">
        <v>5</v>
      </c>
      <c r="I55" s="14">
        <f t="shared" ref="I55:O55" si="22">SUMIF($H$44:$H$51,"вне*",I$44:I$51)</f>
        <v>0</v>
      </c>
      <c r="J55" s="14">
        <f t="shared" si="22"/>
        <v>0</v>
      </c>
      <c r="K55" s="14">
        <f t="shared" si="22"/>
        <v>0</v>
      </c>
      <c r="L55" s="14">
        <f t="shared" si="22"/>
        <v>0</v>
      </c>
      <c r="M55" s="14">
        <f t="shared" si="22"/>
        <v>0</v>
      </c>
      <c r="N55" s="14">
        <f t="shared" si="22"/>
        <v>0</v>
      </c>
      <c r="O55" s="14">
        <f t="shared" si="22"/>
        <v>0</v>
      </c>
      <c r="P55" s="130"/>
    </row>
    <row r="56" spans="2:17" ht="25.5" customHeight="1" x14ac:dyDescent="0.2">
      <c r="B56" s="111" t="s">
        <v>159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</row>
    <row r="57" spans="2:17" ht="42.75" outlineLevel="1" x14ac:dyDescent="0.2">
      <c r="B57" s="117" t="s">
        <v>1811</v>
      </c>
      <c r="C57" s="117" t="s">
        <v>1812</v>
      </c>
      <c r="D57" s="117" t="s">
        <v>159</v>
      </c>
      <c r="E57" s="117" t="s">
        <v>203</v>
      </c>
      <c r="F57" s="117" t="s">
        <v>563</v>
      </c>
      <c r="G57" s="117" t="s">
        <v>101</v>
      </c>
      <c r="H57" s="84" t="s">
        <v>3</v>
      </c>
      <c r="I57" s="83">
        <f>SUM(J57:O57)</f>
        <v>5</v>
      </c>
      <c r="J57" s="83">
        <f t="shared" ref="J57:O57" si="23">J58+J59+J60</f>
        <v>0</v>
      </c>
      <c r="K57" s="83">
        <f t="shared" si="23"/>
        <v>5</v>
      </c>
      <c r="L57" s="83">
        <f t="shared" si="23"/>
        <v>0</v>
      </c>
      <c r="M57" s="83">
        <v>0</v>
      </c>
      <c r="N57" s="83">
        <f t="shared" si="23"/>
        <v>0</v>
      </c>
      <c r="O57" s="83">
        <f t="shared" si="23"/>
        <v>0</v>
      </c>
      <c r="P57" s="117"/>
    </row>
    <row r="58" spans="2:17" outlineLevel="1" x14ac:dyDescent="0.2">
      <c r="B58" s="118"/>
      <c r="C58" s="118"/>
      <c r="D58" s="118"/>
      <c r="E58" s="118"/>
      <c r="F58" s="118"/>
      <c r="G58" s="118"/>
      <c r="H58" s="84" t="s">
        <v>4</v>
      </c>
      <c r="I58" s="83"/>
      <c r="J58" s="83"/>
      <c r="K58" s="83"/>
      <c r="L58" s="83"/>
      <c r="M58" s="83"/>
      <c r="N58" s="83"/>
      <c r="O58" s="83"/>
      <c r="P58" s="118"/>
    </row>
    <row r="59" spans="2:17" outlineLevel="1" x14ac:dyDescent="0.2">
      <c r="B59" s="118"/>
      <c r="C59" s="118"/>
      <c r="D59" s="118"/>
      <c r="E59" s="118"/>
      <c r="F59" s="118"/>
      <c r="G59" s="118"/>
      <c r="H59" s="84" t="s">
        <v>6</v>
      </c>
      <c r="I59" s="83">
        <f>SUM(J59:O59)</f>
        <v>5</v>
      </c>
      <c r="J59" s="83"/>
      <c r="K59" s="83">
        <v>5</v>
      </c>
      <c r="L59" s="83"/>
      <c r="M59" s="83"/>
      <c r="N59" s="83"/>
      <c r="O59" s="83"/>
      <c r="P59" s="118"/>
    </row>
    <row r="60" spans="2:17" outlineLevel="1" x14ac:dyDescent="0.2">
      <c r="B60" s="119"/>
      <c r="C60" s="119"/>
      <c r="D60" s="119"/>
      <c r="E60" s="119"/>
      <c r="F60" s="119"/>
      <c r="G60" s="119"/>
      <c r="H60" s="84" t="s">
        <v>5</v>
      </c>
      <c r="I60" s="83"/>
      <c r="J60" s="83"/>
      <c r="K60" s="83"/>
      <c r="L60" s="83"/>
      <c r="M60" s="83"/>
      <c r="N60" s="83"/>
      <c r="O60" s="83"/>
      <c r="P60" s="119"/>
    </row>
    <row r="61" spans="2:17" ht="42.75" x14ac:dyDescent="0.2">
      <c r="B61" s="128" t="s">
        <v>173</v>
      </c>
      <c r="C61" s="128" t="s">
        <v>38</v>
      </c>
      <c r="D61" s="128" t="s">
        <v>38</v>
      </c>
      <c r="E61" s="128" t="s">
        <v>38</v>
      </c>
      <c r="F61" s="128" t="s">
        <v>38</v>
      </c>
      <c r="G61" s="128" t="s">
        <v>38</v>
      </c>
      <c r="H61" s="84" t="s">
        <v>3</v>
      </c>
      <c r="I61" s="14">
        <f>SUMIF($H$57:$H$60,"Объем*",I$57:I$60)</f>
        <v>5</v>
      </c>
      <c r="J61" s="14">
        <f t="shared" ref="J61:O61" si="24">SUMIF($H$57:$H$60,"Объем*",J$57:J$60)</f>
        <v>0</v>
      </c>
      <c r="K61" s="14">
        <f t="shared" si="24"/>
        <v>5</v>
      </c>
      <c r="L61" s="14">
        <f t="shared" si="24"/>
        <v>0</v>
      </c>
      <c r="M61" s="14">
        <f t="shared" si="24"/>
        <v>0</v>
      </c>
      <c r="N61" s="14">
        <f t="shared" si="24"/>
        <v>0</v>
      </c>
      <c r="O61" s="14">
        <f t="shared" si="24"/>
        <v>0</v>
      </c>
      <c r="P61" s="128"/>
    </row>
    <row r="62" spans="2:17" ht="15.75" x14ac:dyDescent="0.2">
      <c r="B62" s="129"/>
      <c r="C62" s="129"/>
      <c r="D62" s="129"/>
      <c r="E62" s="129"/>
      <c r="F62" s="129"/>
      <c r="G62" s="129"/>
      <c r="H62" s="84" t="s">
        <v>4</v>
      </c>
      <c r="I62" s="14">
        <f>SUMIF($H$57:$H$60,"фед*",I$57:I$60)</f>
        <v>0</v>
      </c>
      <c r="J62" s="14">
        <f t="shared" ref="J62:O62" si="25">SUMIF($H$57:$H$60,"фед*",J$57:J$60)</f>
        <v>0</v>
      </c>
      <c r="K62" s="14">
        <f t="shared" si="25"/>
        <v>0</v>
      </c>
      <c r="L62" s="14">
        <f t="shared" si="25"/>
        <v>0</v>
      </c>
      <c r="M62" s="14">
        <f t="shared" si="25"/>
        <v>0</v>
      </c>
      <c r="N62" s="14">
        <f t="shared" si="25"/>
        <v>0</v>
      </c>
      <c r="O62" s="14">
        <f t="shared" si="25"/>
        <v>0</v>
      </c>
      <c r="P62" s="129"/>
    </row>
    <row r="63" spans="2:17" ht="15.75" x14ac:dyDescent="0.2">
      <c r="B63" s="129"/>
      <c r="C63" s="129"/>
      <c r="D63" s="129"/>
      <c r="E63" s="129"/>
      <c r="F63" s="129"/>
      <c r="G63" s="129"/>
      <c r="H63" s="84" t="s">
        <v>6</v>
      </c>
      <c r="I63" s="14">
        <f>SUMIF($H$57:$H$60,"конс*",I$57:I$60)</f>
        <v>5</v>
      </c>
      <c r="J63" s="14">
        <f t="shared" ref="J63:O63" si="26">SUMIF($H$57:$H$60,"конс*",J$57:J$60)</f>
        <v>0</v>
      </c>
      <c r="K63" s="14">
        <f t="shared" si="26"/>
        <v>5</v>
      </c>
      <c r="L63" s="14">
        <f t="shared" si="26"/>
        <v>0</v>
      </c>
      <c r="M63" s="14">
        <f t="shared" si="26"/>
        <v>0</v>
      </c>
      <c r="N63" s="14">
        <f t="shared" si="26"/>
        <v>0</v>
      </c>
      <c r="O63" s="14">
        <f t="shared" si="26"/>
        <v>0</v>
      </c>
      <c r="P63" s="129"/>
    </row>
    <row r="64" spans="2:17" ht="15.75" x14ac:dyDescent="0.2">
      <c r="B64" s="130"/>
      <c r="C64" s="130"/>
      <c r="D64" s="130"/>
      <c r="E64" s="130"/>
      <c r="F64" s="130"/>
      <c r="G64" s="130"/>
      <c r="H64" s="84" t="s">
        <v>5</v>
      </c>
      <c r="I64" s="14">
        <f>SUMIF($H$57:$H$60,"вне*",I$57:I$60)</f>
        <v>0</v>
      </c>
      <c r="J64" s="14">
        <f t="shared" ref="J64:O64" si="27">SUMIF($H$57:$H$60,"вне*",J$57:J$60)</f>
        <v>0</v>
      </c>
      <c r="K64" s="14">
        <f t="shared" si="27"/>
        <v>0</v>
      </c>
      <c r="L64" s="14">
        <f t="shared" si="27"/>
        <v>0</v>
      </c>
      <c r="M64" s="14">
        <f t="shared" si="27"/>
        <v>0</v>
      </c>
      <c r="N64" s="14">
        <f t="shared" si="27"/>
        <v>0</v>
      </c>
      <c r="O64" s="14">
        <f t="shared" si="27"/>
        <v>0</v>
      </c>
      <c r="P64" s="130"/>
    </row>
    <row r="65" spans="2:17" ht="25.5" customHeight="1" x14ac:dyDescent="0.2">
      <c r="B65" s="111" t="s">
        <v>174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</row>
    <row r="66" spans="2:17" ht="42.75" outlineLevel="1" x14ac:dyDescent="0.2">
      <c r="B66" s="117" t="s">
        <v>1813</v>
      </c>
      <c r="C66" s="117"/>
      <c r="D66" s="117" t="s">
        <v>174</v>
      </c>
      <c r="E66" s="117" t="s">
        <v>698</v>
      </c>
      <c r="F66" s="117"/>
      <c r="G66" s="117" t="s">
        <v>1814</v>
      </c>
      <c r="H66" s="84" t="s">
        <v>3</v>
      </c>
      <c r="I66" s="83">
        <f>SUM(J66:O66)</f>
        <v>4.42</v>
      </c>
      <c r="J66" s="83">
        <f t="shared" ref="J66:O66" si="28">J67+J68+J69</f>
        <v>0.39</v>
      </c>
      <c r="K66" s="83">
        <f t="shared" si="28"/>
        <v>0.41</v>
      </c>
      <c r="L66" s="83">
        <f t="shared" si="28"/>
        <v>0.86</v>
      </c>
      <c r="M66" s="83">
        <f t="shared" si="28"/>
        <v>1.35</v>
      </c>
      <c r="N66" s="83">
        <f t="shared" si="28"/>
        <v>1.41</v>
      </c>
      <c r="O66" s="83">
        <f t="shared" si="28"/>
        <v>0</v>
      </c>
      <c r="P66" s="117"/>
    </row>
    <row r="67" spans="2:17" outlineLevel="1" x14ac:dyDescent="0.2">
      <c r="B67" s="118"/>
      <c r="C67" s="132"/>
      <c r="D67" s="118"/>
      <c r="E67" s="118"/>
      <c r="F67" s="118"/>
      <c r="G67" s="118"/>
      <c r="H67" s="84" t="s">
        <v>4</v>
      </c>
      <c r="I67" s="83"/>
      <c r="J67" s="83"/>
      <c r="K67" s="83"/>
      <c r="L67" s="83"/>
      <c r="M67" s="83"/>
      <c r="N67" s="83"/>
      <c r="O67" s="83"/>
      <c r="P67" s="118"/>
    </row>
    <row r="68" spans="2:17" outlineLevel="1" x14ac:dyDescent="0.2">
      <c r="B68" s="118"/>
      <c r="C68" s="132"/>
      <c r="D68" s="118"/>
      <c r="E68" s="118"/>
      <c r="F68" s="118"/>
      <c r="G68" s="118"/>
      <c r="H68" s="84" t="s">
        <v>6</v>
      </c>
      <c r="I68" s="83">
        <f>SUM(J68:O68)</f>
        <v>4.42</v>
      </c>
      <c r="J68" s="83">
        <v>0.39</v>
      </c>
      <c r="K68" s="83">
        <v>0.41</v>
      </c>
      <c r="L68" s="83">
        <v>0.86</v>
      </c>
      <c r="M68" s="83">
        <v>1.35</v>
      </c>
      <c r="N68" s="83">
        <v>1.41</v>
      </c>
      <c r="O68" s="83"/>
      <c r="P68" s="118"/>
    </row>
    <row r="69" spans="2:17" outlineLevel="1" x14ac:dyDescent="0.2">
      <c r="B69" s="119"/>
      <c r="C69" s="133"/>
      <c r="D69" s="119"/>
      <c r="E69" s="119"/>
      <c r="F69" s="119"/>
      <c r="G69" s="119"/>
      <c r="H69" s="84" t="s">
        <v>5</v>
      </c>
      <c r="I69" s="83"/>
      <c r="J69" s="83"/>
      <c r="K69" s="83"/>
      <c r="L69" s="83"/>
      <c r="M69" s="83"/>
      <c r="N69" s="83"/>
      <c r="O69" s="83"/>
      <c r="P69" s="119"/>
    </row>
    <row r="70" spans="2:17" ht="42.75" x14ac:dyDescent="0.2">
      <c r="B70" s="128" t="s">
        <v>197</v>
      </c>
      <c r="C70" s="128" t="s">
        <v>38</v>
      </c>
      <c r="D70" s="128" t="s">
        <v>38</v>
      </c>
      <c r="E70" s="128" t="s">
        <v>38</v>
      </c>
      <c r="F70" s="128" t="s">
        <v>38</v>
      </c>
      <c r="G70" s="128" t="s">
        <v>38</v>
      </c>
      <c r="H70" s="84" t="s">
        <v>3</v>
      </c>
      <c r="I70" s="14">
        <f>SUMIF($H$66:$H$69,"Объем*",I$66:I$69)</f>
        <v>4.42</v>
      </c>
      <c r="J70" s="14">
        <f t="shared" ref="J70:O70" si="29">SUMIF($H$66:$H$69,"Объем*",J$66:J$69)</f>
        <v>0.39</v>
      </c>
      <c r="K70" s="14">
        <f t="shared" si="29"/>
        <v>0.41</v>
      </c>
      <c r="L70" s="14">
        <f t="shared" si="29"/>
        <v>0.86</v>
      </c>
      <c r="M70" s="14">
        <f t="shared" si="29"/>
        <v>1.35</v>
      </c>
      <c r="N70" s="14">
        <f t="shared" si="29"/>
        <v>1.41</v>
      </c>
      <c r="O70" s="14">
        <f t="shared" si="29"/>
        <v>0</v>
      </c>
      <c r="P70" s="128"/>
      <c r="Q70" s="7"/>
    </row>
    <row r="71" spans="2:17" ht="15.75" x14ac:dyDescent="0.2">
      <c r="B71" s="129"/>
      <c r="C71" s="129"/>
      <c r="D71" s="129"/>
      <c r="E71" s="129"/>
      <c r="F71" s="129"/>
      <c r="G71" s="129"/>
      <c r="H71" s="84" t="s">
        <v>4</v>
      </c>
      <c r="I71" s="14">
        <f>SUMIF($H$66:$H$69,"фед*",I$66:I$69)</f>
        <v>0</v>
      </c>
      <c r="J71" s="14">
        <f t="shared" ref="J71:O71" si="30">SUMIF($H$66:$H$69,"фед*",J$66:J$69)</f>
        <v>0</v>
      </c>
      <c r="K71" s="14">
        <f t="shared" si="30"/>
        <v>0</v>
      </c>
      <c r="L71" s="14">
        <f t="shared" si="30"/>
        <v>0</v>
      </c>
      <c r="M71" s="14">
        <f t="shared" si="30"/>
        <v>0</v>
      </c>
      <c r="N71" s="14">
        <f t="shared" si="30"/>
        <v>0</v>
      </c>
      <c r="O71" s="14">
        <f t="shared" si="30"/>
        <v>0</v>
      </c>
      <c r="P71" s="129"/>
    </row>
    <row r="72" spans="2:17" ht="15.75" x14ac:dyDescent="0.2">
      <c r="B72" s="129"/>
      <c r="C72" s="129"/>
      <c r="D72" s="129"/>
      <c r="E72" s="129"/>
      <c r="F72" s="129"/>
      <c r="G72" s="129"/>
      <c r="H72" s="84" t="s">
        <v>6</v>
      </c>
      <c r="I72" s="14">
        <f>SUMIF($H$66:$H$69,"конс*",I$66:I$69)</f>
        <v>4.42</v>
      </c>
      <c r="J72" s="14">
        <f t="shared" ref="J72:O72" si="31">SUMIF($H$66:$H$69,"конс*",J$66:J$69)</f>
        <v>0.39</v>
      </c>
      <c r="K72" s="14">
        <f t="shared" si="31"/>
        <v>0.41</v>
      </c>
      <c r="L72" s="14">
        <f t="shared" si="31"/>
        <v>0.86</v>
      </c>
      <c r="M72" s="14">
        <f t="shared" si="31"/>
        <v>1.35</v>
      </c>
      <c r="N72" s="14">
        <f t="shared" si="31"/>
        <v>1.41</v>
      </c>
      <c r="O72" s="14">
        <f t="shared" si="31"/>
        <v>0</v>
      </c>
      <c r="P72" s="129"/>
    </row>
    <row r="73" spans="2:17" ht="15.75" x14ac:dyDescent="0.2">
      <c r="B73" s="130"/>
      <c r="C73" s="130"/>
      <c r="D73" s="130"/>
      <c r="E73" s="130"/>
      <c r="F73" s="130"/>
      <c r="G73" s="130"/>
      <c r="H73" s="84" t="s">
        <v>5</v>
      </c>
      <c r="I73" s="14">
        <f>SUMIF($H$66:$H$69,"вне*",I$66:I$69)</f>
        <v>0</v>
      </c>
      <c r="J73" s="14">
        <f t="shared" ref="J73:O73" si="32">SUMIF($H$66:$H$69,"вне*",J$66:J$69)</f>
        <v>0</v>
      </c>
      <c r="K73" s="14">
        <f t="shared" si="32"/>
        <v>0</v>
      </c>
      <c r="L73" s="14">
        <f t="shared" si="32"/>
        <v>0</v>
      </c>
      <c r="M73" s="14">
        <f t="shared" si="32"/>
        <v>0</v>
      </c>
      <c r="N73" s="14">
        <f t="shared" si="32"/>
        <v>0</v>
      </c>
      <c r="O73" s="14">
        <f t="shared" si="32"/>
        <v>0</v>
      </c>
      <c r="P73" s="130"/>
    </row>
    <row r="74" spans="2:17" ht="25.5" customHeight="1" x14ac:dyDescent="0.2">
      <c r="B74" s="111" t="s">
        <v>223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</row>
    <row r="75" spans="2:17" ht="42.75" outlineLevel="1" x14ac:dyDescent="0.2">
      <c r="B75" s="117" t="s">
        <v>1815</v>
      </c>
      <c r="C75" s="117"/>
      <c r="D75" s="117" t="s">
        <v>223</v>
      </c>
      <c r="E75" s="117" t="s">
        <v>171</v>
      </c>
      <c r="F75" s="117" t="s">
        <v>1816</v>
      </c>
      <c r="G75" s="117" t="s">
        <v>63</v>
      </c>
      <c r="H75" s="84" t="s">
        <v>3</v>
      </c>
      <c r="I75" s="83">
        <f>SUM(J75:O75)</f>
        <v>10.65</v>
      </c>
      <c r="J75" s="83">
        <v>0</v>
      </c>
      <c r="K75" s="83">
        <f t="shared" ref="K75:O75" si="33">K76+K77+K78</f>
        <v>5.3250000000000002</v>
      </c>
      <c r="L75" s="83">
        <f t="shared" si="33"/>
        <v>5.3250000000000002</v>
      </c>
      <c r="M75" s="83">
        <f t="shared" si="33"/>
        <v>0</v>
      </c>
      <c r="N75" s="83">
        <f t="shared" si="33"/>
        <v>0</v>
      </c>
      <c r="O75" s="83">
        <f t="shared" si="33"/>
        <v>0</v>
      </c>
      <c r="P75" s="117">
        <v>8866</v>
      </c>
    </row>
    <row r="76" spans="2:17" ht="17.25" outlineLevel="1" x14ac:dyDescent="0.2">
      <c r="B76" s="118"/>
      <c r="C76" s="132"/>
      <c r="D76" s="118"/>
      <c r="E76" s="118"/>
      <c r="F76" s="118"/>
      <c r="G76" s="118"/>
      <c r="H76" s="84" t="s">
        <v>4</v>
      </c>
      <c r="I76" s="52"/>
      <c r="J76" s="52"/>
      <c r="K76" s="52"/>
      <c r="L76" s="52"/>
      <c r="M76" s="52"/>
      <c r="N76" s="52"/>
      <c r="O76" s="52"/>
      <c r="P76" s="118"/>
    </row>
    <row r="77" spans="2:17" ht="17.25" outlineLevel="1" x14ac:dyDescent="0.2">
      <c r="B77" s="118"/>
      <c r="C77" s="132"/>
      <c r="D77" s="118"/>
      <c r="E77" s="118"/>
      <c r="F77" s="118"/>
      <c r="G77" s="118"/>
      <c r="H77" s="84" t="s">
        <v>6</v>
      </c>
      <c r="I77" s="83">
        <f>SUM(J77:O77)</f>
        <v>10.65</v>
      </c>
      <c r="J77" s="52"/>
      <c r="K77" s="83">
        <v>5.3250000000000002</v>
      </c>
      <c r="L77" s="83">
        <v>5.3250000000000002</v>
      </c>
      <c r="M77" s="52"/>
      <c r="N77" s="52"/>
      <c r="O77" s="52"/>
      <c r="P77" s="118"/>
    </row>
    <row r="78" spans="2:17" ht="17.25" outlineLevel="1" x14ac:dyDescent="0.2">
      <c r="B78" s="119"/>
      <c r="C78" s="133"/>
      <c r="D78" s="119"/>
      <c r="E78" s="119"/>
      <c r="F78" s="119"/>
      <c r="G78" s="119"/>
      <c r="H78" s="84" t="s">
        <v>5</v>
      </c>
      <c r="I78" s="52"/>
      <c r="J78" s="52"/>
      <c r="K78" s="52"/>
      <c r="L78" s="52"/>
      <c r="M78" s="52"/>
      <c r="N78" s="52"/>
      <c r="O78" s="52"/>
      <c r="P78" s="119"/>
    </row>
    <row r="79" spans="2:17" ht="42.75" outlineLevel="1" x14ac:dyDescent="0.2">
      <c r="B79" s="117" t="s">
        <v>1817</v>
      </c>
      <c r="C79" s="117"/>
      <c r="D79" s="117" t="s">
        <v>223</v>
      </c>
      <c r="E79" s="117" t="s">
        <v>171</v>
      </c>
      <c r="F79" s="117" t="s">
        <v>1818</v>
      </c>
      <c r="G79" s="117" t="s">
        <v>63</v>
      </c>
      <c r="H79" s="84" t="s">
        <v>3</v>
      </c>
      <c r="I79" s="83">
        <f>SUM(J79:O79)</f>
        <v>4.8</v>
      </c>
      <c r="J79" s="83">
        <v>0</v>
      </c>
      <c r="K79" s="83">
        <f t="shared" ref="K79:O79" si="34">K80+K81+K82</f>
        <v>2.4</v>
      </c>
      <c r="L79" s="83">
        <f t="shared" si="34"/>
        <v>2.4</v>
      </c>
      <c r="M79" s="83">
        <f t="shared" si="34"/>
        <v>0</v>
      </c>
      <c r="N79" s="83">
        <f t="shared" si="34"/>
        <v>0</v>
      </c>
      <c r="O79" s="83">
        <f t="shared" si="34"/>
        <v>0</v>
      </c>
      <c r="P79" s="117"/>
    </row>
    <row r="80" spans="2:17" ht="17.25" outlineLevel="1" x14ac:dyDescent="0.2">
      <c r="B80" s="118"/>
      <c r="C80" s="132"/>
      <c r="D80" s="118"/>
      <c r="E80" s="118"/>
      <c r="F80" s="118"/>
      <c r="G80" s="118"/>
      <c r="H80" s="84" t="s">
        <v>4</v>
      </c>
      <c r="I80" s="52"/>
      <c r="J80" s="52"/>
      <c r="K80" s="52"/>
      <c r="L80" s="52"/>
      <c r="M80" s="52"/>
      <c r="N80" s="52"/>
      <c r="O80" s="52"/>
      <c r="P80" s="118"/>
    </row>
    <row r="81" spans="2:17" ht="17.25" outlineLevel="1" x14ac:dyDescent="0.2">
      <c r="B81" s="118"/>
      <c r="C81" s="132"/>
      <c r="D81" s="118"/>
      <c r="E81" s="118"/>
      <c r="F81" s="118"/>
      <c r="G81" s="118"/>
      <c r="H81" s="84" t="s">
        <v>6</v>
      </c>
      <c r="I81" s="83">
        <f>SUM(J81:O81)</f>
        <v>4.8</v>
      </c>
      <c r="J81" s="52"/>
      <c r="K81" s="83">
        <v>2.4</v>
      </c>
      <c r="L81" s="52">
        <v>2.4</v>
      </c>
      <c r="M81" s="52"/>
      <c r="N81" s="52"/>
      <c r="O81" s="52"/>
      <c r="P81" s="118"/>
    </row>
    <row r="82" spans="2:17" ht="17.25" outlineLevel="1" x14ac:dyDescent="0.2">
      <c r="B82" s="119"/>
      <c r="C82" s="133"/>
      <c r="D82" s="119"/>
      <c r="E82" s="119"/>
      <c r="F82" s="119"/>
      <c r="G82" s="119"/>
      <c r="H82" s="84" t="s">
        <v>5</v>
      </c>
      <c r="I82" s="52"/>
      <c r="J82" s="52"/>
      <c r="K82" s="52"/>
      <c r="L82" s="52"/>
      <c r="M82" s="52"/>
      <c r="N82" s="52"/>
      <c r="O82" s="52"/>
      <c r="P82" s="119"/>
    </row>
    <row r="83" spans="2:17" ht="42.75" x14ac:dyDescent="0.2">
      <c r="B83" s="128" t="s">
        <v>288</v>
      </c>
      <c r="C83" s="128" t="s">
        <v>38</v>
      </c>
      <c r="D83" s="128" t="s">
        <v>38</v>
      </c>
      <c r="E83" s="128" t="s">
        <v>38</v>
      </c>
      <c r="F83" s="128" t="s">
        <v>38</v>
      </c>
      <c r="G83" s="128" t="s">
        <v>38</v>
      </c>
      <c r="H83" s="84" t="s">
        <v>3</v>
      </c>
      <c r="I83" s="14">
        <f>SUMIF($H$75:$H$82,"Объем*",I$75:I$82)</f>
        <v>15.45</v>
      </c>
      <c r="J83" s="14">
        <f t="shared" ref="J83:O83" si="35">SUMIF($H$75:$H$82,"Объем*",J$75:J$82)</f>
        <v>0</v>
      </c>
      <c r="K83" s="14">
        <f t="shared" si="35"/>
        <v>7.7249999999999996</v>
      </c>
      <c r="L83" s="14">
        <f t="shared" si="35"/>
        <v>7.7249999999999996</v>
      </c>
      <c r="M83" s="14">
        <f t="shared" si="35"/>
        <v>0</v>
      </c>
      <c r="N83" s="14">
        <f t="shared" si="35"/>
        <v>0</v>
      </c>
      <c r="O83" s="14">
        <f t="shared" si="35"/>
        <v>0</v>
      </c>
      <c r="P83" s="128"/>
      <c r="Q83" s="7"/>
    </row>
    <row r="84" spans="2:17" ht="15.75" x14ac:dyDescent="0.2">
      <c r="B84" s="129"/>
      <c r="C84" s="129"/>
      <c r="D84" s="129"/>
      <c r="E84" s="129"/>
      <c r="F84" s="129"/>
      <c r="G84" s="129"/>
      <c r="H84" s="84" t="s">
        <v>4</v>
      </c>
      <c r="I84" s="14">
        <f>SUMIF($H$75:$H$82,"фед*",I$75:I$82)</f>
        <v>0</v>
      </c>
      <c r="J84" s="14">
        <f t="shared" ref="J84:O84" si="36">SUMIF($H$75:$H$82,"фед*",J$75:J$82)</f>
        <v>0</v>
      </c>
      <c r="K84" s="14">
        <f t="shared" si="36"/>
        <v>0</v>
      </c>
      <c r="L84" s="14">
        <f t="shared" si="36"/>
        <v>0</v>
      </c>
      <c r="M84" s="14">
        <f t="shared" si="36"/>
        <v>0</v>
      </c>
      <c r="N84" s="14">
        <f t="shared" si="36"/>
        <v>0</v>
      </c>
      <c r="O84" s="14">
        <f t="shared" si="36"/>
        <v>0</v>
      </c>
      <c r="P84" s="129"/>
    </row>
    <row r="85" spans="2:17" ht="15.75" x14ac:dyDescent="0.2">
      <c r="B85" s="129"/>
      <c r="C85" s="129"/>
      <c r="D85" s="129"/>
      <c r="E85" s="129"/>
      <c r="F85" s="129"/>
      <c r="G85" s="129"/>
      <c r="H85" s="84" t="s">
        <v>6</v>
      </c>
      <c r="I85" s="14">
        <f>SUMIF($H$75:$H$82,"конс*",I$75:I$82)</f>
        <v>15.45</v>
      </c>
      <c r="J85" s="14">
        <f t="shared" ref="J85:O85" si="37">SUMIF($H$75:$H$82,"конс*",J$75:J$82)</f>
        <v>0</v>
      </c>
      <c r="K85" s="14">
        <f t="shared" si="37"/>
        <v>7.7249999999999996</v>
      </c>
      <c r="L85" s="14">
        <f t="shared" si="37"/>
        <v>7.7249999999999996</v>
      </c>
      <c r="M85" s="14">
        <f t="shared" si="37"/>
        <v>0</v>
      </c>
      <c r="N85" s="14">
        <f t="shared" si="37"/>
        <v>0</v>
      </c>
      <c r="O85" s="14">
        <f t="shared" si="37"/>
        <v>0</v>
      </c>
      <c r="P85" s="129"/>
    </row>
    <row r="86" spans="2:17" ht="15.75" x14ac:dyDescent="0.2">
      <c r="B86" s="130"/>
      <c r="C86" s="130"/>
      <c r="D86" s="130"/>
      <c r="E86" s="130"/>
      <c r="F86" s="130"/>
      <c r="G86" s="130"/>
      <c r="H86" s="84" t="s">
        <v>5</v>
      </c>
      <c r="I86" s="14">
        <f>SUMIF($H$75:$H$82,"вне*",I$75:I$82)</f>
        <v>0</v>
      </c>
      <c r="J86" s="14">
        <f t="shared" ref="J86:O86" si="38">SUMIF($H$75:$H$82,"вне*",J$75:J$82)</f>
        <v>0</v>
      </c>
      <c r="K86" s="14">
        <f t="shared" si="38"/>
        <v>0</v>
      </c>
      <c r="L86" s="14">
        <f t="shared" si="38"/>
        <v>0</v>
      </c>
      <c r="M86" s="14">
        <f t="shared" si="38"/>
        <v>0</v>
      </c>
      <c r="N86" s="14">
        <f t="shared" si="38"/>
        <v>0</v>
      </c>
      <c r="O86" s="14">
        <f t="shared" si="38"/>
        <v>0</v>
      </c>
      <c r="P86" s="130"/>
    </row>
    <row r="87" spans="2:17" ht="25.5" customHeight="1" x14ac:dyDescent="0.2">
      <c r="B87" s="111" t="s">
        <v>344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</row>
    <row r="88" spans="2:17" ht="42.75" outlineLevel="1" x14ac:dyDescent="0.2">
      <c r="B88" s="117" t="s">
        <v>1819</v>
      </c>
      <c r="C88" s="117"/>
      <c r="D88" s="117" t="s">
        <v>344</v>
      </c>
      <c r="E88" s="117" t="s">
        <v>171</v>
      </c>
      <c r="F88" s="117"/>
      <c r="G88" s="117" t="s">
        <v>779</v>
      </c>
      <c r="H88" s="84" t="s">
        <v>3</v>
      </c>
      <c r="I88" s="83">
        <f t="shared" ref="I88:I91" si="39">SUM(J88:O88)</f>
        <v>83.4</v>
      </c>
      <c r="J88" s="83">
        <f t="shared" ref="J88:O88" si="40">J89+J90+J91</f>
        <v>0</v>
      </c>
      <c r="K88" s="83">
        <f t="shared" si="40"/>
        <v>0</v>
      </c>
      <c r="L88" s="83">
        <f t="shared" si="40"/>
        <v>0</v>
      </c>
      <c r="M88" s="83">
        <f t="shared" si="40"/>
        <v>83.4</v>
      </c>
      <c r="N88" s="83">
        <f t="shared" si="40"/>
        <v>0</v>
      </c>
      <c r="O88" s="83">
        <f t="shared" si="40"/>
        <v>0</v>
      </c>
      <c r="P88" s="117">
        <v>21562</v>
      </c>
    </row>
    <row r="89" spans="2:17" outlineLevel="1" x14ac:dyDescent="0.2">
      <c r="B89" s="118"/>
      <c r="C89" s="132"/>
      <c r="D89" s="118"/>
      <c r="E89" s="118"/>
      <c r="F89" s="118"/>
      <c r="G89" s="118"/>
      <c r="H89" s="84" t="s">
        <v>4</v>
      </c>
      <c r="I89" s="83">
        <f t="shared" si="39"/>
        <v>0</v>
      </c>
      <c r="J89" s="75"/>
      <c r="K89" s="75"/>
      <c r="L89" s="75"/>
      <c r="M89" s="75"/>
      <c r="N89" s="75"/>
      <c r="O89" s="75"/>
      <c r="P89" s="118"/>
    </row>
    <row r="90" spans="2:17" outlineLevel="1" x14ac:dyDescent="0.2">
      <c r="B90" s="118"/>
      <c r="C90" s="132"/>
      <c r="D90" s="118"/>
      <c r="E90" s="118"/>
      <c r="F90" s="118"/>
      <c r="G90" s="118"/>
      <c r="H90" s="84" t="s">
        <v>6</v>
      </c>
      <c r="I90" s="83">
        <f t="shared" si="39"/>
        <v>83.4</v>
      </c>
      <c r="J90" s="75"/>
      <c r="K90" s="75"/>
      <c r="L90" s="75"/>
      <c r="M90" s="75">
        <v>83.4</v>
      </c>
      <c r="N90" s="75"/>
      <c r="O90" s="75"/>
      <c r="P90" s="118"/>
    </row>
    <row r="91" spans="2:17" outlineLevel="1" x14ac:dyDescent="0.2">
      <c r="B91" s="119"/>
      <c r="C91" s="133"/>
      <c r="D91" s="119"/>
      <c r="E91" s="119"/>
      <c r="F91" s="119"/>
      <c r="G91" s="119"/>
      <c r="H91" s="84" t="s">
        <v>5</v>
      </c>
      <c r="I91" s="83">
        <f t="shared" si="39"/>
        <v>0</v>
      </c>
      <c r="J91" s="75"/>
      <c r="K91" s="75"/>
      <c r="L91" s="75"/>
      <c r="M91" s="75"/>
      <c r="N91" s="75"/>
      <c r="O91" s="75"/>
      <c r="P91" s="119"/>
    </row>
    <row r="92" spans="2:17" ht="42.75" x14ac:dyDescent="0.2">
      <c r="B92" s="128" t="s">
        <v>349</v>
      </c>
      <c r="C92" s="128" t="s">
        <v>38</v>
      </c>
      <c r="D92" s="128" t="s">
        <v>38</v>
      </c>
      <c r="E92" s="128" t="s">
        <v>38</v>
      </c>
      <c r="F92" s="128" t="s">
        <v>38</v>
      </c>
      <c r="G92" s="128" t="s">
        <v>38</v>
      </c>
      <c r="H92" s="84" t="s">
        <v>3</v>
      </c>
      <c r="I92" s="14">
        <f>SUMIF($H$88:$H$91,"Объем*",I$88:I$91)</f>
        <v>83.4</v>
      </c>
      <c r="J92" s="14">
        <f t="shared" ref="J92:O92" si="41">SUMIF($H$88:$H$91,"Объем*",J$88:J$91)</f>
        <v>0</v>
      </c>
      <c r="K92" s="14">
        <f t="shared" si="41"/>
        <v>0</v>
      </c>
      <c r="L92" s="14">
        <f t="shared" si="41"/>
        <v>0</v>
      </c>
      <c r="M92" s="14">
        <f t="shared" si="41"/>
        <v>83.4</v>
      </c>
      <c r="N92" s="14">
        <f t="shared" si="41"/>
        <v>0</v>
      </c>
      <c r="O92" s="14">
        <f t="shared" si="41"/>
        <v>0</v>
      </c>
      <c r="P92" s="128"/>
      <c r="Q92" s="7"/>
    </row>
    <row r="93" spans="2:17" ht="15.75" x14ac:dyDescent="0.2">
      <c r="B93" s="129"/>
      <c r="C93" s="129"/>
      <c r="D93" s="129"/>
      <c r="E93" s="129"/>
      <c r="F93" s="129"/>
      <c r="G93" s="129"/>
      <c r="H93" s="84" t="s">
        <v>4</v>
      </c>
      <c r="I93" s="14">
        <f>SUMIF($H$88:$H$91,"фед*",I$88:I$91)</f>
        <v>0</v>
      </c>
      <c r="J93" s="14">
        <f t="shared" ref="J93:O93" si="42">SUMIF($H$88:$H$91,"фед*",J$88:J$91)</f>
        <v>0</v>
      </c>
      <c r="K93" s="14">
        <f t="shared" si="42"/>
        <v>0</v>
      </c>
      <c r="L93" s="14">
        <f t="shared" si="42"/>
        <v>0</v>
      </c>
      <c r="M93" s="14">
        <f t="shared" si="42"/>
        <v>0</v>
      </c>
      <c r="N93" s="14">
        <f t="shared" si="42"/>
        <v>0</v>
      </c>
      <c r="O93" s="14">
        <f t="shared" si="42"/>
        <v>0</v>
      </c>
      <c r="P93" s="129"/>
    </row>
    <row r="94" spans="2:17" ht="15.75" x14ac:dyDescent="0.2">
      <c r="B94" s="129"/>
      <c r="C94" s="129"/>
      <c r="D94" s="129"/>
      <c r="E94" s="129"/>
      <c r="F94" s="129"/>
      <c r="G94" s="129"/>
      <c r="H94" s="84" t="s">
        <v>6</v>
      </c>
      <c r="I94" s="14">
        <f>SUMIF($H$88:$H$91,"конс*",I$88:I$91)</f>
        <v>83.4</v>
      </c>
      <c r="J94" s="14">
        <f t="shared" ref="J94:O94" si="43">SUMIF($H$88:$H$91,"конс*",J$88:J$91)</f>
        <v>0</v>
      </c>
      <c r="K94" s="14">
        <f t="shared" si="43"/>
        <v>0</v>
      </c>
      <c r="L94" s="14">
        <f t="shared" si="43"/>
        <v>0</v>
      </c>
      <c r="M94" s="14">
        <f t="shared" si="43"/>
        <v>83.4</v>
      </c>
      <c r="N94" s="14">
        <f t="shared" si="43"/>
        <v>0</v>
      </c>
      <c r="O94" s="14">
        <f t="shared" si="43"/>
        <v>0</v>
      </c>
      <c r="P94" s="129"/>
    </row>
    <row r="95" spans="2:17" ht="15.75" x14ac:dyDescent="0.2">
      <c r="B95" s="130"/>
      <c r="C95" s="130"/>
      <c r="D95" s="130"/>
      <c r="E95" s="130"/>
      <c r="F95" s="130"/>
      <c r="G95" s="130"/>
      <c r="H95" s="84" t="s">
        <v>5</v>
      </c>
      <c r="I95" s="14">
        <f>SUMIF($H$88:$H$91,"вне*",I$88:I$91)</f>
        <v>0</v>
      </c>
      <c r="J95" s="14">
        <f t="shared" ref="J95:O95" si="44">SUMIF($H$88:$H$91,"вне*",J$88:J$91)</f>
        <v>0</v>
      </c>
      <c r="K95" s="14">
        <f t="shared" si="44"/>
        <v>0</v>
      </c>
      <c r="L95" s="14">
        <f t="shared" si="44"/>
        <v>0</v>
      </c>
      <c r="M95" s="14">
        <f t="shared" si="44"/>
        <v>0</v>
      </c>
      <c r="N95" s="14">
        <f t="shared" si="44"/>
        <v>0</v>
      </c>
      <c r="O95" s="14">
        <f t="shared" si="44"/>
        <v>0</v>
      </c>
      <c r="P95" s="130"/>
    </row>
    <row r="96" spans="2:17" ht="25.5" customHeight="1" x14ac:dyDescent="0.2">
      <c r="B96" s="111" t="s">
        <v>47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3"/>
    </row>
    <row r="97" spans="2:17" ht="42.75" outlineLevel="1" x14ac:dyDescent="0.2">
      <c r="B97" s="117" t="s">
        <v>1820</v>
      </c>
      <c r="C97" s="117"/>
      <c r="D97" s="117" t="s">
        <v>47</v>
      </c>
      <c r="E97" s="117" t="s">
        <v>75</v>
      </c>
      <c r="F97" s="117"/>
      <c r="G97" s="117" t="s">
        <v>115</v>
      </c>
      <c r="H97" s="84" t="s">
        <v>3</v>
      </c>
      <c r="I97" s="83">
        <f>SUM(J97:O97)</f>
        <v>35</v>
      </c>
      <c r="J97" s="83">
        <f t="shared" ref="J97:O97" si="45">J98+J99+J100</f>
        <v>10</v>
      </c>
      <c r="K97" s="83">
        <f t="shared" si="45"/>
        <v>10</v>
      </c>
      <c r="L97" s="83">
        <f t="shared" si="45"/>
        <v>15</v>
      </c>
      <c r="M97" s="83">
        <f t="shared" si="45"/>
        <v>0</v>
      </c>
      <c r="N97" s="83">
        <f t="shared" si="45"/>
        <v>0</v>
      </c>
      <c r="O97" s="83">
        <f t="shared" si="45"/>
        <v>0</v>
      </c>
      <c r="P97" s="117">
        <v>5000</v>
      </c>
    </row>
    <row r="98" spans="2:17" outlineLevel="1" x14ac:dyDescent="0.2">
      <c r="B98" s="118"/>
      <c r="C98" s="132"/>
      <c r="D98" s="118"/>
      <c r="E98" s="118"/>
      <c r="F98" s="118"/>
      <c r="G98" s="118"/>
      <c r="H98" s="84" t="s">
        <v>4</v>
      </c>
      <c r="I98" s="83">
        <f>SUM(J98:O98)</f>
        <v>34.450000000000003</v>
      </c>
      <c r="J98" s="83">
        <v>9.8000000000000007</v>
      </c>
      <c r="K98" s="83">
        <v>9.8000000000000007</v>
      </c>
      <c r="L98" s="83">
        <v>14.85</v>
      </c>
      <c r="M98" s="83"/>
      <c r="N98" s="83"/>
      <c r="O98" s="83"/>
      <c r="P98" s="118"/>
    </row>
    <row r="99" spans="2:17" outlineLevel="1" x14ac:dyDescent="0.2">
      <c r="B99" s="118"/>
      <c r="C99" s="132"/>
      <c r="D99" s="118"/>
      <c r="E99" s="118"/>
      <c r="F99" s="118"/>
      <c r="G99" s="118"/>
      <c r="H99" s="84" t="s">
        <v>6</v>
      </c>
      <c r="I99" s="83">
        <f>SUM(J99:O99)</f>
        <v>0.55000000000000004</v>
      </c>
      <c r="J99" s="83">
        <v>0.2</v>
      </c>
      <c r="K99" s="83">
        <v>0.2</v>
      </c>
      <c r="L99" s="83">
        <v>0.15</v>
      </c>
      <c r="M99" s="83"/>
      <c r="N99" s="83"/>
      <c r="O99" s="83"/>
      <c r="P99" s="118"/>
    </row>
    <row r="100" spans="2:17" outlineLevel="1" x14ac:dyDescent="0.2">
      <c r="B100" s="119"/>
      <c r="C100" s="133"/>
      <c r="D100" s="119"/>
      <c r="E100" s="119"/>
      <c r="F100" s="119"/>
      <c r="G100" s="119"/>
      <c r="H100" s="84" t="s">
        <v>5</v>
      </c>
      <c r="I100" s="83"/>
      <c r="J100" s="83"/>
      <c r="K100" s="83"/>
      <c r="L100" s="83"/>
      <c r="M100" s="83"/>
      <c r="N100" s="83"/>
      <c r="O100" s="83"/>
      <c r="P100" s="119"/>
    </row>
    <row r="101" spans="2:17" ht="42.75" outlineLevel="1" x14ac:dyDescent="0.2">
      <c r="B101" s="117" t="s">
        <v>1821</v>
      </c>
      <c r="C101" s="117"/>
      <c r="D101" s="117" t="s">
        <v>47</v>
      </c>
      <c r="E101" s="117">
        <v>2022</v>
      </c>
      <c r="F101" s="117"/>
      <c r="G101" s="117" t="s">
        <v>115</v>
      </c>
      <c r="H101" s="84" t="s">
        <v>3</v>
      </c>
      <c r="I101" s="83">
        <f>SUM(J101:O101)</f>
        <v>3.4</v>
      </c>
      <c r="J101" s="83">
        <f t="shared" ref="J101:O101" si="46">J102+J103+J104</f>
        <v>0</v>
      </c>
      <c r="K101" s="83">
        <f t="shared" si="46"/>
        <v>0</v>
      </c>
      <c r="L101" s="83">
        <f t="shared" si="46"/>
        <v>3.4</v>
      </c>
      <c r="M101" s="83">
        <f t="shared" si="46"/>
        <v>0</v>
      </c>
      <c r="N101" s="83">
        <f t="shared" si="46"/>
        <v>0</v>
      </c>
      <c r="O101" s="83">
        <f t="shared" si="46"/>
        <v>0</v>
      </c>
      <c r="P101" s="117">
        <v>20</v>
      </c>
    </row>
    <row r="102" spans="2:17" outlineLevel="1" x14ac:dyDescent="0.2">
      <c r="B102" s="118"/>
      <c r="C102" s="132"/>
      <c r="D102" s="118"/>
      <c r="E102" s="118"/>
      <c r="F102" s="118"/>
      <c r="G102" s="118"/>
      <c r="H102" s="84" t="s">
        <v>4</v>
      </c>
      <c r="I102" s="83">
        <f>SUM(J102:O102)</f>
        <v>3.3</v>
      </c>
      <c r="J102" s="83"/>
      <c r="K102" s="83"/>
      <c r="L102" s="83">
        <v>3.3</v>
      </c>
      <c r="M102" s="83"/>
      <c r="N102" s="83"/>
      <c r="O102" s="83"/>
      <c r="P102" s="118"/>
    </row>
    <row r="103" spans="2:17" outlineLevel="1" x14ac:dyDescent="0.2">
      <c r="B103" s="118"/>
      <c r="C103" s="132"/>
      <c r="D103" s="118"/>
      <c r="E103" s="118"/>
      <c r="F103" s="118"/>
      <c r="G103" s="118"/>
      <c r="H103" s="84" t="s">
        <v>6</v>
      </c>
      <c r="I103" s="83">
        <f>SUM(J103:O103)</f>
        <v>0.1</v>
      </c>
      <c r="J103" s="83"/>
      <c r="K103" s="83"/>
      <c r="L103" s="83">
        <v>0.1</v>
      </c>
      <c r="M103" s="83"/>
      <c r="N103" s="83"/>
      <c r="O103" s="83"/>
      <c r="P103" s="118"/>
    </row>
    <row r="104" spans="2:17" outlineLevel="1" x14ac:dyDescent="0.2">
      <c r="B104" s="119"/>
      <c r="C104" s="133"/>
      <c r="D104" s="119"/>
      <c r="E104" s="119"/>
      <c r="F104" s="119"/>
      <c r="G104" s="119"/>
      <c r="H104" s="84" t="s">
        <v>5</v>
      </c>
      <c r="I104" s="83"/>
      <c r="J104" s="83"/>
      <c r="K104" s="83"/>
      <c r="L104" s="83"/>
      <c r="M104" s="83"/>
      <c r="N104" s="83"/>
      <c r="O104" s="83"/>
      <c r="P104" s="119"/>
    </row>
    <row r="105" spans="2:17" ht="42.75" outlineLevel="1" x14ac:dyDescent="0.2">
      <c r="B105" s="117" t="s">
        <v>1822</v>
      </c>
      <c r="C105" s="117"/>
      <c r="D105" s="117" t="s">
        <v>47</v>
      </c>
      <c r="E105" s="117">
        <v>2022</v>
      </c>
      <c r="F105" s="117"/>
      <c r="G105" s="117" t="s">
        <v>115</v>
      </c>
      <c r="H105" s="84" t="s">
        <v>3</v>
      </c>
      <c r="I105" s="83">
        <f>SUM(J105:O105)</f>
        <v>2</v>
      </c>
      <c r="J105" s="83">
        <f t="shared" ref="J105:O105" si="47">J106+J107+J108</f>
        <v>0</v>
      </c>
      <c r="K105" s="83">
        <f t="shared" si="47"/>
        <v>0</v>
      </c>
      <c r="L105" s="83">
        <f t="shared" si="47"/>
        <v>2</v>
      </c>
      <c r="M105" s="83">
        <f t="shared" si="47"/>
        <v>0</v>
      </c>
      <c r="N105" s="83">
        <f t="shared" si="47"/>
        <v>0</v>
      </c>
      <c r="O105" s="83">
        <f t="shared" si="47"/>
        <v>0</v>
      </c>
      <c r="P105" s="117">
        <v>5000</v>
      </c>
    </row>
    <row r="106" spans="2:17" outlineLevel="1" x14ac:dyDescent="0.2">
      <c r="B106" s="118"/>
      <c r="C106" s="132"/>
      <c r="D106" s="118"/>
      <c r="E106" s="118"/>
      <c r="F106" s="118"/>
      <c r="G106" s="118"/>
      <c r="H106" s="84" t="s">
        <v>4</v>
      </c>
      <c r="I106" s="83">
        <f>SUM(J106:O106)</f>
        <v>1.95</v>
      </c>
      <c r="J106" s="83"/>
      <c r="K106" s="83"/>
      <c r="L106" s="83">
        <v>1.95</v>
      </c>
      <c r="M106" s="83"/>
      <c r="N106" s="83"/>
      <c r="O106" s="83"/>
      <c r="P106" s="118"/>
    </row>
    <row r="107" spans="2:17" outlineLevel="1" x14ac:dyDescent="0.2">
      <c r="B107" s="118"/>
      <c r="C107" s="132"/>
      <c r="D107" s="118"/>
      <c r="E107" s="118"/>
      <c r="F107" s="118"/>
      <c r="G107" s="118"/>
      <c r="H107" s="84" t="s">
        <v>6</v>
      </c>
      <c r="I107" s="83">
        <f>SUM(J107:O107)</f>
        <v>0.05</v>
      </c>
      <c r="J107" s="83"/>
      <c r="K107" s="83"/>
      <c r="L107" s="83">
        <v>0.05</v>
      </c>
      <c r="M107" s="83"/>
      <c r="N107" s="83"/>
      <c r="O107" s="83"/>
      <c r="P107" s="118"/>
    </row>
    <row r="108" spans="2:17" outlineLevel="1" x14ac:dyDescent="0.2">
      <c r="B108" s="119"/>
      <c r="C108" s="133"/>
      <c r="D108" s="119"/>
      <c r="E108" s="119"/>
      <c r="F108" s="119"/>
      <c r="G108" s="119"/>
      <c r="H108" s="84" t="s">
        <v>5</v>
      </c>
      <c r="I108" s="83"/>
      <c r="J108" s="83"/>
      <c r="K108" s="83"/>
      <c r="L108" s="83"/>
      <c r="M108" s="83"/>
      <c r="N108" s="83"/>
      <c r="O108" s="83"/>
      <c r="P108" s="119"/>
    </row>
    <row r="109" spans="2:17" ht="42.75" x14ac:dyDescent="0.2">
      <c r="B109" s="128" t="s">
        <v>57</v>
      </c>
      <c r="C109" s="128" t="s">
        <v>38</v>
      </c>
      <c r="D109" s="128" t="s">
        <v>38</v>
      </c>
      <c r="E109" s="128" t="s">
        <v>38</v>
      </c>
      <c r="F109" s="128" t="s">
        <v>38</v>
      </c>
      <c r="G109" s="128" t="s">
        <v>38</v>
      </c>
      <c r="H109" s="84" t="s">
        <v>3</v>
      </c>
      <c r="I109" s="14">
        <f>SUMIF($H$97:$H$108,"Объем*",I$97:I$108)</f>
        <v>40.4</v>
      </c>
      <c r="J109" s="14">
        <f t="shared" ref="J109:O109" si="48">SUMIF($H$97:$H$108,"Объем*",J$97:J$108)</f>
        <v>10</v>
      </c>
      <c r="K109" s="14">
        <f t="shared" si="48"/>
        <v>10</v>
      </c>
      <c r="L109" s="14">
        <f t="shared" si="48"/>
        <v>20.399999999999999</v>
      </c>
      <c r="M109" s="14">
        <f t="shared" si="48"/>
        <v>0</v>
      </c>
      <c r="N109" s="14">
        <f t="shared" si="48"/>
        <v>0</v>
      </c>
      <c r="O109" s="14">
        <f t="shared" si="48"/>
        <v>0</v>
      </c>
      <c r="P109" s="128"/>
      <c r="Q109" s="7"/>
    </row>
    <row r="110" spans="2:17" ht="15.75" x14ac:dyDescent="0.2">
      <c r="B110" s="129"/>
      <c r="C110" s="129"/>
      <c r="D110" s="129"/>
      <c r="E110" s="129"/>
      <c r="F110" s="129"/>
      <c r="G110" s="129"/>
      <c r="H110" s="84" t="s">
        <v>4</v>
      </c>
      <c r="I110" s="14">
        <f>SUMIF($H$97:$H$108,"фед*",I$97:I$108)</f>
        <v>39.700000000000003</v>
      </c>
      <c r="J110" s="14">
        <f t="shared" ref="J110:O110" si="49">SUMIF($H$97:$H$108,"фед*",J$97:J$108)</f>
        <v>9.8000000000000007</v>
      </c>
      <c r="K110" s="14">
        <f t="shared" si="49"/>
        <v>9.8000000000000007</v>
      </c>
      <c r="L110" s="14">
        <f t="shared" si="49"/>
        <v>20.099999999999998</v>
      </c>
      <c r="M110" s="14">
        <f t="shared" si="49"/>
        <v>0</v>
      </c>
      <c r="N110" s="14">
        <f t="shared" si="49"/>
        <v>0</v>
      </c>
      <c r="O110" s="14">
        <f t="shared" si="49"/>
        <v>0</v>
      </c>
      <c r="P110" s="129"/>
    </row>
    <row r="111" spans="2:17" ht="15.75" x14ac:dyDescent="0.2">
      <c r="B111" s="129"/>
      <c r="C111" s="129"/>
      <c r="D111" s="129"/>
      <c r="E111" s="129"/>
      <c r="F111" s="129"/>
      <c r="G111" s="129"/>
      <c r="H111" s="84" t="s">
        <v>6</v>
      </c>
      <c r="I111" s="14">
        <f>SUMIF($H$97:$H$108,"конс*",I$97:I$108)</f>
        <v>0.70000000000000007</v>
      </c>
      <c r="J111" s="14">
        <f t="shared" ref="J111:O111" si="50">SUMIF($H$97:$H$108,"конс*",J$97:J$108)</f>
        <v>0.2</v>
      </c>
      <c r="K111" s="14">
        <f t="shared" si="50"/>
        <v>0.2</v>
      </c>
      <c r="L111" s="14">
        <f t="shared" si="50"/>
        <v>0.3</v>
      </c>
      <c r="M111" s="14">
        <f t="shared" si="50"/>
        <v>0</v>
      </c>
      <c r="N111" s="14">
        <f t="shared" si="50"/>
        <v>0</v>
      </c>
      <c r="O111" s="14">
        <f t="shared" si="50"/>
        <v>0</v>
      </c>
      <c r="P111" s="129"/>
    </row>
    <row r="112" spans="2:17" ht="15.75" x14ac:dyDescent="0.2">
      <c r="B112" s="130"/>
      <c r="C112" s="130"/>
      <c r="D112" s="130"/>
      <c r="E112" s="130"/>
      <c r="F112" s="130"/>
      <c r="G112" s="130"/>
      <c r="H112" s="84" t="s">
        <v>5</v>
      </c>
      <c r="I112" s="14">
        <f>SUMIF($H$97:$H$108,"вне*",I$97:I$108)</f>
        <v>0</v>
      </c>
      <c r="J112" s="14">
        <f t="shared" ref="J112:O112" si="51">SUMIF($H$97:$H$108,"вне*",J$97:J$108)</f>
        <v>0</v>
      </c>
      <c r="K112" s="14">
        <f t="shared" si="51"/>
        <v>0</v>
      </c>
      <c r="L112" s="14">
        <f t="shared" si="51"/>
        <v>0</v>
      </c>
      <c r="M112" s="14">
        <f t="shared" si="51"/>
        <v>0</v>
      </c>
      <c r="N112" s="14">
        <f t="shared" si="51"/>
        <v>0</v>
      </c>
      <c r="O112" s="14">
        <f t="shared" si="51"/>
        <v>0</v>
      </c>
      <c r="P112" s="130"/>
    </row>
    <row r="113" spans="2:17" ht="25.5" customHeight="1" x14ac:dyDescent="0.2">
      <c r="B113" s="111" t="s">
        <v>409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</row>
    <row r="114" spans="2:17" ht="42.75" outlineLevel="1" x14ac:dyDescent="0.2">
      <c r="B114" s="117" t="s">
        <v>1823</v>
      </c>
      <c r="C114" s="117"/>
      <c r="D114" s="117" t="s">
        <v>812</v>
      </c>
      <c r="E114" s="117" t="s">
        <v>50</v>
      </c>
      <c r="F114" s="117" t="s">
        <v>1824</v>
      </c>
      <c r="G114" s="117" t="s">
        <v>101</v>
      </c>
      <c r="H114" s="84" t="s">
        <v>3</v>
      </c>
      <c r="I114" s="83">
        <f>SUM(J114:O114)</f>
        <v>6.6</v>
      </c>
      <c r="J114" s="83">
        <f t="shared" ref="J114:O114" si="52">J115+J116+J117</f>
        <v>0</v>
      </c>
      <c r="K114" s="83">
        <f t="shared" si="52"/>
        <v>3.3</v>
      </c>
      <c r="L114" s="83">
        <f t="shared" si="52"/>
        <v>3.3</v>
      </c>
      <c r="M114" s="83">
        <f t="shared" si="52"/>
        <v>0</v>
      </c>
      <c r="N114" s="83">
        <f t="shared" si="52"/>
        <v>0</v>
      </c>
      <c r="O114" s="83">
        <f t="shared" si="52"/>
        <v>0</v>
      </c>
      <c r="P114" s="117">
        <v>230</v>
      </c>
    </row>
    <row r="115" spans="2:17" outlineLevel="1" x14ac:dyDescent="0.2">
      <c r="B115" s="118"/>
      <c r="C115" s="132"/>
      <c r="D115" s="118"/>
      <c r="E115" s="118"/>
      <c r="F115" s="118"/>
      <c r="G115" s="118"/>
      <c r="H115" s="84" t="s">
        <v>4</v>
      </c>
      <c r="I115" s="83"/>
      <c r="J115" s="83"/>
      <c r="K115" s="83"/>
      <c r="L115" s="83"/>
      <c r="M115" s="83"/>
      <c r="N115" s="83"/>
      <c r="O115" s="83"/>
      <c r="P115" s="118"/>
    </row>
    <row r="116" spans="2:17" outlineLevel="1" x14ac:dyDescent="0.2">
      <c r="B116" s="118"/>
      <c r="C116" s="132"/>
      <c r="D116" s="118"/>
      <c r="E116" s="118"/>
      <c r="F116" s="118"/>
      <c r="G116" s="118"/>
      <c r="H116" s="84" t="s">
        <v>6</v>
      </c>
      <c r="I116" s="83">
        <f>SUM(J116:O116)</f>
        <v>6.6</v>
      </c>
      <c r="J116" s="83"/>
      <c r="K116" s="83">
        <v>3.3</v>
      </c>
      <c r="L116" s="83">
        <v>3.3</v>
      </c>
      <c r="M116" s="83"/>
      <c r="N116" s="83"/>
      <c r="O116" s="83"/>
      <c r="P116" s="118"/>
    </row>
    <row r="117" spans="2:17" outlineLevel="1" x14ac:dyDescent="0.2">
      <c r="B117" s="119"/>
      <c r="C117" s="133"/>
      <c r="D117" s="119"/>
      <c r="E117" s="119"/>
      <c r="F117" s="119"/>
      <c r="G117" s="119"/>
      <c r="H117" s="84" t="s">
        <v>5</v>
      </c>
      <c r="I117" s="83"/>
      <c r="J117" s="83"/>
      <c r="K117" s="83"/>
      <c r="L117" s="83"/>
      <c r="M117" s="83"/>
      <c r="N117" s="83"/>
      <c r="O117" s="83"/>
      <c r="P117" s="119"/>
    </row>
    <row r="118" spans="2:17" ht="42.75" x14ac:dyDescent="0.2">
      <c r="B118" s="128" t="s">
        <v>414</v>
      </c>
      <c r="C118" s="128" t="s">
        <v>38</v>
      </c>
      <c r="D118" s="128" t="s">
        <v>38</v>
      </c>
      <c r="E118" s="128" t="s">
        <v>38</v>
      </c>
      <c r="F118" s="128" t="s">
        <v>38</v>
      </c>
      <c r="G118" s="128" t="s">
        <v>38</v>
      </c>
      <c r="H118" s="84" t="s">
        <v>3</v>
      </c>
      <c r="I118" s="14">
        <f>SUMIF($H$114:$H$117,"Объем*",I$114:I$117)</f>
        <v>6.6</v>
      </c>
      <c r="J118" s="14">
        <f t="shared" ref="J118:O118" si="53">SUMIF($H$114:$H$117,"Объем*",J$114:J$117)</f>
        <v>0</v>
      </c>
      <c r="K118" s="14">
        <f t="shared" si="53"/>
        <v>3.3</v>
      </c>
      <c r="L118" s="14">
        <f t="shared" si="53"/>
        <v>3.3</v>
      </c>
      <c r="M118" s="14">
        <f t="shared" si="53"/>
        <v>0</v>
      </c>
      <c r="N118" s="14">
        <f t="shared" si="53"/>
        <v>0</v>
      </c>
      <c r="O118" s="14">
        <f t="shared" si="53"/>
        <v>0</v>
      </c>
      <c r="P118" s="128"/>
      <c r="Q118" s="7"/>
    </row>
    <row r="119" spans="2:17" ht="15.75" x14ac:dyDescent="0.2">
      <c r="B119" s="129"/>
      <c r="C119" s="129"/>
      <c r="D119" s="129"/>
      <c r="E119" s="129"/>
      <c r="F119" s="129"/>
      <c r="G119" s="129"/>
      <c r="H119" s="84" t="s">
        <v>4</v>
      </c>
      <c r="I119" s="14">
        <f>SUMIF($H$114:$H$117,"фед*",I$114:I$117)</f>
        <v>0</v>
      </c>
      <c r="J119" s="14">
        <f t="shared" ref="J119:O119" si="54">SUMIF($H$114:$H$117,"фед*",J$114:J$117)</f>
        <v>0</v>
      </c>
      <c r="K119" s="14">
        <f t="shared" si="54"/>
        <v>0</v>
      </c>
      <c r="L119" s="14">
        <f t="shared" si="54"/>
        <v>0</v>
      </c>
      <c r="M119" s="14">
        <f t="shared" si="54"/>
        <v>0</v>
      </c>
      <c r="N119" s="14">
        <f t="shared" si="54"/>
        <v>0</v>
      </c>
      <c r="O119" s="14">
        <f t="shared" si="54"/>
        <v>0</v>
      </c>
      <c r="P119" s="129"/>
    </row>
    <row r="120" spans="2:17" ht="15.75" x14ac:dyDescent="0.2">
      <c r="B120" s="129"/>
      <c r="C120" s="129"/>
      <c r="D120" s="129"/>
      <c r="E120" s="129"/>
      <c r="F120" s="129"/>
      <c r="G120" s="129"/>
      <c r="H120" s="84" t="s">
        <v>6</v>
      </c>
      <c r="I120" s="14">
        <f>SUMIF($H$114:$H$117,"конс*",I$114:I$117)</f>
        <v>6.6</v>
      </c>
      <c r="J120" s="14">
        <f t="shared" ref="J120:O120" si="55">SUMIF($H$114:$H$117,"конс*",J$114:J$117)</f>
        <v>0</v>
      </c>
      <c r="K120" s="14">
        <f t="shared" si="55"/>
        <v>3.3</v>
      </c>
      <c r="L120" s="14">
        <f t="shared" si="55"/>
        <v>3.3</v>
      </c>
      <c r="M120" s="14">
        <f t="shared" si="55"/>
        <v>0</v>
      </c>
      <c r="N120" s="14">
        <f t="shared" si="55"/>
        <v>0</v>
      </c>
      <c r="O120" s="14">
        <f t="shared" si="55"/>
        <v>0</v>
      </c>
      <c r="P120" s="129"/>
    </row>
    <row r="121" spans="2:17" ht="15.75" x14ac:dyDescent="0.2">
      <c r="B121" s="130"/>
      <c r="C121" s="130"/>
      <c r="D121" s="130"/>
      <c r="E121" s="130"/>
      <c r="F121" s="130"/>
      <c r="G121" s="130"/>
      <c r="H121" s="84" t="s">
        <v>5</v>
      </c>
      <c r="I121" s="14">
        <f>SUMIF($H$114:$H$117,"вне*",I$114:I$117)</f>
        <v>0</v>
      </c>
      <c r="J121" s="14">
        <f t="shared" ref="J121:O121" si="56">SUMIF($H$114:$H$117,"вне*",J$114:J$117)</f>
        <v>0</v>
      </c>
      <c r="K121" s="14">
        <f t="shared" si="56"/>
        <v>0</v>
      </c>
      <c r="L121" s="14">
        <f t="shared" si="56"/>
        <v>0</v>
      </c>
      <c r="M121" s="14">
        <f t="shared" si="56"/>
        <v>0</v>
      </c>
      <c r="N121" s="14">
        <f t="shared" si="56"/>
        <v>0</v>
      </c>
      <c r="O121" s="14">
        <f t="shared" si="56"/>
        <v>0</v>
      </c>
      <c r="P121" s="130"/>
    </row>
    <row r="122" spans="2:17" ht="25.5" customHeight="1" x14ac:dyDescent="0.2">
      <c r="B122" s="111" t="s">
        <v>531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3"/>
    </row>
    <row r="123" spans="2:17" ht="42.75" customHeight="1" outlineLevel="1" x14ac:dyDescent="0.2">
      <c r="B123" s="117" t="s">
        <v>1825</v>
      </c>
      <c r="C123" s="117"/>
      <c r="D123" s="117" t="s">
        <v>531</v>
      </c>
      <c r="E123" s="117" t="s">
        <v>99</v>
      </c>
      <c r="F123" s="117" t="s">
        <v>1826</v>
      </c>
      <c r="G123" s="117" t="s">
        <v>101</v>
      </c>
      <c r="H123" s="84" t="s">
        <v>3</v>
      </c>
      <c r="I123" s="83">
        <f>SUM(J123:O123)</f>
        <v>200</v>
      </c>
      <c r="J123" s="83">
        <f>J124+J125+J126</f>
        <v>0</v>
      </c>
      <c r="K123" s="83">
        <f>K124+K125+K126</f>
        <v>8</v>
      </c>
      <c r="L123" s="83">
        <f>L124+L125+L126</f>
        <v>192</v>
      </c>
      <c r="M123" s="83">
        <v>0</v>
      </c>
      <c r="N123" s="83">
        <f>N124+N125+N126</f>
        <v>0</v>
      </c>
      <c r="O123" s="83">
        <f>O124+O125+O126</f>
        <v>0</v>
      </c>
      <c r="P123" s="117">
        <v>4000</v>
      </c>
    </row>
    <row r="124" spans="2:17" outlineLevel="1" x14ac:dyDescent="0.2">
      <c r="B124" s="118"/>
      <c r="C124" s="132"/>
      <c r="D124" s="118"/>
      <c r="E124" s="118"/>
      <c r="F124" s="118"/>
      <c r="G124" s="118"/>
      <c r="H124" s="84" t="s">
        <v>4</v>
      </c>
      <c r="I124" s="83"/>
      <c r="J124" s="83"/>
      <c r="K124" s="83"/>
      <c r="L124" s="83"/>
      <c r="M124" s="83"/>
      <c r="N124" s="83"/>
      <c r="O124" s="83"/>
      <c r="P124" s="118"/>
    </row>
    <row r="125" spans="2:17" outlineLevel="1" x14ac:dyDescent="0.2">
      <c r="B125" s="118"/>
      <c r="C125" s="132"/>
      <c r="D125" s="118"/>
      <c r="E125" s="118"/>
      <c r="F125" s="118"/>
      <c r="G125" s="118"/>
      <c r="H125" s="84" t="s">
        <v>6</v>
      </c>
      <c r="I125" s="83">
        <f>SUM(J125:O125)</f>
        <v>200</v>
      </c>
      <c r="J125" s="83"/>
      <c r="K125" s="83">
        <v>8</v>
      </c>
      <c r="L125" s="83">
        <v>192</v>
      </c>
      <c r="M125" s="83"/>
      <c r="N125" s="83"/>
      <c r="O125" s="83"/>
      <c r="P125" s="118"/>
    </row>
    <row r="126" spans="2:17" outlineLevel="1" x14ac:dyDescent="0.2">
      <c r="B126" s="119"/>
      <c r="C126" s="133"/>
      <c r="D126" s="119"/>
      <c r="E126" s="119"/>
      <c r="F126" s="119"/>
      <c r="G126" s="119"/>
      <c r="H126" s="84" t="s">
        <v>5</v>
      </c>
      <c r="I126" s="83"/>
      <c r="J126" s="83"/>
      <c r="K126" s="83"/>
      <c r="L126" s="83"/>
      <c r="M126" s="83"/>
      <c r="N126" s="83"/>
      <c r="O126" s="83"/>
      <c r="P126" s="119"/>
    </row>
    <row r="127" spans="2:17" ht="42.75" outlineLevel="1" x14ac:dyDescent="0.2">
      <c r="B127" s="117" t="s">
        <v>1827</v>
      </c>
      <c r="C127" s="117"/>
      <c r="D127" s="117" t="s">
        <v>531</v>
      </c>
      <c r="E127" s="117" t="s">
        <v>99</v>
      </c>
      <c r="F127" s="117" t="s">
        <v>1828</v>
      </c>
      <c r="G127" s="117" t="s">
        <v>101</v>
      </c>
      <c r="H127" s="84" t="s">
        <v>3</v>
      </c>
      <c r="I127" s="83">
        <f>SUM(J127:O127)</f>
        <v>250</v>
      </c>
      <c r="J127" s="83">
        <f>J128+J129+J130</f>
        <v>0</v>
      </c>
      <c r="K127" s="83">
        <f>K128+K129+K130</f>
        <v>7</v>
      </c>
      <c r="L127" s="83">
        <f>L128+L129+L130</f>
        <v>243</v>
      </c>
      <c r="M127" s="83">
        <v>0</v>
      </c>
      <c r="N127" s="83">
        <f>N128+N129+N130</f>
        <v>0</v>
      </c>
      <c r="O127" s="83">
        <f>O128+O129+O130</f>
        <v>0</v>
      </c>
      <c r="P127" s="117">
        <v>5000</v>
      </c>
    </row>
    <row r="128" spans="2:17" outlineLevel="1" x14ac:dyDescent="0.2">
      <c r="B128" s="118"/>
      <c r="C128" s="132"/>
      <c r="D128" s="118"/>
      <c r="E128" s="118"/>
      <c r="F128" s="118"/>
      <c r="G128" s="118"/>
      <c r="H128" s="84" t="s">
        <v>4</v>
      </c>
      <c r="I128" s="83"/>
      <c r="J128" s="83"/>
      <c r="K128" s="83"/>
      <c r="L128" s="83"/>
      <c r="M128" s="83"/>
      <c r="N128" s="83"/>
      <c r="O128" s="83"/>
      <c r="P128" s="118"/>
    </row>
    <row r="129" spans="2:16" outlineLevel="1" x14ac:dyDescent="0.2">
      <c r="B129" s="118"/>
      <c r="C129" s="132"/>
      <c r="D129" s="118"/>
      <c r="E129" s="118"/>
      <c r="F129" s="118"/>
      <c r="G129" s="118"/>
      <c r="H129" s="84" t="s">
        <v>6</v>
      </c>
      <c r="I129" s="83">
        <f>SUM(J129:O129)</f>
        <v>250</v>
      </c>
      <c r="J129" s="83"/>
      <c r="K129" s="83">
        <v>7</v>
      </c>
      <c r="L129" s="83">
        <v>243</v>
      </c>
      <c r="M129" s="83"/>
      <c r="N129" s="83"/>
      <c r="O129" s="83"/>
      <c r="P129" s="118"/>
    </row>
    <row r="130" spans="2:16" outlineLevel="1" x14ac:dyDescent="0.2">
      <c r="B130" s="119"/>
      <c r="C130" s="133"/>
      <c r="D130" s="119"/>
      <c r="E130" s="119"/>
      <c r="F130" s="119"/>
      <c r="G130" s="119"/>
      <c r="H130" s="84" t="s">
        <v>5</v>
      </c>
      <c r="I130" s="83"/>
      <c r="J130" s="83"/>
      <c r="K130" s="83"/>
      <c r="L130" s="83"/>
      <c r="M130" s="83"/>
      <c r="N130" s="83"/>
      <c r="O130" s="83"/>
      <c r="P130" s="119"/>
    </row>
    <row r="131" spans="2:16" ht="42.75" outlineLevel="1" x14ac:dyDescent="0.2">
      <c r="B131" s="117" t="s">
        <v>1829</v>
      </c>
      <c r="C131" s="117"/>
      <c r="D131" s="117" t="s">
        <v>531</v>
      </c>
      <c r="E131" s="117" t="s">
        <v>99</v>
      </c>
      <c r="F131" s="117" t="s">
        <v>1830</v>
      </c>
      <c r="G131" s="117" t="s">
        <v>101</v>
      </c>
      <c r="H131" s="84" t="s">
        <v>3</v>
      </c>
      <c r="I131" s="83">
        <f>SUM(J131:O131)</f>
        <v>42</v>
      </c>
      <c r="J131" s="83">
        <f t="shared" ref="J131:O131" si="57">J132+J133+J134</f>
        <v>0</v>
      </c>
      <c r="K131" s="83">
        <f t="shared" si="57"/>
        <v>0</v>
      </c>
      <c r="L131" s="83">
        <f t="shared" si="57"/>
        <v>2</v>
      </c>
      <c r="M131" s="83">
        <f t="shared" si="57"/>
        <v>40</v>
      </c>
      <c r="N131" s="83">
        <f t="shared" si="57"/>
        <v>0</v>
      </c>
      <c r="O131" s="83">
        <f t="shared" si="57"/>
        <v>0</v>
      </c>
      <c r="P131" s="117">
        <v>1500</v>
      </c>
    </row>
    <row r="132" spans="2:16" outlineLevel="1" x14ac:dyDescent="0.2">
      <c r="B132" s="118"/>
      <c r="C132" s="132"/>
      <c r="D132" s="118"/>
      <c r="E132" s="118"/>
      <c r="F132" s="118"/>
      <c r="G132" s="118"/>
      <c r="H132" s="84" t="s">
        <v>4</v>
      </c>
      <c r="I132" s="83"/>
      <c r="J132" s="83"/>
      <c r="K132" s="83"/>
      <c r="L132" s="83"/>
      <c r="M132" s="83"/>
      <c r="N132" s="83"/>
      <c r="O132" s="83"/>
      <c r="P132" s="118"/>
    </row>
    <row r="133" spans="2:16" outlineLevel="1" x14ac:dyDescent="0.2">
      <c r="B133" s="118"/>
      <c r="C133" s="132"/>
      <c r="D133" s="118"/>
      <c r="E133" s="118"/>
      <c r="F133" s="118"/>
      <c r="G133" s="118"/>
      <c r="H133" s="84" t="s">
        <v>6</v>
      </c>
      <c r="I133" s="83">
        <f>SUM(J133:O133)</f>
        <v>42</v>
      </c>
      <c r="J133" s="83"/>
      <c r="K133" s="83"/>
      <c r="L133" s="83">
        <v>2</v>
      </c>
      <c r="M133" s="83">
        <v>40</v>
      </c>
      <c r="N133" s="83"/>
      <c r="O133" s="83"/>
      <c r="P133" s="118"/>
    </row>
    <row r="134" spans="2:16" outlineLevel="1" x14ac:dyDescent="0.2">
      <c r="B134" s="119"/>
      <c r="C134" s="133"/>
      <c r="D134" s="119"/>
      <c r="E134" s="119"/>
      <c r="F134" s="119"/>
      <c r="G134" s="119"/>
      <c r="H134" s="84" t="s">
        <v>5</v>
      </c>
      <c r="I134" s="83"/>
      <c r="J134" s="83"/>
      <c r="K134" s="83"/>
      <c r="L134" s="83"/>
      <c r="M134" s="83"/>
      <c r="N134" s="83"/>
      <c r="O134" s="83"/>
      <c r="P134" s="119"/>
    </row>
    <row r="135" spans="2:16" ht="42.75" outlineLevel="1" x14ac:dyDescent="0.2">
      <c r="B135" s="117" t="s">
        <v>1831</v>
      </c>
      <c r="C135" s="117"/>
      <c r="D135" s="117" t="s">
        <v>531</v>
      </c>
      <c r="E135" s="117" t="s">
        <v>99</v>
      </c>
      <c r="F135" s="117" t="s">
        <v>1832</v>
      </c>
      <c r="G135" s="117" t="s">
        <v>101</v>
      </c>
      <c r="H135" s="84" t="s">
        <v>3</v>
      </c>
      <c r="I135" s="83">
        <f>SUM(J135:O135)</f>
        <v>35</v>
      </c>
      <c r="J135" s="83">
        <f t="shared" ref="J135:O135" si="58">J136+J137+J138</f>
        <v>0</v>
      </c>
      <c r="K135" s="83">
        <f t="shared" si="58"/>
        <v>0</v>
      </c>
      <c r="L135" s="83">
        <f t="shared" si="58"/>
        <v>2</v>
      </c>
      <c r="M135" s="83">
        <f t="shared" si="58"/>
        <v>33</v>
      </c>
      <c r="N135" s="83">
        <f t="shared" si="58"/>
        <v>0</v>
      </c>
      <c r="O135" s="83">
        <f t="shared" si="58"/>
        <v>0</v>
      </c>
      <c r="P135" s="117">
        <v>1300</v>
      </c>
    </row>
    <row r="136" spans="2:16" outlineLevel="1" x14ac:dyDescent="0.2">
      <c r="B136" s="118"/>
      <c r="C136" s="132"/>
      <c r="D136" s="118"/>
      <c r="E136" s="118"/>
      <c r="F136" s="118"/>
      <c r="G136" s="118"/>
      <c r="H136" s="84" t="s">
        <v>4</v>
      </c>
      <c r="I136" s="83"/>
      <c r="J136" s="83"/>
      <c r="K136" s="83"/>
      <c r="L136" s="83"/>
      <c r="M136" s="83"/>
      <c r="N136" s="83"/>
      <c r="O136" s="83"/>
      <c r="P136" s="118"/>
    </row>
    <row r="137" spans="2:16" outlineLevel="1" x14ac:dyDescent="0.2">
      <c r="B137" s="118"/>
      <c r="C137" s="132"/>
      <c r="D137" s="118"/>
      <c r="E137" s="118"/>
      <c r="F137" s="118"/>
      <c r="G137" s="118"/>
      <c r="H137" s="84" t="s">
        <v>6</v>
      </c>
      <c r="I137" s="83">
        <f>SUM(J137:O137)</f>
        <v>35</v>
      </c>
      <c r="J137" s="83"/>
      <c r="K137" s="83"/>
      <c r="L137" s="83">
        <v>2</v>
      </c>
      <c r="M137" s="83">
        <v>33</v>
      </c>
      <c r="N137" s="83"/>
      <c r="O137" s="83"/>
      <c r="P137" s="118"/>
    </row>
    <row r="138" spans="2:16" outlineLevel="1" x14ac:dyDescent="0.2">
      <c r="B138" s="119"/>
      <c r="C138" s="133"/>
      <c r="D138" s="119"/>
      <c r="E138" s="119"/>
      <c r="F138" s="119"/>
      <c r="G138" s="119"/>
      <c r="H138" s="84" t="s">
        <v>5</v>
      </c>
      <c r="I138" s="83"/>
      <c r="J138" s="83"/>
      <c r="K138" s="83"/>
      <c r="L138" s="83"/>
      <c r="M138" s="83"/>
      <c r="N138" s="83"/>
      <c r="O138" s="83"/>
      <c r="P138" s="119"/>
    </row>
    <row r="139" spans="2:16" ht="42.75" customHeight="1" outlineLevel="1" x14ac:dyDescent="0.2">
      <c r="B139" s="117" t="s">
        <v>1833</v>
      </c>
      <c r="C139" s="117"/>
      <c r="D139" s="117" t="s">
        <v>531</v>
      </c>
      <c r="E139" s="117" t="s">
        <v>99</v>
      </c>
      <c r="F139" s="117" t="s">
        <v>1834</v>
      </c>
      <c r="G139" s="117" t="s">
        <v>101</v>
      </c>
      <c r="H139" s="84" t="s">
        <v>3</v>
      </c>
      <c r="I139" s="83">
        <f>SUM(J139:O139)</f>
        <v>35</v>
      </c>
      <c r="J139" s="83">
        <f t="shared" ref="J139:O139" si="59">J140+J141+J142</f>
        <v>0</v>
      </c>
      <c r="K139" s="83">
        <f t="shared" si="59"/>
        <v>0</v>
      </c>
      <c r="L139" s="83">
        <f t="shared" si="59"/>
        <v>2</v>
      </c>
      <c r="M139" s="83">
        <f t="shared" si="59"/>
        <v>33</v>
      </c>
      <c r="N139" s="83">
        <f t="shared" si="59"/>
        <v>0</v>
      </c>
      <c r="O139" s="83">
        <f t="shared" si="59"/>
        <v>0</v>
      </c>
      <c r="P139" s="117">
        <v>1400</v>
      </c>
    </row>
    <row r="140" spans="2:16" outlineLevel="1" x14ac:dyDescent="0.2">
      <c r="B140" s="118"/>
      <c r="C140" s="132"/>
      <c r="D140" s="118"/>
      <c r="E140" s="118"/>
      <c r="F140" s="118"/>
      <c r="G140" s="118"/>
      <c r="H140" s="84" t="s">
        <v>4</v>
      </c>
      <c r="I140" s="83"/>
      <c r="J140" s="83"/>
      <c r="K140" s="83"/>
      <c r="L140" s="83"/>
      <c r="M140" s="83"/>
      <c r="N140" s="83"/>
      <c r="O140" s="83"/>
      <c r="P140" s="118"/>
    </row>
    <row r="141" spans="2:16" outlineLevel="1" x14ac:dyDescent="0.2">
      <c r="B141" s="118"/>
      <c r="C141" s="132"/>
      <c r="D141" s="118"/>
      <c r="E141" s="118"/>
      <c r="F141" s="118"/>
      <c r="G141" s="118"/>
      <c r="H141" s="84" t="s">
        <v>6</v>
      </c>
      <c r="I141" s="83">
        <f>SUM(J141:O141)</f>
        <v>35</v>
      </c>
      <c r="J141" s="83"/>
      <c r="K141" s="83"/>
      <c r="L141" s="83">
        <v>2</v>
      </c>
      <c r="M141" s="83">
        <v>33</v>
      </c>
      <c r="N141" s="83"/>
      <c r="O141" s="83"/>
      <c r="P141" s="118"/>
    </row>
    <row r="142" spans="2:16" outlineLevel="1" x14ac:dyDescent="0.2">
      <c r="B142" s="119"/>
      <c r="C142" s="133"/>
      <c r="D142" s="119"/>
      <c r="E142" s="119"/>
      <c r="F142" s="119"/>
      <c r="G142" s="119"/>
      <c r="H142" s="84" t="s">
        <v>5</v>
      </c>
      <c r="I142" s="83"/>
      <c r="J142" s="83"/>
      <c r="K142" s="83"/>
      <c r="L142" s="83"/>
      <c r="M142" s="83"/>
      <c r="N142" s="83"/>
      <c r="O142" s="83"/>
      <c r="P142" s="119"/>
    </row>
    <row r="143" spans="2:16" ht="42.75" x14ac:dyDescent="0.2">
      <c r="B143" s="128" t="s">
        <v>539</v>
      </c>
      <c r="C143" s="128" t="s">
        <v>38</v>
      </c>
      <c r="D143" s="128" t="s">
        <v>38</v>
      </c>
      <c r="E143" s="128" t="s">
        <v>38</v>
      </c>
      <c r="F143" s="128" t="s">
        <v>38</v>
      </c>
      <c r="G143" s="128" t="s">
        <v>38</v>
      </c>
      <c r="H143" s="84" t="s">
        <v>3</v>
      </c>
      <c r="I143" s="14">
        <f>SUMIF($H$123:$H$142,"Объем*",I$123:I$142)</f>
        <v>562</v>
      </c>
      <c r="J143" s="14">
        <f t="shared" ref="J143:O143" si="60">SUMIF($H$123:$H$142,"Объем*",J$123:J$142)</f>
        <v>0</v>
      </c>
      <c r="K143" s="14">
        <f t="shared" si="60"/>
        <v>15</v>
      </c>
      <c r="L143" s="14">
        <f t="shared" si="60"/>
        <v>441</v>
      </c>
      <c r="M143" s="14">
        <f t="shared" si="60"/>
        <v>106</v>
      </c>
      <c r="N143" s="14">
        <f t="shared" si="60"/>
        <v>0</v>
      </c>
      <c r="O143" s="14">
        <f t="shared" si="60"/>
        <v>0</v>
      </c>
      <c r="P143" s="128"/>
    </row>
    <row r="144" spans="2:16" ht="15.75" x14ac:dyDescent="0.2">
      <c r="B144" s="129"/>
      <c r="C144" s="129"/>
      <c r="D144" s="129"/>
      <c r="E144" s="129"/>
      <c r="F144" s="129"/>
      <c r="G144" s="129"/>
      <c r="H144" s="84" t="s">
        <v>4</v>
      </c>
      <c r="I144" s="14">
        <f>SUMIF($H$123:$H$142,"фед*",I$123:I$142)</f>
        <v>0</v>
      </c>
      <c r="J144" s="14">
        <f t="shared" ref="J144:O144" si="61">SUMIF($H$123:$H$142,"фед*",J$123:J$142)</f>
        <v>0</v>
      </c>
      <c r="K144" s="14">
        <f t="shared" si="61"/>
        <v>0</v>
      </c>
      <c r="L144" s="14">
        <f t="shared" si="61"/>
        <v>0</v>
      </c>
      <c r="M144" s="14">
        <f t="shared" si="61"/>
        <v>0</v>
      </c>
      <c r="N144" s="14">
        <f t="shared" si="61"/>
        <v>0</v>
      </c>
      <c r="O144" s="14">
        <f t="shared" si="61"/>
        <v>0</v>
      </c>
      <c r="P144" s="129"/>
    </row>
    <row r="145" spans="2:17" ht="15.75" x14ac:dyDescent="0.2">
      <c r="B145" s="129"/>
      <c r="C145" s="129"/>
      <c r="D145" s="129"/>
      <c r="E145" s="129"/>
      <c r="F145" s="129"/>
      <c r="G145" s="129"/>
      <c r="H145" s="84" t="s">
        <v>6</v>
      </c>
      <c r="I145" s="14">
        <f>SUMIF($H$123:$H$142,"конс*",I$123:I$142)</f>
        <v>562</v>
      </c>
      <c r="J145" s="14">
        <f t="shared" ref="J145:O145" si="62">SUMIF($H$123:$H$142,"конс*",J$123:J$142)</f>
        <v>0</v>
      </c>
      <c r="K145" s="14">
        <f t="shared" si="62"/>
        <v>15</v>
      </c>
      <c r="L145" s="14">
        <f t="shared" si="62"/>
        <v>441</v>
      </c>
      <c r="M145" s="14">
        <f t="shared" si="62"/>
        <v>106</v>
      </c>
      <c r="N145" s="14">
        <f t="shared" si="62"/>
        <v>0</v>
      </c>
      <c r="O145" s="14">
        <f t="shared" si="62"/>
        <v>0</v>
      </c>
      <c r="P145" s="129"/>
    </row>
    <row r="146" spans="2:17" ht="15.75" x14ac:dyDescent="0.2">
      <c r="B146" s="130"/>
      <c r="C146" s="130"/>
      <c r="D146" s="130"/>
      <c r="E146" s="130"/>
      <c r="F146" s="130"/>
      <c r="G146" s="130"/>
      <c r="H146" s="84" t="s">
        <v>5</v>
      </c>
      <c r="I146" s="76">
        <f>SUMIF($H$123:$H$142,"вне*",I$123:I$142)</f>
        <v>0</v>
      </c>
      <c r="J146" s="76">
        <f t="shared" ref="J146:O146" si="63">SUMIF($H$123:$H$142,"вне*",J$123:J$142)</f>
        <v>0</v>
      </c>
      <c r="K146" s="76">
        <f t="shared" si="63"/>
        <v>0</v>
      </c>
      <c r="L146" s="76">
        <f t="shared" si="63"/>
        <v>0</v>
      </c>
      <c r="M146" s="76">
        <f t="shared" si="63"/>
        <v>0</v>
      </c>
      <c r="N146" s="76">
        <f t="shared" si="63"/>
        <v>0</v>
      </c>
      <c r="O146" s="76">
        <f t="shared" si="63"/>
        <v>0</v>
      </c>
      <c r="P146" s="130"/>
    </row>
    <row r="147" spans="2:17" ht="25.5" customHeight="1" x14ac:dyDescent="0.2">
      <c r="B147" s="111" t="s">
        <v>602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3"/>
      <c r="Q147" s="15"/>
    </row>
    <row r="148" spans="2:17" ht="42.75" outlineLevel="1" x14ac:dyDescent="0.2">
      <c r="B148" s="117" t="s">
        <v>1835</v>
      </c>
      <c r="C148" s="117"/>
      <c r="D148" s="117" t="s">
        <v>604</v>
      </c>
      <c r="E148" s="117" t="s">
        <v>171</v>
      </c>
      <c r="F148" s="117" t="s">
        <v>1836</v>
      </c>
      <c r="G148" s="117" t="s">
        <v>1837</v>
      </c>
      <c r="H148" s="84" t="s">
        <v>3</v>
      </c>
      <c r="I148" s="83">
        <f>SUM(J148:O148)</f>
        <v>636.80000000000007</v>
      </c>
      <c r="J148" s="83">
        <f t="shared" ref="J148:O148" si="64">J149+J150+J151</f>
        <v>22.2</v>
      </c>
      <c r="K148" s="83">
        <f t="shared" si="64"/>
        <v>123</v>
      </c>
      <c r="L148" s="83">
        <f t="shared" si="64"/>
        <v>123</v>
      </c>
      <c r="M148" s="83">
        <f t="shared" si="64"/>
        <v>123</v>
      </c>
      <c r="N148" s="83">
        <f t="shared" si="64"/>
        <v>123</v>
      </c>
      <c r="O148" s="83">
        <f t="shared" si="64"/>
        <v>122.6</v>
      </c>
      <c r="P148" s="117">
        <v>28000</v>
      </c>
    </row>
    <row r="149" spans="2:17" ht="17.25" outlineLevel="1" x14ac:dyDescent="0.2">
      <c r="B149" s="118"/>
      <c r="C149" s="132"/>
      <c r="D149" s="118"/>
      <c r="E149" s="118"/>
      <c r="F149" s="118"/>
      <c r="G149" s="118"/>
      <c r="H149" s="84" t="s">
        <v>4</v>
      </c>
      <c r="I149" s="52"/>
      <c r="J149" s="52"/>
      <c r="K149" s="52"/>
      <c r="L149" s="52"/>
      <c r="M149" s="52"/>
      <c r="N149" s="52"/>
      <c r="O149" s="52"/>
      <c r="P149" s="118"/>
    </row>
    <row r="150" spans="2:17" ht="17.25" outlineLevel="1" x14ac:dyDescent="0.2">
      <c r="B150" s="118"/>
      <c r="C150" s="132"/>
      <c r="D150" s="118"/>
      <c r="E150" s="118"/>
      <c r="F150" s="118"/>
      <c r="G150" s="118"/>
      <c r="H150" s="84" t="s">
        <v>6</v>
      </c>
      <c r="I150" s="83">
        <f>SUM(J150:O150)</f>
        <v>636.80000000000007</v>
      </c>
      <c r="J150" s="52">
        <v>22.2</v>
      </c>
      <c r="K150" s="52">
        <v>123</v>
      </c>
      <c r="L150" s="52">
        <v>123</v>
      </c>
      <c r="M150" s="52">
        <v>123</v>
      </c>
      <c r="N150" s="52">
        <v>123</v>
      </c>
      <c r="O150" s="52">
        <v>122.6</v>
      </c>
      <c r="P150" s="118"/>
    </row>
    <row r="151" spans="2:17" ht="17.25" outlineLevel="1" x14ac:dyDescent="0.2">
      <c r="B151" s="119"/>
      <c r="C151" s="133"/>
      <c r="D151" s="119"/>
      <c r="E151" s="119"/>
      <c r="F151" s="119"/>
      <c r="G151" s="119"/>
      <c r="H151" s="84" t="s">
        <v>5</v>
      </c>
      <c r="I151" s="52"/>
      <c r="J151" s="52"/>
      <c r="K151" s="52"/>
      <c r="L151" s="52"/>
      <c r="M151" s="52"/>
      <c r="N151" s="52"/>
      <c r="O151" s="52"/>
      <c r="P151" s="119"/>
    </row>
    <row r="152" spans="2:17" ht="42.75" outlineLevel="1" x14ac:dyDescent="0.2">
      <c r="B152" s="117" t="s">
        <v>1838</v>
      </c>
      <c r="C152" s="117"/>
      <c r="D152" s="117" t="s">
        <v>604</v>
      </c>
      <c r="E152" s="117" t="s">
        <v>171</v>
      </c>
      <c r="F152" s="117"/>
      <c r="G152" s="117" t="s">
        <v>606</v>
      </c>
      <c r="H152" s="84" t="s">
        <v>3</v>
      </c>
      <c r="I152" s="83">
        <f>SUM(J152:O152)</f>
        <v>308.60000000000002</v>
      </c>
      <c r="J152" s="83">
        <v>0</v>
      </c>
      <c r="K152" s="83">
        <f t="shared" ref="K152:O152" si="65">K153+K154+K155</f>
        <v>5</v>
      </c>
      <c r="L152" s="83">
        <f t="shared" si="65"/>
        <v>53.6</v>
      </c>
      <c r="M152" s="83">
        <f t="shared" si="65"/>
        <v>50</v>
      </c>
      <c r="N152" s="83">
        <f t="shared" si="65"/>
        <v>100</v>
      </c>
      <c r="O152" s="83">
        <f t="shared" si="65"/>
        <v>100</v>
      </c>
      <c r="P152" s="117"/>
    </row>
    <row r="153" spans="2:17" ht="17.25" outlineLevel="1" x14ac:dyDescent="0.2">
      <c r="B153" s="118"/>
      <c r="C153" s="132"/>
      <c r="D153" s="118"/>
      <c r="E153" s="118"/>
      <c r="F153" s="118"/>
      <c r="G153" s="118"/>
      <c r="H153" s="84" t="s">
        <v>4</v>
      </c>
      <c r="I153" s="52"/>
      <c r="J153" s="52"/>
      <c r="K153" s="52"/>
      <c r="L153" s="52"/>
      <c r="M153" s="52"/>
      <c r="N153" s="52"/>
      <c r="O153" s="52"/>
      <c r="P153" s="118"/>
    </row>
    <row r="154" spans="2:17" ht="17.25" outlineLevel="1" x14ac:dyDescent="0.2">
      <c r="B154" s="118"/>
      <c r="C154" s="132"/>
      <c r="D154" s="118"/>
      <c r="E154" s="118"/>
      <c r="F154" s="118"/>
      <c r="G154" s="118"/>
      <c r="H154" s="84" t="s">
        <v>6</v>
      </c>
      <c r="I154" s="83">
        <f>SUM(J154:O154)</f>
        <v>308.60000000000002</v>
      </c>
      <c r="J154" s="52">
        <v>0</v>
      </c>
      <c r="K154" s="52">
        <v>5</v>
      </c>
      <c r="L154" s="52">
        <v>53.6</v>
      </c>
      <c r="M154" s="52">
        <v>50</v>
      </c>
      <c r="N154" s="52">
        <v>100</v>
      </c>
      <c r="O154" s="52">
        <v>100</v>
      </c>
      <c r="P154" s="118"/>
    </row>
    <row r="155" spans="2:17" ht="17.25" outlineLevel="1" x14ac:dyDescent="0.2">
      <c r="B155" s="119"/>
      <c r="C155" s="133"/>
      <c r="D155" s="119"/>
      <c r="E155" s="119"/>
      <c r="F155" s="119"/>
      <c r="G155" s="119"/>
      <c r="H155" s="84" t="s">
        <v>5</v>
      </c>
      <c r="I155" s="52"/>
      <c r="J155" s="52"/>
      <c r="K155" s="52"/>
      <c r="L155" s="52"/>
      <c r="M155" s="52"/>
      <c r="N155" s="52"/>
      <c r="O155" s="52"/>
      <c r="P155" s="119"/>
    </row>
    <row r="156" spans="2:17" ht="42.75" outlineLevel="1" x14ac:dyDescent="0.2">
      <c r="B156" s="117" t="s">
        <v>1839</v>
      </c>
      <c r="C156" s="117"/>
      <c r="D156" s="117" t="s">
        <v>604</v>
      </c>
      <c r="E156" s="117" t="s">
        <v>171</v>
      </c>
      <c r="F156" s="117"/>
      <c r="G156" s="117" t="s">
        <v>606</v>
      </c>
      <c r="H156" s="84" t="s">
        <v>3</v>
      </c>
      <c r="I156" s="83">
        <f>SUM(J156:O156)</f>
        <v>391</v>
      </c>
      <c r="J156" s="83">
        <v>0</v>
      </c>
      <c r="K156" s="83">
        <f t="shared" ref="K156:O156" si="66">K157+K158+K159</f>
        <v>15</v>
      </c>
      <c r="L156" s="83">
        <f t="shared" si="66"/>
        <v>94</v>
      </c>
      <c r="M156" s="83">
        <f t="shared" si="66"/>
        <v>94</v>
      </c>
      <c r="N156" s="83">
        <f t="shared" si="66"/>
        <v>94</v>
      </c>
      <c r="O156" s="83">
        <f t="shared" si="66"/>
        <v>94</v>
      </c>
      <c r="P156" s="117"/>
    </row>
    <row r="157" spans="2:17" ht="17.25" outlineLevel="1" x14ac:dyDescent="0.2">
      <c r="B157" s="118"/>
      <c r="C157" s="132"/>
      <c r="D157" s="118"/>
      <c r="E157" s="118"/>
      <c r="F157" s="118"/>
      <c r="G157" s="118"/>
      <c r="H157" s="84" t="s">
        <v>4</v>
      </c>
      <c r="I157" s="52"/>
      <c r="J157" s="52"/>
      <c r="K157" s="52"/>
      <c r="L157" s="52"/>
      <c r="M157" s="52"/>
      <c r="N157" s="52"/>
      <c r="O157" s="52"/>
      <c r="P157" s="118"/>
    </row>
    <row r="158" spans="2:17" ht="17.25" outlineLevel="1" x14ac:dyDescent="0.2">
      <c r="B158" s="118"/>
      <c r="C158" s="132"/>
      <c r="D158" s="118"/>
      <c r="E158" s="118"/>
      <c r="F158" s="118"/>
      <c r="G158" s="118"/>
      <c r="H158" s="84" t="s">
        <v>6</v>
      </c>
      <c r="I158" s="83">
        <f>SUM(J158:O158)</f>
        <v>391</v>
      </c>
      <c r="J158" s="52">
        <v>0</v>
      </c>
      <c r="K158" s="52">
        <v>15</v>
      </c>
      <c r="L158" s="52">
        <v>94</v>
      </c>
      <c r="M158" s="52">
        <v>94</v>
      </c>
      <c r="N158" s="52">
        <v>94</v>
      </c>
      <c r="O158" s="52">
        <v>94</v>
      </c>
      <c r="P158" s="118"/>
    </row>
    <row r="159" spans="2:17" ht="17.25" outlineLevel="1" x14ac:dyDescent="0.2">
      <c r="B159" s="119"/>
      <c r="C159" s="133"/>
      <c r="D159" s="119"/>
      <c r="E159" s="119"/>
      <c r="F159" s="119"/>
      <c r="G159" s="119"/>
      <c r="H159" s="84" t="s">
        <v>5</v>
      </c>
      <c r="I159" s="52"/>
      <c r="J159" s="52"/>
      <c r="K159" s="52"/>
      <c r="L159" s="52"/>
      <c r="M159" s="52"/>
      <c r="N159" s="52"/>
      <c r="O159" s="52"/>
      <c r="P159" s="119"/>
    </row>
    <row r="160" spans="2:17" ht="42" customHeight="1" outlineLevel="1" x14ac:dyDescent="0.2">
      <c r="B160" s="117" t="s">
        <v>1840</v>
      </c>
      <c r="C160" s="117"/>
      <c r="D160" s="117" t="s">
        <v>604</v>
      </c>
      <c r="E160" s="117" t="s">
        <v>171</v>
      </c>
      <c r="F160" s="117" t="s">
        <v>1841</v>
      </c>
      <c r="G160" s="117" t="s">
        <v>606</v>
      </c>
      <c r="H160" s="84" t="s">
        <v>3</v>
      </c>
      <c r="I160" s="83">
        <f>SUM(J160:O160)</f>
        <v>9.1</v>
      </c>
      <c r="J160" s="83">
        <f t="shared" ref="J160:O160" si="67">J161+J162+J163</f>
        <v>0.1</v>
      </c>
      <c r="K160" s="83">
        <f t="shared" si="67"/>
        <v>1</v>
      </c>
      <c r="L160" s="83">
        <f t="shared" si="67"/>
        <v>2</v>
      </c>
      <c r="M160" s="83">
        <f t="shared" si="67"/>
        <v>2</v>
      </c>
      <c r="N160" s="83">
        <f t="shared" si="67"/>
        <v>2</v>
      </c>
      <c r="O160" s="83">
        <f t="shared" si="67"/>
        <v>2</v>
      </c>
      <c r="P160" s="117">
        <v>12000</v>
      </c>
    </row>
    <row r="161" spans="2:17" ht="17.25" outlineLevel="1" x14ac:dyDescent="0.2">
      <c r="B161" s="118"/>
      <c r="C161" s="132"/>
      <c r="D161" s="118"/>
      <c r="E161" s="118"/>
      <c r="F161" s="118"/>
      <c r="G161" s="118"/>
      <c r="H161" s="84" t="s">
        <v>4</v>
      </c>
      <c r="I161" s="52"/>
      <c r="J161" s="52"/>
      <c r="K161" s="52"/>
      <c r="L161" s="52"/>
      <c r="M161" s="52"/>
      <c r="N161" s="52"/>
      <c r="O161" s="52"/>
      <c r="P161" s="118"/>
    </row>
    <row r="162" spans="2:17" ht="17.25" outlineLevel="1" x14ac:dyDescent="0.2">
      <c r="B162" s="118"/>
      <c r="C162" s="132"/>
      <c r="D162" s="118"/>
      <c r="E162" s="118"/>
      <c r="F162" s="118"/>
      <c r="G162" s="118"/>
      <c r="H162" s="84" t="s">
        <v>6</v>
      </c>
      <c r="I162" s="83">
        <f>SUM(J162:O162)</f>
        <v>9.1</v>
      </c>
      <c r="J162" s="52">
        <v>0.1</v>
      </c>
      <c r="K162" s="52">
        <v>1</v>
      </c>
      <c r="L162" s="52">
        <v>2</v>
      </c>
      <c r="M162" s="52">
        <v>2</v>
      </c>
      <c r="N162" s="52">
        <v>2</v>
      </c>
      <c r="O162" s="52">
        <v>2</v>
      </c>
      <c r="P162" s="118"/>
    </row>
    <row r="163" spans="2:17" ht="17.25" outlineLevel="1" x14ac:dyDescent="0.2">
      <c r="B163" s="119"/>
      <c r="C163" s="133"/>
      <c r="D163" s="119"/>
      <c r="E163" s="119"/>
      <c r="F163" s="119"/>
      <c r="G163" s="119"/>
      <c r="H163" s="84" t="s">
        <v>5</v>
      </c>
      <c r="I163" s="52"/>
      <c r="J163" s="52"/>
      <c r="K163" s="52"/>
      <c r="L163" s="52"/>
      <c r="M163" s="52"/>
      <c r="N163" s="52"/>
      <c r="O163" s="52"/>
      <c r="P163" s="119"/>
    </row>
    <row r="164" spans="2:17" ht="42.75" x14ac:dyDescent="0.2">
      <c r="B164" s="128" t="s">
        <v>612</v>
      </c>
      <c r="C164" s="128" t="s">
        <v>38</v>
      </c>
      <c r="D164" s="128" t="s">
        <v>38</v>
      </c>
      <c r="E164" s="128" t="s">
        <v>38</v>
      </c>
      <c r="F164" s="128" t="s">
        <v>38</v>
      </c>
      <c r="G164" s="128" t="s">
        <v>38</v>
      </c>
      <c r="H164" s="84" t="s">
        <v>3</v>
      </c>
      <c r="I164" s="14">
        <f>SUMIF($H$148:$H$163,"Объем*",I$148:I$163)</f>
        <v>1345.5</v>
      </c>
      <c r="J164" s="14">
        <f t="shared" ref="J164:O164" si="68">SUMIF($H$148:$H$163,"Объем*",J$148:J$163)</f>
        <v>22.3</v>
      </c>
      <c r="K164" s="14">
        <f t="shared" si="68"/>
        <v>144</v>
      </c>
      <c r="L164" s="14">
        <f t="shared" si="68"/>
        <v>272.60000000000002</v>
      </c>
      <c r="M164" s="14">
        <f t="shared" si="68"/>
        <v>269</v>
      </c>
      <c r="N164" s="14">
        <f t="shared" si="68"/>
        <v>319</v>
      </c>
      <c r="O164" s="14">
        <f t="shared" si="68"/>
        <v>318.60000000000002</v>
      </c>
      <c r="P164" s="128"/>
      <c r="Q164" s="7"/>
    </row>
    <row r="165" spans="2:17" ht="15.75" x14ac:dyDescent="0.2">
      <c r="B165" s="129"/>
      <c r="C165" s="129"/>
      <c r="D165" s="129"/>
      <c r="E165" s="129"/>
      <c r="F165" s="129"/>
      <c r="G165" s="129"/>
      <c r="H165" s="84" t="s">
        <v>4</v>
      </c>
      <c r="I165" s="14">
        <f>SUMIF($H$148:$H$163,"фед*",I$148:I$163)</f>
        <v>0</v>
      </c>
      <c r="J165" s="14">
        <f t="shared" ref="J165:O165" si="69">SUMIF($H$148:$H$163,"фед*",J$148:J$163)</f>
        <v>0</v>
      </c>
      <c r="K165" s="14">
        <f t="shared" si="69"/>
        <v>0</v>
      </c>
      <c r="L165" s="14">
        <f t="shared" si="69"/>
        <v>0</v>
      </c>
      <c r="M165" s="14">
        <f t="shared" si="69"/>
        <v>0</v>
      </c>
      <c r="N165" s="14">
        <f t="shared" si="69"/>
        <v>0</v>
      </c>
      <c r="O165" s="14">
        <f t="shared" si="69"/>
        <v>0</v>
      </c>
      <c r="P165" s="129"/>
    </row>
    <row r="166" spans="2:17" ht="15.75" x14ac:dyDescent="0.2">
      <c r="B166" s="129"/>
      <c r="C166" s="129"/>
      <c r="D166" s="129"/>
      <c r="E166" s="129"/>
      <c r="F166" s="129"/>
      <c r="G166" s="129"/>
      <c r="H166" s="84" t="s">
        <v>6</v>
      </c>
      <c r="I166" s="14">
        <f>SUMIF($H$148:$H$163,"конс*",I$148:I$163)</f>
        <v>1345.5</v>
      </c>
      <c r="J166" s="14">
        <f t="shared" ref="J166:O166" si="70">SUMIF($H$148:$H$163,"конс*",J$148:J$163)</f>
        <v>22.3</v>
      </c>
      <c r="K166" s="14">
        <f t="shared" si="70"/>
        <v>144</v>
      </c>
      <c r="L166" s="14">
        <f t="shared" si="70"/>
        <v>272.60000000000002</v>
      </c>
      <c r="M166" s="14">
        <f t="shared" si="70"/>
        <v>269</v>
      </c>
      <c r="N166" s="14">
        <f t="shared" si="70"/>
        <v>319</v>
      </c>
      <c r="O166" s="14">
        <f t="shared" si="70"/>
        <v>318.60000000000002</v>
      </c>
      <c r="P166" s="129"/>
    </row>
    <row r="167" spans="2:17" ht="15.75" x14ac:dyDescent="0.2">
      <c r="B167" s="130"/>
      <c r="C167" s="130"/>
      <c r="D167" s="130"/>
      <c r="E167" s="130"/>
      <c r="F167" s="130"/>
      <c r="G167" s="130"/>
      <c r="H167" s="84" t="s">
        <v>5</v>
      </c>
      <c r="I167" s="14">
        <f>SUMIF($H$148:$H$163,"вне*",I$148:I$163)</f>
        <v>0</v>
      </c>
      <c r="J167" s="14">
        <f t="shared" ref="J167:O167" si="71">SUMIF($H$148:$H$163,"вне*",J$148:J$163)</f>
        <v>0</v>
      </c>
      <c r="K167" s="14">
        <f t="shared" si="71"/>
        <v>0</v>
      </c>
      <c r="L167" s="14">
        <f t="shared" si="71"/>
        <v>0</v>
      </c>
      <c r="M167" s="14">
        <f t="shared" si="71"/>
        <v>0</v>
      </c>
      <c r="N167" s="14">
        <f t="shared" si="71"/>
        <v>0</v>
      </c>
      <c r="O167" s="14">
        <f t="shared" si="71"/>
        <v>0</v>
      </c>
      <c r="P167" s="130"/>
    </row>
    <row r="168" spans="2:17" ht="42.75" x14ac:dyDescent="0.2">
      <c r="B168" s="128" t="s">
        <v>77</v>
      </c>
      <c r="C168" s="128" t="s">
        <v>38</v>
      </c>
      <c r="D168" s="128" t="s">
        <v>38</v>
      </c>
      <c r="E168" s="128" t="s">
        <v>38</v>
      </c>
      <c r="F168" s="128" t="s">
        <v>38</v>
      </c>
      <c r="G168" s="128" t="s">
        <v>38</v>
      </c>
      <c r="H168" s="84" t="s">
        <v>3</v>
      </c>
      <c r="I168" s="14">
        <f t="shared" ref="I168:O171" si="72">I10+I39+I52+I61+I70+I83+I92+I109+I118+I143+I164</f>
        <v>2329.7780000000002</v>
      </c>
      <c r="J168" s="14">
        <f t="shared" si="72"/>
        <v>32.69</v>
      </c>
      <c r="K168" s="14">
        <f t="shared" si="72"/>
        <v>232.70499999999998</v>
      </c>
      <c r="L168" s="14">
        <f t="shared" si="72"/>
        <v>955.83500000000004</v>
      </c>
      <c r="M168" s="14">
        <f t="shared" si="72"/>
        <v>464.1</v>
      </c>
      <c r="N168" s="14">
        <f t="shared" si="72"/>
        <v>324.39999999999998</v>
      </c>
      <c r="O168" s="14">
        <f t="shared" si="72"/>
        <v>320.048</v>
      </c>
      <c r="P168" s="128"/>
      <c r="Q168" s="7"/>
    </row>
    <row r="169" spans="2:17" ht="15.75" x14ac:dyDescent="0.2">
      <c r="B169" s="129"/>
      <c r="C169" s="129"/>
      <c r="D169" s="129"/>
      <c r="E169" s="129"/>
      <c r="F169" s="129"/>
      <c r="G169" s="129"/>
      <c r="H169" s="84" t="s">
        <v>4</v>
      </c>
      <c r="I169" s="14">
        <f t="shared" si="72"/>
        <v>276.31</v>
      </c>
      <c r="J169" s="14">
        <f t="shared" si="72"/>
        <v>9.8000000000000007</v>
      </c>
      <c r="K169" s="14">
        <f t="shared" si="72"/>
        <v>44.45</v>
      </c>
      <c r="L169" s="14">
        <f t="shared" si="72"/>
        <v>222.06</v>
      </c>
      <c r="M169" s="14">
        <f t="shared" si="72"/>
        <v>0</v>
      </c>
      <c r="N169" s="14">
        <f t="shared" si="72"/>
        <v>0</v>
      </c>
      <c r="O169" s="14">
        <f t="shared" si="72"/>
        <v>0</v>
      </c>
      <c r="P169" s="129"/>
      <c r="Q169" s="7"/>
    </row>
    <row r="170" spans="2:17" ht="15.75" x14ac:dyDescent="0.2">
      <c r="B170" s="129"/>
      <c r="C170" s="129"/>
      <c r="D170" s="129"/>
      <c r="E170" s="129"/>
      <c r="F170" s="129"/>
      <c r="G170" s="129"/>
      <c r="H170" s="84" t="s">
        <v>6</v>
      </c>
      <c r="I170" s="14">
        <f t="shared" si="72"/>
        <v>2052.998</v>
      </c>
      <c r="J170" s="14">
        <f t="shared" si="72"/>
        <v>22.89</v>
      </c>
      <c r="K170" s="14">
        <f t="shared" si="72"/>
        <v>188.255</v>
      </c>
      <c r="L170" s="14">
        <f t="shared" si="72"/>
        <v>733.57500000000005</v>
      </c>
      <c r="M170" s="14">
        <f t="shared" si="72"/>
        <v>463.9</v>
      </c>
      <c r="N170" s="14">
        <f t="shared" si="72"/>
        <v>324.39999999999998</v>
      </c>
      <c r="O170" s="14">
        <f t="shared" si="72"/>
        <v>319.97800000000001</v>
      </c>
      <c r="P170" s="129"/>
      <c r="Q170" s="7"/>
    </row>
    <row r="171" spans="2:17" ht="15.75" x14ac:dyDescent="0.2">
      <c r="B171" s="130"/>
      <c r="C171" s="130"/>
      <c r="D171" s="130"/>
      <c r="E171" s="130"/>
      <c r="F171" s="130"/>
      <c r="G171" s="130"/>
      <c r="H171" s="84" t="s">
        <v>5</v>
      </c>
      <c r="I171" s="14">
        <f t="shared" si="72"/>
        <v>0.47000000000000003</v>
      </c>
      <c r="J171" s="14">
        <f t="shared" si="72"/>
        <v>0</v>
      </c>
      <c r="K171" s="14">
        <f t="shared" si="72"/>
        <v>0</v>
      </c>
      <c r="L171" s="14">
        <f t="shared" si="72"/>
        <v>0.2</v>
      </c>
      <c r="M171" s="14">
        <f t="shared" si="72"/>
        <v>0.2</v>
      </c>
      <c r="N171" s="14">
        <f t="shared" si="72"/>
        <v>0</v>
      </c>
      <c r="O171" s="14">
        <f t="shared" si="72"/>
        <v>7.0000000000000007E-2</v>
      </c>
      <c r="P171" s="130"/>
      <c r="Q171" s="7"/>
    </row>
    <row r="172" spans="2:17" x14ac:dyDescent="0.2">
      <c r="Q172" s="7"/>
    </row>
    <row r="173" spans="2:17" x14ac:dyDescent="0.2">
      <c r="B173" s="45" t="s">
        <v>625</v>
      </c>
    </row>
  </sheetData>
  <mergeCells count="293">
    <mergeCell ref="P168:P171"/>
    <mergeCell ref="B168:B171"/>
    <mergeCell ref="C168:C171"/>
    <mergeCell ref="D168:D171"/>
    <mergeCell ref="E168:E171"/>
    <mergeCell ref="F168:F171"/>
    <mergeCell ref="G168:G171"/>
    <mergeCell ref="P160:P163"/>
    <mergeCell ref="B164:B167"/>
    <mergeCell ref="C164:C167"/>
    <mergeCell ref="D164:D167"/>
    <mergeCell ref="E164:E167"/>
    <mergeCell ref="F164:F167"/>
    <mergeCell ref="G164:G167"/>
    <mergeCell ref="P164:P167"/>
    <mergeCell ref="B160:B163"/>
    <mergeCell ref="C160:C163"/>
    <mergeCell ref="D160:D163"/>
    <mergeCell ref="E160:E163"/>
    <mergeCell ref="F160:F163"/>
    <mergeCell ref="G160:G163"/>
    <mergeCell ref="P152:P155"/>
    <mergeCell ref="B156:B159"/>
    <mergeCell ref="C156:C159"/>
    <mergeCell ref="D156:D159"/>
    <mergeCell ref="E156:E159"/>
    <mergeCell ref="F156:F159"/>
    <mergeCell ref="G156:G159"/>
    <mergeCell ref="P156:P159"/>
    <mergeCell ref="B152:B155"/>
    <mergeCell ref="C152:C155"/>
    <mergeCell ref="D152:D155"/>
    <mergeCell ref="E152:E155"/>
    <mergeCell ref="F152:F155"/>
    <mergeCell ref="G152:G155"/>
    <mergeCell ref="P143:P146"/>
    <mergeCell ref="B147:P147"/>
    <mergeCell ref="B148:B151"/>
    <mergeCell ref="C148:C151"/>
    <mergeCell ref="D148:D151"/>
    <mergeCell ref="E148:E151"/>
    <mergeCell ref="F148:F151"/>
    <mergeCell ref="G148:G151"/>
    <mergeCell ref="P148:P151"/>
    <mergeCell ref="B143:B146"/>
    <mergeCell ref="C143:C146"/>
    <mergeCell ref="D143:D146"/>
    <mergeCell ref="E143:E146"/>
    <mergeCell ref="F143:F146"/>
    <mergeCell ref="G143:G146"/>
    <mergeCell ref="P135:P138"/>
    <mergeCell ref="B139:B142"/>
    <mergeCell ref="C139:C142"/>
    <mergeCell ref="D139:D142"/>
    <mergeCell ref="E139:E142"/>
    <mergeCell ref="F139:F142"/>
    <mergeCell ref="G139:G142"/>
    <mergeCell ref="P139:P142"/>
    <mergeCell ref="B135:B138"/>
    <mergeCell ref="C135:C138"/>
    <mergeCell ref="D135:D138"/>
    <mergeCell ref="E135:E138"/>
    <mergeCell ref="F135:F138"/>
    <mergeCell ref="G135:G138"/>
    <mergeCell ref="P127:P130"/>
    <mergeCell ref="B131:B134"/>
    <mergeCell ref="C131:C134"/>
    <mergeCell ref="D131:D134"/>
    <mergeCell ref="E131:E134"/>
    <mergeCell ref="F131:F134"/>
    <mergeCell ref="G131:G134"/>
    <mergeCell ref="P131:P134"/>
    <mergeCell ref="B127:B130"/>
    <mergeCell ref="C127:C130"/>
    <mergeCell ref="D127:D130"/>
    <mergeCell ref="E127:E130"/>
    <mergeCell ref="F127:F130"/>
    <mergeCell ref="G127:G130"/>
    <mergeCell ref="P118:P121"/>
    <mergeCell ref="B122:P122"/>
    <mergeCell ref="B123:B126"/>
    <mergeCell ref="C123:C126"/>
    <mergeCell ref="D123:D126"/>
    <mergeCell ref="E123:E126"/>
    <mergeCell ref="F123:F126"/>
    <mergeCell ref="G123:G126"/>
    <mergeCell ref="P123:P126"/>
    <mergeCell ref="B118:B121"/>
    <mergeCell ref="C118:C121"/>
    <mergeCell ref="D118:D121"/>
    <mergeCell ref="E118:E121"/>
    <mergeCell ref="F118:F121"/>
    <mergeCell ref="G118:G121"/>
    <mergeCell ref="P109:P112"/>
    <mergeCell ref="B113:P113"/>
    <mergeCell ref="B114:B117"/>
    <mergeCell ref="C114:C117"/>
    <mergeCell ref="D114:D117"/>
    <mergeCell ref="E114:E117"/>
    <mergeCell ref="F114:F117"/>
    <mergeCell ref="G114:G117"/>
    <mergeCell ref="P114:P117"/>
    <mergeCell ref="B109:B112"/>
    <mergeCell ref="C109:C112"/>
    <mergeCell ref="D109:D112"/>
    <mergeCell ref="E109:E112"/>
    <mergeCell ref="F109:F112"/>
    <mergeCell ref="G109:G112"/>
    <mergeCell ref="P101:P104"/>
    <mergeCell ref="B105:B108"/>
    <mergeCell ref="C105:C108"/>
    <mergeCell ref="D105:D108"/>
    <mergeCell ref="E105:E108"/>
    <mergeCell ref="F105:F108"/>
    <mergeCell ref="G105:G108"/>
    <mergeCell ref="P105:P108"/>
    <mergeCell ref="B101:B104"/>
    <mergeCell ref="C101:C104"/>
    <mergeCell ref="D101:D104"/>
    <mergeCell ref="E101:E104"/>
    <mergeCell ref="F101:F104"/>
    <mergeCell ref="G101:G104"/>
    <mergeCell ref="P92:P95"/>
    <mergeCell ref="B96:P96"/>
    <mergeCell ref="B97:B100"/>
    <mergeCell ref="C97:C100"/>
    <mergeCell ref="D97:D100"/>
    <mergeCell ref="E97:E100"/>
    <mergeCell ref="F97:F100"/>
    <mergeCell ref="G97:G100"/>
    <mergeCell ref="P97:P100"/>
    <mergeCell ref="B92:B95"/>
    <mergeCell ref="C92:C95"/>
    <mergeCell ref="D92:D95"/>
    <mergeCell ref="E92:E95"/>
    <mergeCell ref="F92:F95"/>
    <mergeCell ref="G92:G95"/>
    <mergeCell ref="B87:P87"/>
    <mergeCell ref="B88:B91"/>
    <mergeCell ref="C88:C91"/>
    <mergeCell ref="D88:D91"/>
    <mergeCell ref="E88:E91"/>
    <mergeCell ref="F88:F91"/>
    <mergeCell ref="G88:G91"/>
    <mergeCell ref="P88:P91"/>
    <mergeCell ref="P79:P82"/>
    <mergeCell ref="B83:B86"/>
    <mergeCell ref="C83:C86"/>
    <mergeCell ref="D83:D86"/>
    <mergeCell ref="E83:E86"/>
    <mergeCell ref="F83:F86"/>
    <mergeCell ref="G83:G86"/>
    <mergeCell ref="P83:P86"/>
    <mergeCell ref="B79:B82"/>
    <mergeCell ref="C79:C82"/>
    <mergeCell ref="D79:D82"/>
    <mergeCell ref="E79:E82"/>
    <mergeCell ref="F79:F82"/>
    <mergeCell ref="G79:G82"/>
    <mergeCell ref="P70:P73"/>
    <mergeCell ref="B74:P74"/>
    <mergeCell ref="B75:B78"/>
    <mergeCell ref="C75:C78"/>
    <mergeCell ref="D75:D78"/>
    <mergeCell ref="E75:E78"/>
    <mergeCell ref="F75:F78"/>
    <mergeCell ref="G75:G78"/>
    <mergeCell ref="P75:P78"/>
    <mergeCell ref="B70:B73"/>
    <mergeCell ref="C70:C73"/>
    <mergeCell ref="D70:D73"/>
    <mergeCell ref="E70:E73"/>
    <mergeCell ref="F70:F73"/>
    <mergeCell ref="G70:G73"/>
    <mergeCell ref="P61:P64"/>
    <mergeCell ref="B65:P65"/>
    <mergeCell ref="B66:B69"/>
    <mergeCell ref="C66:C69"/>
    <mergeCell ref="D66:D69"/>
    <mergeCell ref="E66:E69"/>
    <mergeCell ref="F66:F69"/>
    <mergeCell ref="G66:G69"/>
    <mergeCell ref="P66:P69"/>
    <mergeCell ref="B61:B64"/>
    <mergeCell ref="C61:C64"/>
    <mergeCell ref="D61:D64"/>
    <mergeCell ref="E61:E64"/>
    <mergeCell ref="F61:F64"/>
    <mergeCell ref="G61:G64"/>
    <mergeCell ref="B56:P56"/>
    <mergeCell ref="B57:B60"/>
    <mergeCell ref="C57:C60"/>
    <mergeCell ref="D57:D60"/>
    <mergeCell ref="E57:E60"/>
    <mergeCell ref="F57:F60"/>
    <mergeCell ref="G57:G60"/>
    <mergeCell ref="P57:P60"/>
    <mergeCell ref="P48:P51"/>
    <mergeCell ref="B52:B55"/>
    <mergeCell ref="C52:C55"/>
    <mergeCell ref="D52:D55"/>
    <mergeCell ref="E52:E55"/>
    <mergeCell ref="F52:F55"/>
    <mergeCell ref="G52:G55"/>
    <mergeCell ref="P52:P55"/>
    <mergeCell ref="B48:B51"/>
    <mergeCell ref="C48:C51"/>
    <mergeCell ref="D48:D51"/>
    <mergeCell ref="E48:E51"/>
    <mergeCell ref="F48:F51"/>
    <mergeCell ref="G48:G51"/>
    <mergeCell ref="B43:P43"/>
    <mergeCell ref="B44:B47"/>
    <mergeCell ref="C44:C47"/>
    <mergeCell ref="D44:D47"/>
    <mergeCell ref="E44:E47"/>
    <mergeCell ref="F44:F47"/>
    <mergeCell ref="G44:G47"/>
    <mergeCell ref="P44:P47"/>
    <mergeCell ref="P35:P38"/>
    <mergeCell ref="B39:B42"/>
    <mergeCell ref="C39:C42"/>
    <mergeCell ref="D39:D42"/>
    <mergeCell ref="E39:E42"/>
    <mergeCell ref="F39:F42"/>
    <mergeCell ref="G39:G42"/>
    <mergeCell ref="P39:P42"/>
    <mergeCell ref="B35:B38"/>
    <mergeCell ref="C35:C38"/>
    <mergeCell ref="D35:D38"/>
    <mergeCell ref="E35:E38"/>
    <mergeCell ref="F35:F38"/>
    <mergeCell ref="G35:G38"/>
    <mergeCell ref="P27:P30"/>
    <mergeCell ref="B31:B34"/>
    <mergeCell ref="C31:C34"/>
    <mergeCell ref="D31:D34"/>
    <mergeCell ref="E31:E34"/>
    <mergeCell ref="F31:F34"/>
    <mergeCell ref="G31:G34"/>
    <mergeCell ref="P31:P34"/>
    <mergeCell ref="B27:B30"/>
    <mergeCell ref="C27:C30"/>
    <mergeCell ref="D27:D30"/>
    <mergeCell ref="E27:E30"/>
    <mergeCell ref="F27:F30"/>
    <mergeCell ref="G27:G30"/>
    <mergeCell ref="P19:P22"/>
    <mergeCell ref="B23:B26"/>
    <mergeCell ref="C23:C26"/>
    <mergeCell ref="D23:D26"/>
    <mergeCell ref="E23:E26"/>
    <mergeCell ref="F23:F26"/>
    <mergeCell ref="G23:G26"/>
    <mergeCell ref="P23:P26"/>
    <mergeCell ref="B19:B22"/>
    <mergeCell ref="C19:C22"/>
    <mergeCell ref="D19:D22"/>
    <mergeCell ref="E19:E22"/>
    <mergeCell ref="F19:F22"/>
    <mergeCell ref="G19:G22"/>
    <mergeCell ref="P10:P13"/>
    <mergeCell ref="B14:P14"/>
    <mergeCell ref="B15:B18"/>
    <mergeCell ref="C15:C18"/>
    <mergeCell ref="D15:D18"/>
    <mergeCell ref="E15:E18"/>
    <mergeCell ref="F15:F18"/>
    <mergeCell ref="G15:G18"/>
    <mergeCell ref="P15:P18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173 A172:XFD172 A174:XFD1048576 C173:XFD173 A123:XFD146 A7:I7 A9:XFD13 I164:O171 I39:O42 I52:O55 I61:O64 I70:O73 I83:O86 I109:O112 I118:O121 I92:O95 A5:I5 A3:C4 E3:G4 I4 J4:XFD8 P3:XFD3 A1:XFD2">
    <cfRule type="cellIs" dxfId="12" priority="10" operator="equal">
      <formula>0</formula>
    </cfRule>
  </conditionalFormatting>
  <conditionalFormatting sqref="I143:O143 I10:O10">
    <cfRule type="cellIs" priority="9" operator="equal">
      <formula>0</formula>
    </cfRule>
  </conditionalFormatting>
  <conditionalFormatting sqref="A6:H6 A8:H8">
    <cfRule type="cellIs" dxfId="11" priority="8" operator="equal">
      <formula>0</formula>
    </cfRule>
  </conditionalFormatting>
  <conditionalFormatting sqref="I8 I6">
    <cfRule type="cellIs" dxfId="10" priority="7" operator="equal">
      <formula>0</formula>
    </cfRule>
  </conditionalFormatting>
  <conditionalFormatting sqref="B173">
    <cfRule type="cellIs" dxfId="9" priority="6" operator="equal">
      <formula>0</formula>
    </cfRule>
  </conditionalFormatting>
  <conditionalFormatting sqref="D3:D4">
    <cfRule type="cellIs" dxfId="8" priority="5" operator="equal">
      <formula>0</formula>
    </cfRule>
  </conditionalFormatting>
  <conditionalFormatting sqref="H4">
    <cfRule type="cellIs" dxfId="7" priority="4" operator="equal">
      <formula>0</formula>
    </cfRule>
  </conditionalFormatting>
  <conditionalFormatting sqref="H3:O3">
    <cfRule type="cellIs" dxfId="6" priority="3" operator="equal">
      <formula>0</formula>
    </cfRule>
  </conditionalFormatting>
  <conditionalFormatting sqref="I15:I38">
    <cfRule type="cellIs" dxfId="5" priority="2" operator="equal">
      <formula>0</formula>
    </cfRule>
  </conditionalFormatting>
  <conditionalFormatting sqref="I44:I51">
    <cfRule type="cellIs" dxfId="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9999-898B-4664-AB76-8B378B42AA34}">
  <sheetPr>
    <pageSetUpPr fitToPage="1"/>
  </sheetPr>
  <dimension ref="B1:Q52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57031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6384" width="9.140625" style="2"/>
  </cols>
  <sheetData>
    <row r="1" spans="2:17" ht="21.75" customHeight="1" x14ac:dyDescent="0.25">
      <c r="B1" s="120" t="s">
        <v>1842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7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7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7" ht="25.5" customHeight="1" x14ac:dyDescent="0.2">
      <c r="B5" s="111" t="s">
        <v>39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7" ht="42.75" outlineLevel="1" x14ac:dyDescent="0.2">
      <c r="B6" s="117" t="s">
        <v>1843</v>
      </c>
      <c r="C6" s="117"/>
      <c r="D6" s="117" t="s">
        <v>1844</v>
      </c>
      <c r="E6" s="117">
        <v>2022</v>
      </c>
      <c r="F6" s="117"/>
      <c r="G6" s="117" t="s">
        <v>138</v>
      </c>
      <c r="H6" s="84" t="s">
        <v>3</v>
      </c>
      <c r="I6" s="83">
        <f>SUM(J6:O6)</f>
        <v>14.5</v>
      </c>
      <c r="J6" s="83">
        <f t="shared" ref="J6:O6" si="0">SUM(J7:J9)</f>
        <v>0</v>
      </c>
      <c r="K6" s="83">
        <f t="shared" si="0"/>
        <v>0</v>
      </c>
      <c r="L6" s="83">
        <f t="shared" si="0"/>
        <v>14.5</v>
      </c>
      <c r="M6" s="83">
        <f t="shared" si="0"/>
        <v>0</v>
      </c>
      <c r="N6" s="83">
        <f t="shared" si="0"/>
        <v>0</v>
      </c>
      <c r="O6" s="83">
        <f t="shared" si="0"/>
        <v>0</v>
      </c>
      <c r="P6" s="117"/>
    </row>
    <row r="7" spans="2:17" outlineLevel="1" x14ac:dyDescent="0.2">
      <c r="B7" s="118"/>
      <c r="C7" s="132"/>
      <c r="D7" s="118"/>
      <c r="E7" s="118"/>
      <c r="F7" s="118"/>
      <c r="G7" s="118"/>
      <c r="H7" s="84" t="s">
        <v>4</v>
      </c>
      <c r="I7" s="83">
        <f>SUM(J7:O7)</f>
        <v>0</v>
      </c>
      <c r="J7" s="83"/>
      <c r="K7" s="83"/>
      <c r="L7" s="83"/>
      <c r="M7" s="83"/>
      <c r="N7" s="83"/>
      <c r="O7" s="83"/>
      <c r="P7" s="118"/>
    </row>
    <row r="8" spans="2:17" ht="17.25" outlineLevel="1" x14ac:dyDescent="0.2">
      <c r="B8" s="118"/>
      <c r="C8" s="132"/>
      <c r="D8" s="118"/>
      <c r="E8" s="118"/>
      <c r="F8" s="118"/>
      <c r="G8" s="118"/>
      <c r="H8" s="84" t="s">
        <v>6</v>
      </c>
      <c r="I8" s="83">
        <f>SUM(J8:O8)</f>
        <v>14.5</v>
      </c>
      <c r="J8" s="52"/>
      <c r="K8" s="52"/>
      <c r="L8" s="52">
        <v>14.5</v>
      </c>
      <c r="M8" s="52"/>
      <c r="N8" s="52"/>
      <c r="O8" s="52"/>
      <c r="P8" s="118"/>
    </row>
    <row r="9" spans="2:17" ht="17.25" outlineLevel="1" x14ac:dyDescent="0.2">
      <c r="B9" s="119"/>
      <c r="C9" s="133"/>
      <c r="D9" s="119"/>
      <c r="E9" s="119"/>
      <c r="F9" s="119"/>
      <c r="G9" s="119"/>
      <c r="H9" s="84" t="s">
        <v>5</v>
      </c>
      <c r="I9" s="52"/>
      <c r="J9" s="52"/>
      <c r="K9" s="52"/>
      <c r="L9" s="52"/>
      <c r="M9" s="52"/>
      <c r="N9" s="52"/>
      <c r="O9" s="52"/>
      <c r="P9" s="119"/>
    </row>
    <row r="10" spans="2:17" ht="42.75" outlineLevel="1" x14ac:dyDescent="0.2">
      <c r="B10" s="117" t="s">
        <v>1845</v>
      </c>
      <c r="C10" s="117"/>
      <c r="D10" s="117" t="s">
        <v>1844</v>
      </c>
      <c r="E10" s="117">
        <v>2021</v>
      </c>
      <c r="F10" s="117"/>
      <c r="G10" s="117" t="s">
        <v>138</v>
      </c>
      <c r="H10" s="84" t="s">
        <v>3</v>
      </c>
      <c r="I10" s="83">
        <f>SUM(J10:O10)</f>
        <v>4.2</v>
      </c>
      <c r="J10" s="83">
        <f t="shared" ref="J10:O10" si="1">SUM(J11:J13)</f>
        <v>0</v>
      </c>
      <c r="K10" s="83">
        <f t="shared" si="1"/>
        <v>0</v>
      </c>
      <c r="L10" s="83">
        <f t="shared" si="1"/>
        <v>4.2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117"/>
    </row>
    <row r="11" spans="2:17" ht="17.25" outlineLevel="1" x14ac:dyDescent="0.2">
      <c r="B11" s="118"/>
      <c r="C11" s="132"/>
      <c r="D11" s="118"/>
      <c r="E11" s="118"/>
      <c r="F11" s="118"/>
      <c r="G11" s="118"/>
      <c r="H11" s="84" t="s">
        <v>4</v>
      </c>
      <c r="I11" s="83">
        <f>SUM(J11:O11)</f>
        <v>0</v>
      </c>
      <c r="J11" s="52"/>
      <c r="K11" s="52"/>
      <c r="L11" s="52"/>
      <c r="M11" s="52"/>
      <c r="N11" s="52"/>
      <c r="O11" s="52"/>
      <c r="P11" s="118"/>
    </row>
    <row r="12" spans="2:17" ht="17.25" outlineLevel="1" x14ac:dyDescent="0.2">
      <c r="B12" s="118"/>
      <c r="C12" s="132"/>
      <c r="D12" s="118"/>
      <c r="E12" s="118"/>
      <c r="F12" s="118"/>
      <c r="G12" s="118"/>
      <c r="H12" s="84" t="s">
        <v>6</v>
      </c>
      <c r="I12" s="83">
        <f>SUM(J12:O12)</f>
        <v>4.2</v>
      </c>
      <c r="J12" s="52"/>
      <c r="K12" s="52"/>
      <c r="L12" s="52">
        <v>4.2</v>
      </c>
      <c r="M12" s="52"/>
      <c r="N12" s="52"/>
      <c r="O12" s="52"/>
      <c r="P12" s="118"/>
    </row>
    <row r="13" spans="2:17" ht="17.25" outlineLevel="1" x14ac:dyDescent="0.2">
      <c r="B13" s="119"/>
      <c r="C13" s="133"/>
      <c r="D13" s="119"/>
      <c r="E13" s="119"/>
      <c r="F13" s="119"/>
      <c r="G13" s="119"/>
      <c r="H13" s="84" t="s">
        <v>5</v>
      </c>
      <c r="I13" s="52"/>
      <c r="J13" s="52"/>
      <c r="K13" s="52"/>
      <c r="L13" s="52"/>
      <c r="M13" s="52"/>
      <c r="N13" s="52"/>
      <c r="O13" s="52"/>
      <c r="P13" s="119"/>
    </row>
    <row r="14" spans="2:17" ht="42.75" x14ac:dyDescent="0.2">
      <c r="B14" s="128" t="s">
        <v>46</v>
      </c>
      <c r="C14" s="128" t="s">
        <v>38</v>
      </c>
      <c r="D14" s="128" t="s">
        <v>38</v>
      </c>
      <c r="E14" s="128" t="s">
        <v>38</v>
      </c>
      <c r="F14" s="128" t="s">
        <v>38</v>
      </c>
      <c r="G14" s="128" t="s">
        <v>38</v>
      </c>
      <c r="H14" s="84" t="s">
        <v>3</v>
      </c>
      <c r="I14" s="14">
        <f>SUMIF($H$6:$H$13,"Объем*",I$6:I$13)</f>
        <v>18.7</v>
      </c>
      <c r="J14" s="14">
        <f t="shared" ref="J14:O14" si="2">SUMIF($H$6:$H$13,"Объем*",J$6:J$13)</f>
        <v>0</v>
      </c>
      <c r="K14" s="14">
        <f t="shared" si="2"/>
        <v>0</v>
      </c>
      <c r="L14" s="14">
        <f t="shared" si="2"/>
        <v>18.7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28"/>
      <c r="Q14" s="7"/>
    </row>
    <row r="15" spans="2:17" ht="15.75" x14ac:dyDescent="0.2">
      <c r="B15" s="129"/>
      <c r="C15" s="129"/>
      <c r="D15" s="129"/>
      <c r="E15" s="129"/>
      <c r="F15" s="129"/>
      <c r="G15" s="129"/>
      <c r="H15" s="84" t="s">
        <v>4</v>
      </c>
      <c r="I15" s="14">
        <f>SUMIF($H$6:$H$13,"фед*",I$6:I$13)</f>
        <v>0</v>
      </c>
      <c r="J15" s="14">
        <f t="shared" ref="J15:O15" si="3">SUMIF($H$6:$H$13,"фед*",J$6:J$13)</f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 t="shared" si="3"/>
        <v>0</v>
      </c>
      <c r="P15" s="129"/>
    </row>
    <row r="16" spans="2:17" ht="15.75" x14ac:dyDescent="0.2">
      <c r="B16" s="129"/>
      <c r="C16" s="129"/>
      <c r="D16" s="129"/>
      <c r="E16" s="129"/>
      <c r="F16" s="129"/>
      <c r="G16" s="129"/>
      <c r="H16" s="84" t="s">
        <v>6</v>
      </c>
      <c r="I16" s="14">
        <f>SUMIF($H$6:$H$13,"конс*",I$6:I$13)</f>
        <v>18.7</v>
      </c>
      <c r="J16" s="14">
        <f t="shared" ref="J16:O16" si="4">SUMIF($H$6:$H$13,"конс*",J$6:J$13)</f>
        <v>0</v>
      </c>
      <c r="K16" s="14">
        <f t="shared" si="4"/>
        <v>0</v>
      </c>
      <c r="L16" s="14">
        <f t="shared" si="4"/>
        <v>18.7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129"/>
    </row>
    <row r="17" spans="2:17" ht="15.75" x14ac:dyDescent="0.2">
      <c r="B17" s="130"/>
      <c r="C17" s="130"/>
      <c r="D17" s="130"/>
      <c r="E17" s="130"/>
      <c r="F17" s="130"/>
      <c r="G17" s="130"/>
      <c r="H17" s="84" t="s">
        <v>5</v>
      </c>
      <c r="I17" s="14">
        <f>SUMIF($H$6:$H$13,"вне*",I$6:I$13)</f>
        <v>0</v>
      </c>
      <c r="J17" s="14">
        <f t="shared" ref="J17:O17" si="5">SUMIF($H$6:$H$13,"вне*",J$6:J$13)</f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5"/>
        <v>0</v>
      </c>
      <c r="O17" s="14">
        <f t="shared" si="5"/>
        <v>0</v>
      </c>
      <c r="P17" s="130"/>
    </row>
    <row r="18" spans="2:17" ht="25.5" customHeight="1" x14ac:dyDescent="0.2">
      <c r="B18" s="111" t="s">
        <v>223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3"/>
    </row>
    <row r="19" spans="2:17" ht="42.75" outlineLevel="1" x14ac:dyDescent="0.2">
      <c r="B19" s="117" t="s">
        <v>1846</v>
      </c>
      <c r="C19" s="117"/>
      <c r="D19" s="117" t="s">
        <v>223</v>
      </c>
      <c r="E19" s="117" t="s">
        <v>171</v>
      </c>
      <c r="F19" s="117" t="s">
        <v>1847</v>
      </c>
      <c r="G19" s="117" t="s">
        <v>115</v>
      </c>
      <c r="H19" s="84" t="s">
        <v>3</v>
      </c>
      <c r="I19" s="83">
        <f>SUM(J19:O19)</f>
        <v>309.63</v>
      </c>
      <c r="J19" s="83">
        <v>0</v>
      </c>
      <c r="K19" s="83">
        <f t="shared" ref="K19:O19" si="6">K20+K21+K22</f>
        <v>77.3</v>
      </c>
      <c r="L19" s="83">
        <f t="shared" si="6"/>
        <v>68.400000000000006</v>
      </c>
      <c r="M19" s="83">
        <f t="shared" si="6"/>
        <v>68.5</v>
      </c>
      <c r="N19" s="83">
        <f t="shared" si="6"/>
        <v>67.3</v>
      </c>
      <c r="O19" s="83">
        <f t="shared" si="6"/>
        <v>28.13</v>
      </c>
      <c r="P19" s="117">
        <v>447</v>
      </c>
    </row>
    <row r="20" spans="2:17" ht="27.75" customHeight="1" outlineLevel="1" x14ac:dyDescent="0.2">
      <c r="B20" s="118"/>
      <c r="C20" s="132"/>
      <c r="D20" s="118"/>
      <c r="E20" s="118"/>
      <c r="F20" s="118"/>
      <c r="G20" s="118"/>
      <c r="H20" s="84" t="s">
        <v>4</v>
      </c>
      <c r="I20" s="83">
        <f>SUM(J20:O20)</f>
        <v>309.63</v>
      </c>
      <c r="J20" s="83">
        <v>0</v>
      </c>
      <c r="K20" s="83">
        <v>77.3</v>
      </c>
      <c r="L20" s="83">
        <v>68.400000000000006</v>
      </c>
      <c r="M20" s="83">
        <v>68.5</v>
      </c>
      <c r="N20" s="83">
        <v>67.3</v>
      </c>
      <c r="O20" s="83">
        <v>28.13</v>
      </c>
      <c r="P20" s="118"/>
    </row>
    <row r="21" spans="2:17" ht="27" customHeight="1" outlineLevel="1" x14ac:dyDescent="0.2">
      <c r="B21" s="118"/>
      <c r="C21" s="132"/>
      <c r="D21" s="118"/>
      <c r="E21" s="118"/>
      <c r="F21" s="118"/>
      <c r="G21" s="118"/>
      <c r="H21" s="84" t="s">
        <v>6</v>
      </c>
      <c r="I21" s="83"/>
      <c r="J21" s="52"/>
      <c r="K21" s="52"/>
      <c r="L21" s="52"/>
      <c r="M21" s="52"/>
      <c r="N21" s="52"/>
      <c r="O21" s="52"/>
      <c r="P21" s="118"/>
    </row>
    <row r="22" spans="2:17" ht="27" customHeight="1" outlineLevel="1" x14ac:dyDescent="0.2">
      <c r="B22" s="119"/>
      <c r="C22" s="133"/>
      <c r="D22" s="119"/>
      <c r="E22" s="119"/>
      <c r="F22" s="119"/>
      <c r="G22" s="119"/>
      <c r="H22" s="84" t="s">
        <v>5</v>
      </c>
      <c r="I22" s="52"/>
      <c r="J22" s="52"/>
      <c r="K22" s="52"/>
      <c r="L22" s="52"/>
      <c r="M22" s="52"/>
      <c r="N22" s="52"/>
      <c r="O22" s="52"/>
      <c r="P22" s="119"/>
    </row>
    <row r="23" spans="2:17" ht="39.75" customHeight="1" outlineLevel="1" x14ac:dyDescent="0.2">
      <c r="B23" s="117" t="s">
        <v>1848</v>
      </c>
      <c r="C23" s="117"/>
      <c r="D23" s="117" t="s">
        <v>223</v>
      </c>
      <c r="E23" s="117" t="s">
        <v>171</v>
      </c>
      <c r="F23" s="117"/>
      <c r="G23" s="117" t="s">
        <v>107</v>
      </c>
      <c r="H23" s="84" t="s">
        <v>3</v>
      </c>
      <c r="I23" s="83">
        <f t="shared" ref="I23:I28" si="7">SUM(J23:O23)</f>
        <v>145.56</v>
      </c>
      <c r="J23" s="83">
        <f t="shared" ref="J23:O23" si="8">J24+J25+J26</f>
        <v>48.01</v>
      </c>
      <c r="K23" s="83">
        <f t="shared" si="8"/>
        <v>22.06</v>
      </c>
      <c r="L23" s="83">
        <f t="shared" si="8"/>
        <v>22.36</v>
      </c>
      <c r="M23" s="83">
        <f t="shared" si="8"/>
        <v>22.67</v>
      </c>
      <c r="N23" s="83">
        <f t="shared" si="8"/>
        <v>22.9</v>
      </c>
      <c r="O23" s="83">
        <f t="shared" si="8"/>
        <v>7.56</v>
      </c>
      <c r="P23" s="117"/>
    </row>
    <row r="24" spans="2:17" outlineLevel="1" x14ac:dyDescent="0.2">
      <c r="B24" s="118"/>
      <c r="C24" s="132"/>
      <c r="D24" s="118"/>
      <c r="E24" s="118"/>
      <c r="F24" s="118"/>
      <c r="G24" s="118"/>
      <c r="H24" s="84" t="s">
        <v>4</v>
      </c>
      <c r="I24" s="83">
        <f t="shared" si="7"/>
        <v>103.29</v>
      </c>
      <c r="J24" s="83">
        <v>6.15</v>
      </c>
      <c r="K24" s="83">
        <v>22</v>
      </c>
      <c r="L24" s="83">
        <v>22.3</v>
      </c>
      <c r="M24" s="83">
        <v>22.6</v>
      </c>
      <c r="N24" s="83">
        <v>22.8</v>
      </c>
      <c r="O24" s="83">
        <v>7.44</v>
      </c>
      <c r="P24" s="118"/>
    </row>
    <row r="25" spans="2:17" outlineLevel="1" x14ac:dyDescent="0.2">
      <c r="B25" s="118"/>
      <c r="C25" s="132"/>
      <c r="D25" s="118"/>
      <c r="E25" s="118"/>
      <c r="F25" s="118"/>
      <c r="G25" s="118"/>
      <c r="H25" s="84" t="s">
        <v>6</v>
      </c>
      <c r="I25" s="83">
        <f t="shared" si="7"/>
        <v>39.639999999999993</v>
      </c>
      <c r="J25" s="83">
        <v>39.33</v>
      </c>
      <c r="K25" s="83">
        <v>0.04</v>
      </c>
      <c r="L25" s="83">
        <v>0.04</v>
      </c>
      <c r="M25" s="83">
        <v>0.05</v>
      </c>
      <c r="N25" s="83">
        <v>0.08</v>
      </c>
      <c r="O25" s="83">
        <v>0.1</v>
      </c>
      <c r="P25" s="118"/>
    </row>
    <row r="26" spans="2:17" outlineLevel="1" x14ac:dyDescent="0.2">
      <c r="B26" s="119"/>
      <c r="C26" s="133"/>
      <c r="D26" s="119"/>
      <c r="E26" s="119"/>
      <c r="F26" s="119"/>
      <c r="G26" s="119"/>
      <c r="H26" s="84" t="s">
        <v>5</v>
      </c>
      <c r="I26" s="83">
        <f t="shared" si="7"/>
        <v>2.63</v>
      </c>
      <c r="J26" s="83">
        <v>2.5299999999999998</v>
      </c>
      <c r="K26" s="83">
        <v>0.02</v>
      </c>
      <c r="L26" s="83">
        <v>0.02</v>
      </c>
      <c r="M26" s="83">
        <v>0.02</v>
      </c>
      <c r="N26" s="83">
        <v>0.02</v>
      </c>
      <c r="O26" s="83">
        <v>0.02</v>
      </c>
      <c r="P26" s="119"/>
    </row>
    <row r="27" spans="2:17" ht="42.75" outlineLevel="1" x14ac:dyDescent="0.2">
      <c r="B27" s="117" t="s">
        <v>1849</v>
      </c>
      <c r="C27" s="117"/>
      <c r="D27" s="117" t="s">
        <v>285</v>
      </c>
      <c r="E27" s="117" t="s">
        <v>171</v>
      </c>
      <c r="F27" s="117"/>
      <c r="G27" s="117" t="s">
        <v>115</v>
      </c>
      <c r="H27" s="84" t="s">
        <v>3</v>
      </c>
      <c r="I27" s="83">
        <f t="shared" si="7"/>
        <v>50</v>
      </c>
      <c r="J27" s="83">
        <v>0</v>
      </c>
      <c r="K27" s="83">
        <f t="shared" ref="K27:O27" si="9">K28+K29+K30</f>
        <v>30</v>
      </c>
      <c r="L27" s="83">
        <f t="shared" si="9"/>
        <v>20</v>
      </c>
      <c r="M27" s="83">
        <f t="shared" si="9"/>
        <v>0</v>
      </c>
      <c r="N27" s="83">
        <f t="shared" si="9"/>
        <v>0</v>
      </c>
      <c r="O27" s="83">
        <f t="shared" si="9"/>
        <v>0</v>
      </c>
      <c r="P27" s="117"/>
    </row>
    <row r="28" spans="2:17" ht="17.25" outlineLevel="1" x14ac:dyDescent="0.2">
      <c r="B28" s="118"/>
      <c r="C28" s="132"/>
      <c r="D28" s="118"/>
      <c r="E28" s="118"/>
      <c r="F28" s="118"/>
      <c r="G28" s="118"/>
      <c r="H28" s="84" t="s">
        <v>4</v>
      </c>
      <c r="I28" s="83">
        <f t="shared" si="7"/>
        <v>50</v>
      </c>
      <c r="J28" s="52"/>
      <c r="K28" s="52">
        <v>30</v>
      </c>
      <c r="L28" s="52">
        <v>20</v>
      </c>
      <c r="M28" s="52"/>
      <c r="N28" s="52"/>
      <c r="O28" s="52"/>
      <c r="P28" s="118"/>
    </row>
    <row r="29" spans="2:17" ht="17.25" outlineLevel="1" x14ac:dyDescent="0.2">
      <c r="B29" s="118"/>
      <c r="C29" s="132"/>
      <c r="D29" s="118"/>
      <c r="E29" s="118"/>
      <c r="F29" s="118"/>
      <c r="G29" s="118"/>
      <c r="H29" s="84" t="s">
        <v>6</v>
      </c>
      <c r="I29" s="52"/>
      <c r="J29" s="52"/>
      <c r="K29" s="52"/>
      <c r="L29" s="52"/>
      <c r="M29" s="52"/>
      <c r="N29" s="52"/>
      <c r="O29" s="52"/>
      <c r="P29" s="118"/>
    </row>
    <row r="30" spans="2:17" ht="17.25" outlineLevel="1" x14ac:dyDescent="0.2">
      <c r="B30" s="119"/>
      <c r="C30" s="133"/>
      <c r="D30" s="119"/>
      <c r="E30" s="119"/>
      <c r="F30" s="119"/>
      <c r="G30" s="119"/>
      <c r="H30" s="84" t="s">
        <v>5</v>
      </c>
      <c r="I30" s="52"/>
      <c r="J30" s="52"/>
      <c r="K30" s="52"/>
      <c r="L30" s="52"/>
      <c r="M30" s="52"/>
      <c r="N30" s="52"/>
      <c r="O30" s="52"/>
      <c r="P30" s="119"/>
    </row>
    <row r="31" spans="2:17" ht="42.75" x14ac:dyDescent="0.2">
      <c r="B31" s="128" t="s">
        <v>288</v>
      </c>
      <c r="C31" s="128" t="s">
        <v>38</v>
      </c>
      <c r="D31" s="128" t="s">
        <v>38</v>
      </c>
      <c r="E31" s="128" t="s">
        <v>38</v>
      </c>
      <c r="F31" s="128" t="s">
        <v>38</v>
      </c>
      <c r="G31" s="128" t="s">
        <v>38</v>
      </c>
      <c r="H31" s="84" t="s">
        <v>3</v>
      </c>
      <c r="I31" s="14">
        <f>SUMIF($H$19:$H$30,"Объем*",I$19:I$30)</f>
        <v>505.19</v>
      </c>
      <c r="J31" s="14">
        <f t="shared" ref="J31:O31" si="10">SUMIF($H$19:$H$30,"Объем*",J$19:J$30)</f>
        <v>48.01</v>
      </c>
      <c r="K31" s="14">
        <f t="shared" si="10"/>
        <v>129.36000000000001</v>
      </c>
      <c r="L31" s="14">
        <f t="shared" si="10"/>
        <v>110.76</v>
      </c>
      <c r="M31" s="14">
        <f t="shared" si="10"/>
        <v>91.17</v>
      </c>
      <c r="N31" s="14">
        <f t="shared" si="10"/>
        <v>90.199999999999989</v>
      </c>
      <c r="O31" s="14">
        <f t="shared" si="10"/>
        <v>35.69</v>
      </c>
      <c r="P31" s="128"/>
      <c r="Q31" s="7"/>
    </row>
    <row r="32" spans="2:17" ht="15.75" x14ac:dyDescent="0.2">
      <c r="B32" s="129"/>
      <c r="C32" s="129"/>
      <c r="D32" s="129"/>
      <c r="E32" s="129"/>
      <c r="F32" s="129"/>
      <c r="G32" s="129"/>
      <c r="H32" s="84" t="s">
        <v>4</v>
      </c>
      <c r="I32" s="14">
        <f>SUMIF($H$19:$H$30,"фед*",I$19:I$30)</f>
        <v>462.92</v>
      </c>
      <c r="J32" s="14">
        <f t="shared" ref="J32:O32" si="11">SUMIF($H$19:$H$30,"фед*",J$19:J$30)</f>
        <v>6.15</v>
      </c>
      <c r="K32" s="14">
        <f t="shared" si="11"/>
        <v>129.30000000000001</v>
      </c>
      <c r="L32" s="14">
        <f t="shared" si="11"/>
        <v>110.7</v>
      </c>
      <c r="M32" s="14">
        <f t="shared" si="11"/>
        <v>91.1</v>
      </c>
      <c r="N32" s="14">
        <f t="shared" si="11"/>
        <v>90.1</v>
      </c>
      <c r="O32" s="14">
        <f t="shared" si="11"/>
        <v>35.57</v>
      </c>
      <c r="P32" s="129"/>
    </row>
    <row r="33" spans="2:17" ht="15.75" x14ac:dyDescent="0.2">
      <c r="B33" s="129"/>
      <c r="C33" s="129"/>
      <c r="D33" s="129"/>
      <c r="E33" s="129"/>
      <c r="F33" s="129"/>
      <c r="G33" s="129"/>
      <c r="H33" s="84" t="s">
        <v>6</v>
      </c>
      <c r="I33" s="14">
        <f>SUMIF($H$19:$H$30,"конс*",I$19:I$30)</f>
        <v>39.639999999999993</v>
      </c>
      <c r="J33" s="14">
        <f t="shared" ref="J33:O33" si="12">SUMIF($H$19:$H$30,"конс*",J$19:J$30)</f>
        <v>39.33</v>
      </c>
      <c r="K33" s="14">
        <f t="shared" si="12"/>
        <v>0.04</v>
      </c>
      <c r="L33" s="14">
        <f t="shared" si="12"/>
        <v>0.04</v>
      </c>
      <c r="M33" s="14">
        <f t="shared" si="12"/>
        <v>0.05</v>
      </c>
      <c r="N33" s="14">
        <f t="shared" si="12"/>
        <v>0.08</v>
      </c>
      <c r="O33" s="14">
        <f t="shared" si="12"/>
        <v>0.1</v>
      </c>
      <c r="P33" s="129"/>
    </row>
    <row r="34" spans="2:17" ht="15.75" x14ac:dyDescent="0.2">
      <c r="B34" s="130"/>
      <c r="C34" s="130"/>
      <c r="D34" s="130"/>
      <c r="E34" s="130"/>
      <c r="F34" s="130"/>
      <c r="G34" s="130"/>
      <c r="H34" s="84" t="s">
        <v>5</v>
      </c>
      <c r="I34" s="14">
        <f>SUMIF($H$19:$H$30,"вне*",I$19:I$30)</f>
        <v>2.63</v>
      </c>
      <c r="J34" s="14">
        <f t="shared" ref="J34:O34" si="13">SUMIF($H$19:$H$30,"вне*",J$19:J$30)</f>
        <v>2.5299999999999998</v>
      </c>
      <c r="K34" s="14">
        <f t="shared" si="13"/>
        <v>0.02</v>
      </c>
      <c r="L34" s="14">
        <f t="shared" si="13"/>
        <v>0.02</v>
      </c>
      <c r="M34" s="14">
        <f t="shared" si="13"/>
        <v>0.02</v>
      </c>
      <c r="N34" s="14">
        <f t="shared" si="13"/>
        <v>0.02</v>
      </c>
      <c r="O34" s="14">
        <f t="shared" si="13"/>
        <v>0.02</v>
      </c>
      <c r="P34" s="130"/>
    </row>
    <row r="35" spans="2:17" ht="25.5" customHeight="1" x14ac:dyDescent="0.2">
      <c r="B35" s="111" t="s">
        <v>602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15"/>
    </row>
    <row r="36" spans="2:17" ht="42.75" outlineLevel="1" x14ac:dyDescent="0.2">
      <c r="B36" s="117" t="s">
        <v>1850</v>
      </c>
      <c r="C36" s="117"/>
      <c r="D36" s="117" t="s">
        <v>604</v>
      </c>
      <c r="E36" s="117" t="s">
        <v>203</v>
      </c>
      <c r="F36" s="117" t="s">
        <v>1851</v>
      </c>
      <c r="G36" s="117" t="s">
        <v>606</v>
      </c>
      <c r="H36" s="84" t="s">
        <v>3</v>
      </c>
      <c r="I36" s="83">
        <f>SUM(J36:O36)</f>
        <v>12</v>
      </c>
      <c r="J36" s="83">
        <f t="shared" ref="J36:O36" si="14">J37+J38+J39</f>
        <v>12</v>
      </c>
      <c r="K36" s="83">
        <f t="shared" si="14"/>
        <v>0</v>
      </c>
      <c r="L36" s="83">
        <f t="shared" si="14"/>
        <v>0</v>
      </c>
      <c r="M36" s="83">
        <f t="shared" si="14"/>
        <v>0</v>
      </c>
      <c r="N36" s="83">
        <f t="shared" si="14"/>
        <v>0</v>
      </c>
      <c r="O36" s="83">
        <f t="shared" si="14"/>
        <v>0</v>
      </c>
      <c r="P36" s="117"/>
    </row>
    <row r="37" spans="2:17" ht="17.25" outlineLevel="1" x14ac:dyDescent="0.2">
      <c r="B37" s="118"/>
      <c r="C37" s="132"/>
      <c r="D37" s="118"/>
      <c r="E37" s="118"/>
      <c r="F37" s="118"/>
      <c r="G37" s="118"/>
      <c r="H37" s="84" t="s">
        <v>4</v>
      </c>
      <c r="I37" s="52"/>
      <c r="J37" s="52"/>
      <c r="K37" s="52"/>
      <c r="L37" s="52"/>
      <c r="M37" s="52"/>
      <c r="N37" s="52"/>
      <c r="O37" s="52"/>
      <c r="P37" s="118"/>
    </row>
    <row r="38" spans="2:17" ht="17.25" outlineLevel="1" x14ac:dyDescent="0.2">
      <c r="B38" s="118"/>
      <c r="C38" s="132"/>
      <c r="D38" s="118"/>
      <c r="E38" s="118"/>
      <c r="F38" s="118"/>
      <c r="G38" s="118"/>
      <c r="H38" s="84" t="s">
        <v>6</v>
      </c>
      <c r="I38" s="83">
        <f>SUM(J38:O38)</f>
        <v>12</v>
      </c>
      <c r="J38" s="52">
        <v>12</v>
      </c>
      <c r="K38" s="52"/>
      <c r="L38" s="52"/>
      <c r="M38" s="52"/>
      <c r="N38" s="52"/>
      <c r="O38" s="52"/>
      <c r="P38" s="118"/>
    </row>
    <row r="39" spans="2:17" ht="17.25" outlineLevel="1" x14ac:dyDescent="0.2">
      <c r="B39" s="119"/>
      <c r="C39" s="133"/>
      <c r="D39" s="119"/>
      <c r="E39" s="119"/>
      <c r="F39" s="119"/>
      <c r="G39" s="119"/>
      <c r="H39" s="84" t="s">
        <v>5</v>
      </c>
      <c r="I39" s="52"/>
      <c r="J39" s="52"/>
      <c r="K39" s="52"/>
      <c r="L39" s="52"/>
      <c r="M39" s="52"/>
      <c r="N39" s="52"/>
      <c r="O39" s="52"/>
      <c r="P39" s="119"/>
    </row>
    <row r="40" spans="2:17" ht="42.75" outlineLevel="1" x14ac:dyDescent="0.2">
      <c r="B40" s="117" t="s">
        <v>1852</v>
      </c>
      <c r="C40" s="117"/>
      <c r="D40" s="117" t="s">
        <v>604</v>
      </c>
      <c r="E40" s="117" t="s">
        <v>203</v>
      </c>
      <c r="F40" s="117" t="s">
        <v>1853</v>
      </c>
      <c r="G40" s="117" t="s">
        <v>606</v>
      </c>
      <c r="H40" s="84" t="s">
        <v>3</v>
      </c>
      <c r="I40" s="83">
        <f>SUM(J40:O40)</f>
        <v>14</v>
      </c>
      <c r="J40" s="83">
        <f t="shared" ref="J40:O40" si="15">J41+J42+J43</f>
        <v>14</v>
      </c>
      <c r="K40" s="83">
        <f t="shared" si="15"/>
        <v>0</v>
      </c>
      <c r="L40" s="83">
        <f t="shared" si="15"/>
        <v>0</v>
      </c>
      <c r="M40" s="83">
        <f t="shared" si="15"/>
        <v>0</v>
      </c>
      <c r="N40" s="83">
        <f t="shared" si="15"/>
        <v>0</v>
      </c>
      <c r="O40" s="83">
        <f t="shared" si="15"/>
        <v>0</v>
      </c>
      <c r="P40" s="117">
        <v>28000</v>
      </c>
    </row>
    <row r="41" spans="2:17" ht="17.25" outlineLevel="1" x14ac:dyDescent="0.2">
      <c r="B41" s="118"/>
      <c r="C41" s="132"/>
      <c r="D41" s="118"/>
      <c r="E41" s="118"/>
      <c r="F41" s="118"/>
      <c r="G41" s="118"/>
      <c r="H41" s="84" t="s">
        <v>4</v>
      </c>
      <c r="I41" s="52"/>
      <c r="J41" s="52"/>
      <c r="K41" s="52"/>
      <c r="L41" s="52"/>
      <c r="M41" s="52"/>
      <c r="N41" s="52"/>
      <c r="O41" s="52"/>
      <c r="P41" s="118"/>
    </row>
    <row r="42" spans="2:17" ht="17.25" outlineLevel="1" x14ac:dyDescent="0.2">
      <c r="B42" s="118"/>
      <c r="C42" s="132"/>
      <c r="D42" s="118"/>
      <c r="E42" s="118"/>
      <c r="F42" s="118"/>
      <c r="G42" s="118"/>
      <c r="H42" s="84" t="s">
        <v>6</v>
      </c>
      <c r="I42" s="83">
        <f>SUM(J42:O42)</f>
        <v>14</v>
      </c>
      <c r="J42" s="52">
        <v>14</v>
      </c>
      <c r="K42" s="52"/>
      <c r="L42" s="52"/>
      <c r="M42" s="52"/>
      <c r="N42" s="52"/>
      <c r="O42" s="52"/>
      <c r="P42" s="118"/>
    </row>
    <row r="43" spans="2:17" ht="17.25" outlineLevel="1" x14ac:dyDescent="0.2">
      <c r="B43" s="119"/>
      <c r="C43" s="133"/>
      <c r="D43" s="119"/>
      <c r="E43" s="119"/>
      <c r="F43" s="119"/>
      <c r="G43" s="119"/>
      <c r="H43" s="84" t="s">
        <v>5</v>
      </c>
      <c r="I43" s="52"/>
      <c r="J43" s="52"/>
      <c r="K43" s="52"/>
      <c r="L43" s="52"/>
      <c r="M43" s="52"/>
      <c r="N43" s="52"/>
      <c r="O43" s="52"/>
      <c r="P43" s="119"/>
    </row>
    <row r="44" spans="2:17" ht="42.75" x14ac:dyDescent="0.2">
      <c r="B44" s="128" t="s">
        <v>612</v>
      </c>
      <c r="C44" s="128" t="s">
        <v>38</v>
      </c>
      <c r="D44" s="128" t="s">
        <v>38</v>
      </c>
      <c r="E44" s="128" t="s">
        <v>38</v>
      </c>
      <c r="F44" s="128" t="s">
        <v>38</v>
      </c>
      <c r="G44" s="128" t="s">
        <v>38</v>
      </c>
      <c r="H44" s="84" t="s">
        <v>3</v>
      </c>
      <c r="I44" s="14">
        <f>SUMIF($H$36:$H$43,"Объем*",I$36:I$43)</f>
        <v>26</v>
      </c>
      <c r="J44" s="14">
        <f t="shared" ref="J44:O44" si="16">SUMIF($H$36:$H$43,"Объем*",J$36:J$43)</f>
        <v>26</v>
      </c>
      <c r="K44" s="14">
        <f t="shared" si="16"/>
        <v>0</v>
      </c>
      <c r="L44" s="14">
        <f t="shared" si="16"/>
        <v>0</v>
      </c>
      <c r="M44" s="14">
        <f t="shared" si="16"/>
        <v>0</v>
      </c>
      <c r="N44" s="14">
        <f t="shared" si="16"/>
        <v>0</v>
      </c>
      <c r="O44" s="14">
        <f t="shared" si="16"/>
        <v>0</v>
      </c>
      <c r="P44" s="128"/>
      <c r="Q44" s="7"/>
    </row>
    <row r="45" spans="2:17" ht="15.75" x14ac:dyDescent="0.2">
      <c r="B45" s="129"/>
      <c r="C45" s="129"/>
      <c r="D45" s="129"/>
      <c r="E45" s="129"/>
      <c r="F45" s="129"/>
      <c r="G45" s="129"/>
      <c r="H45" s="84" t="s">
        <v>4</v>
      </c>
      <c r="I45" s="14">
        <f>SUMIF($H$36:$H$43,"фед*",I$36:I$43)</f>
        <v>0</v>
      </c>
      <c r="J45" s="14">
        <f t="shared" ref="J45:O45" si="17">SUMIF($H$36:$H$43,"фед*",J$36:J$43)</f>
        <v>0</v>
      </c>
      <c r="K45" s="14">
        <f t="shared" si="17"/>
        <v>0</v>
      </c>
      <c r="L45" s="14">
        <f t="shared" si="17"/>
        <v>0</v>
      </c>
      <c r="M45" s="14">
        <f t="shared" si="17"/>
        <v>0</v>
      </c>
      <c r="N45" s="14">
        <f t="shared" si="17"/>
        <v>0</v>
      </c>
      <c r="O45" s="14">
        <f t="shared" si="17"/>
        <v>0</v>
      </c>
      <c r="P45" s="129"/>
    </row>
    <row r="46" spans="2:17" ht="15.75" x14ac:dyDescent="0.2">
      <c r="B46" s="129"/>
      <c r="C46" s="129"/>
      <c r="D46" s="129"/>
      <c r="E46" s="129"/>
      <c r="F46" s="129"/>
      <c r="G46" s="129"/>
      <c r="H46" s="84" t="s">
        <v>6</v>
      </c>
      <c r="I46" s="14">
        <f>SUMIF($H$36:$H$43,"конс*",I$36:I$43)</f>
        <v>26</v>
      </c>
      <c r="J46" s="14">
        <f t="shared" ref="J46:O46" si="18">SUMIF($H$36:$H$43,"конс*",J$36:J$43)</f>
        <v>26</v>
      </c>
      <c r="K46" s="14">
        <f t="shared" si="18"/>
        <v>0</v>
      </c>
      <c r="L46" s="14">
        <f t="shared" si="18"/>
        <v>0</v>
      </c>
      <c r="M46" s="14">
        <f t="shared" si="18"/>
        <v>0</v>
      </c>
      <c r="N46" s="14">
        <f t="shared" si="18"/>
        <v>0</v>
      </c>
      <c r="O46" s="14">
        <f t="shared" si="18"/>
        <v>0</v>
      </c>
      <c r="P46" s="129"/>
    </row>
    <row r="47" spans="2:17" ht="15.75" x14ac:dyDescent="0.2">
      <c r="B47" s="130"/>
      <c r="C47" s="130"/>
      <c r="D47" s="130"/>
      <c r="E47" s="130"/>
      <c r="F47" s="130"/>
      <c r="G47" s="130"/>
      <c r="H47" s="84" t="s">
        <v>5</v>
      </c>
      <c r="I47" s="14">
        <f>SUMIF($H$36:$H$43,"вне*",I$36:I$43)</f>
        <v>0</v>
      </c>
      <c r="J47" s="14">
        <f t="shared" ref="J47:O47" si="19">SUMIF($H$36:$H$43,"вне*",J$36:J$43)</f>
        <v>0</v>
      </c>
      <c r="K47" s="14">
        <f t="shared" si="19"/>
        <v>0</v>
      </c>
      <c r="L47" s="14">
        <f t="shared" si="19"/>
        <v>0</v>
      </c>
      <c r="M47" s="14">
        <f t="shared" si="19"/>
        <v>0</v>
      </c>
      <c r="N47" s="14">
        <f t="shared" si="19"/>
        <v>0</v>
      </c>
      <c r="O47" s="14">
        <f t="shared" si="19"/>
        <v>0</v>
      </c>
      <c r="P47" s="130"/>
    </row>
    <row r="48" spans="2:17" ht="42.75" x14ac:dyDescent="0.2">
      <c r="B48" s="128" t="s">
        <v>77</v>
      </c>
      <c r="C48" s="128" t="s">
        <v>38</v>
      </c>
      <c r="D48" s="128" t="s">
        <v>38</v>
      </c>
      <c r="E48" s="128" t="s">
        <v>38</v>
      </c>
      <c r="F48" s="128" t="s">
        <v>38</v>
      </c>
      <c r="G48" s="128" t="s">
        <v>38</v>
      </c>
      <c r="H48" s="84" t="s">
        <v>3</v>
      </c>
      <c r="I48" s="14">
        <f>I14+I31+I44</f>
        <v>549.89</v>
      </c>
      <c r="J48" s="14">
        <f t="shared" ref="J48:O48" si="20">J14+J31+J44</f>
        <v>74.009999999999991</v>
      </c>
      <c r="K48" s="14">
        <f t="shared" si="20"/>
        <v>129.36000000000001</v>
      </c>
      <c r="L48" s="14">
        <f t="shared" si="20"/>
        <v>129.46</v>
      </c>
      <c r="M48" s="14">
        <f t="shared" si="20"/>
        <v>91.17</v>
      </c>
      <c r="N48" s="14">
        <f t="shared" si="20"/>
        <v>90.199999999999989</v>
      </c>
      <c r="O48" s="14">
        <f t="shared" si="20"/>
        <v>35.69</v>
      </c>
      <c r="P48" s="128"/>
      <c r="Q48" s="7"/>
    </row>
    <row r="49" spans="2:17" ht="15.75" x14ac:dyDescent="0.2">
      <c r="B49" s="129"/>
      <c r="C49" s="129"/>
      <c r="D49" s="129"/>
      <c r="E49" s="129"/>
      <c r="F49" s="129"/>
      <c r="G49" s="129"/>
      <c r="H49" s="84" t="s">
        <v>4</v>
      </c>
      <c r="I49" s="14">
        <f t="shared" ref="I49:O51" si="21">I15+I32+I45</f>
        <v>462.92</v>
      </c>
      <c r="J49" s="14">
        <f t="shared" si="21"/>
        <v>6.15</v>
      </c>
      <c r="K49" s="14">
        <f t="shared" si="21"/>
        <v>129.30000000000001</v>
      </c>
      <c r="L49" s="14">
        <f t="shared" si="21"/>
        <v>110.7</v>
      </c>
      <c r="M49" s="14">
        <f t="shared" si="21"/>
        <v>91.1</v>
      </c>
      <c r="N49" s="14">
        <f t="shared" si="21"/>
        <v>90.1</v>
      </c>
      <c r="O49" s="14">
        <f t="shared" si="21"/>
        <v>35.57</v>
      </c>
      <c r="P49" s="129"/>
      <c r="Q49" s="7"/>
    </row>
    <row r="50" spans="2:17" ht="15.75" x14ac:dyDescent="0.2">
      <c r="B50" s="129"/>
      <c r="C50" s="129"/>
      <c r="D50" s="129"/>
      <c r="E50" s="129"/>
      <c r="F50" s="129"/>
      <c r="G50" s="129"/>
      <c r="H50" s="84" t="s">
        <v>6</v>
      </c>
      <c r="I50" s="14">
        <f t="shared" si="21"/>
        <v>84.339999999999989</v>
      </c>
      <c r="J50" s="14">
        <f t="shared" si="21"/>
        <v>65.33</v>
      </c>
      <c r="K50" s="14">
        <f t="shared" si="21"/>
        <v>0.04</v>
      </c>
      <c r="L50" s="14">
        <f t="shared" si="21"/>
        <v>18.739999999999998</v>
      </c>
      <c r="M50" s="14">
        <f t="shared" si="21"/>
        <v>0.05</v>
      </c>
      <c r="N50" s="14">
        <f t="shared" si="21"/>
        <v>0.08</v>
      </c>
      <c r="O50" s="14">
        <f t="shared" si="21"/>
        <v>0.1</v>
      </c>
      <c r="P50" s="129"/>
      <c r="Q50" s="7"/>
    </row>
    <row r="51" spans="2:17" ht="15.75" x14ac:dyDescent="0.2">
      <c r="B51" s="130"/>
      <c r="C51" s="130"/>
      <c r="D51" s="130"/>
      <c r="E51" s="130"/>
      <c r="F51" s="130"/>
      <c r="G51" s="130"/>
      <c r="H51" s="84" t="s">
        <v>5</v>
      </c>
      <c r="I51" s="14">
        <f t="shared" si="21"/>
        <v>2.63</v>
      </c>
      <c r="J51" s="14">
        <f t="shared" si="21"/>
        <v>2.5299999999999998</v>
      </c>
      <c r="K51" s="14">
        <f t="shared" si="21"/>
        <v>0.02</v>
      </c>
      <c r="L51" s="14">
        <f t="shared" si="21"/>
        <v>0.02</v>
      </c>
      <c r="M51" s="14">
        <f t="shared" si="21"/>
        <v>0.02</v>
      </c>
      <c r="N51" s="14">
        <f t="shared" si="21"/>
        <v>0.02</v>
      </c>
      <c r="O51" s="14">
        <f t="shared" si="21"/>
        <v>0.02</v>
      </c>
      <c r="P51" s="130"/>
      <c r="Q51" s="7"/>
    </row>
    <row r="52" spans="2:17" x14ac:dyDescent="0.2">
      <c r="Q52" s="7"/>
    </row>
  </sheetData>
  <mergeCells count="89">
    <mergeCell ref="P48:P51"/>
    <mergeCell ref="B48:B51"/>
    <mergeCell ref="C48:C51"/>
    <mergeCell ref="D48:D51"/>
    <mergeCell ref="E48:E51"/>
    <mergeCell ref="F48:F51"/>
    <mergeCell ref="G48:G51"/>
    <mergeCell ref="P40:P43"/>
    <mergeCell ref="B44:B47"/>
    <mergeCell ref="C44:C47"/>
    <mergeCell ref="D44:D47"/>
    <mergeCell ref="E44:E47"/>
    <mergeCell ref="F44:F47"/>
    <mergeCell ref="G44:G47"/>
    <mergeCell ref="P44:P47"/>
    <mergeCell ref="B40:B43"/>
    <mergeCell ref="C40:C43"/>
    <mergeCell ref="D40:D43"/>
    <mergeCell ref="E40:E43"/>
    <mergeCell ref="F40:F43"/>
    <mergeCell ref="G40:G43"/>
    <mergeCell ref="P31:P34"/>
    <mergeCell ref="B35:P35"/>
    <mergeCell ref="B36:B39"/>
    <mergeCell ref="C36:C39"/>
    <mergeCell ref="D36:D39"/>
    <mergeCell ref="E36:E39"/>
    <mergeCell ref="F36:F39"/>
    <mergeCell ref="G36:G39"/>
    <mergeCell ref="P36:P39"/>
    <mergeCell ref="B31:B34"/>
    <mergeCell ref="C31:C34"/>
    <mergeCell ref="D31:D34"/>
    <mergeCell ref="E31:E34"/>
    <mergeCell ref="F31:F34"/>
    <mergeCell ref="G31:G34"/>
    <mergeCell ref="P23:P26"/>
    <mergeCell ref="B27:B30"/>
    <mergeCell ref="C27:C30"/>
    <mergeCell ref="D27:D30"/>
    <mergeCell ref="E27:E30"/>
    <mergeCell ref="F27:F30"/>
    <mergeCell ref="G27:G30"/>
    <mergeCell ref="P27:P30"/>
    <mergeCell ref="B23:B26"/>
    <mergeCell ref="C23:C26"/>
    <mergeCell ref="D23:D26"/>
    <mergeCell ref="E23:E26"/>
    <mergeCell ref="F23:F26"/>
    <mergeCell ref="G23:G26"/>
    <mergeCell ref="B18:P18"/>
    <mergeCell ref="B19:B22"/>
    <mergeCell ref="C19:C22"/>
    <mergeCell ref="D19:D22"/>
    <mergeCell ref="E19:E22"/>
    <mergeCell ref="F19:F22"/>
    <mergeCell ref="G19:G22"/>
    <mergeCell ref="P19:P22"/>
    <mergeCell ref="P10:P13"/>
    <mergeCell ref="B14:B17"/>
    <mergeCell ref="C14:C17"/>
    <mergeCell ref="D14:D17"/>
    <mergeCell ref="E14:E17"/>
    <mergeCell ref="F14:F17"/>
    <mergeCell ref="G14:G17"/>
    <mergeCell ref="P14:P17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52:XFD1048576 I31:O51 I14:O17 A3:C4 E3:G4 I4:XFD4 P3:XFD3 A1:XFD2">
    <cfRule type="cellIs" dxfId="3" priority="4" operator="equal">
      <formula>0</formula>
    </cfRule>
  </conditionalFormatting>
  <conditionalFormatting sqref="D3:D4">
    <cfRule type="cellIs" dxfId="2" priority="3" operator="equal">
      <formula>0</formula>
    </cfRule>
  </conditionalFormatting>
  <conditionalFormatting sqref="H4">
    <cfRule type="cellIs" dxfId="1" priority="2" operator="equal">
      <formula>0</formula>
    </cfRule>
  </conditionalFormatting>
  <conditionalFormatting sqref="H3:O3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CC50-7A3B-4317-A3E3-6D38727F1127}">
  <sheetPr>
    <pageSetUpPr fitToPage="1"/>
  </sheetPr>
  <dimension ref="B1:Q94"/>
  <sheetViews>
    <sheetView showZeros="0" topLeftCell="B1" zoomScale="85" zoomScaleNormal="85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285156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4" width="9.85546875" style="2" bestFit="1" customWidth="1"/>
    <col min="15" max="15" width="9.28515625" style="2" bestFit="1" customWidth="1"/>
    <col min="16" max="16" width="11" style="2" customWidth="1"/>
    <col min="17" max="17" width="10.85546875" style="2" bestFit="1" customWidth="1"/>
    <col min="18" max="16384" width="9.140625" style="2"/>
  </cols>
  <sheetData>
    <row r="1" spans="2:16" ht="21.75" customHeight="1" x14ac:dyDescent="0.25">
      <c r="B1" s="120" t="s">
        <v>22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6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6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6" ht="16.5" x14ac:dyDescent="0.2">
      <c r="B5" s="111" t="s">
        <v>32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42.75" outlineLevel="1" x14ac:dyDescent="0.2">
      <c r="B6" s="114" t="s">
        <v>33</v>
      </c>
      <c r="C6" s="114"/>
      <c r="D6" s="114" t="s">
        <v>32</v>
      </c>
      <c r="E6" s="114" t="s">
        <v>34</v>
      </c>
      <c r="F6" s="114" t="s">
        <v>35</v>
      </c>
      <c r="G6" s="114" t="s">
        <v>36</v>
      </c>
      <c r="H6" s="84" t="s">
        <v>3</v>
      </c>
      <c r="I6" s="85">
        <f>SUM(J6:O6)</f>
        <v>9.3000000000000007</v>
      </c>
      <c r="J6" s="83">
        <f t="shared" ref="J6:O6" si="0">J7+J8+J9</f>
        <v>0</v>
      </c>
      <c r="K6" s="83">
        <f t="shared" si="0"/>
        <v>3.1</v>
      </c>
      <c r="L6" s="83">
        <f t="shared" si="0"/>
        <v>3.1</v>
      </c>
      <c r="M6" s="83">
        <f t="shared" si="0"/>
        <v>3.1</v>
      </c>
      <c r="N6" s="83">
        <f t="shared" si="0"/>
        <v>0</v>
      </c>
      <c r="O6" s="83">
        <f t="shared" si="0"/>
        <v>0</v>
      </c>
      <c r="P6" s="117"/>
    </row>
    <row r="7" spans="2:16" outlineLevel="1" x14ac:dyDescent="0.2">
      <c r="B7" s="115"/>
      <c r="C7" s="115"/>
      <c r="D7" s="115"/>
      <c r="E7" s="115"/>
      <c r="F7" s="115"/>
      <c r="G7" s="115"/>
      <c r="H7" s="84" t="s">
        <v>4</v>
      </c>
      <c r="I7" s="85">
        <f>SUM(J7:O7)</f>
        <v>0</v>
      </c>
      <c r="J7" s="83"/>
      <c r="K7" s="83"/>
      <c r="L7" s="83"/>
      <c r="M7" s="83"/>
      <c r="N7" s="83"/>
      <c r="O7" s="83"/>
      <c r="P7" s="118"/>
    </row>
    <row r="8" spans="2:16" outlineLevel="1" x14ac:dyDescent="0.2">
      <c r="B8" s="115"/>
      <c r="C8" s="115"/>
      <c r="D8" s="115"/>
      <c r="E8" s="115"/>
      <c r="F8" s="115"/>
      <c r="G8" s="115"/>
      <c r="H8" s="84" t="s">
        <v>6</v>
      </c>
      <c r="I8" s="85">
        <f>SUM(J8:O8)</f>
        <v>9.3000000000000007</v>
      </c>
      <c r="J8" s="83">
        <v>0</v>
      </c>
      <c r="K8" s="83">
        <v>3.1</v>
      </c>
      <c r="L8" s="83">
        <v>3.1</v>
      </c>
      <c r="M8" s="83">
        <v>3.1</v>
      </c>
      <c r="N8" s="83"/>
      <c r="O8" s="83">
        <v>0</v>
      </c>
      <c r="P8" s="118"/>
    </row>
    <row r="9" spans="2:16" outlineLevel="1" x14ac:dyDescent="0.2">
      <c r="B9" s="116"/>
      <c r="C9" s="116"/>
      <c r="D9" s="116"/>
      <c r="E9" s="116"/>
      <c r="F9" s="116"/>
      <c r="G9" s="116"/>
      <c r="H9" s="84" t="s">
        <v>5</v>
      </c>
      <c r="I9" s="13"/>
      <c r="J9" s="13"/>
      <c r="K9" s="13"/>
      <c r="L9" s="13"/>
      <c r="M9" s="13"/>
      <c r="N9" s="13"/>
      <c r="O9" s="13"/>
      <c r="P9" s="119"/>
    </row>
    <row r="10" spans="2:16" ht="42.75" x14ac:dyDescent="0.2">
      <c r="B10" s="128" t="s">
        <v>37</v>
      </c>
      <c r="C10" s="128" t="s">
        <v>38</v>
      </c>
      <c r="D10" s="128" t="s">
        <v>38</v>
      </c>
      <c r="E10" s="128" t="s">
        <v>38</v>
      </c>
      <c r="F10" s="128" t="s">
        <v>38</v>
      </c>
      <c r="G10" s="128" t="s">
        <v>38</v>
      </c>
      <c r="H10" s="84" t="s">
        <v>3</v>
      </c>
      <c r="I10" s="14">
        <f>SUMIF($H$5:$H$8,"Объем*",I$5:I$8)</f>
        <v>9.3000000000000007</v>
      </c>
      <c r="J10" s="14">
        <f t="shared" ref="J10:O10" si="1">SUMIF($H$5:$H$8,"Объем*",J$5:J$8)</f>
        <v>0</v>
      </c>
      <c r="K10" s="14">
        <f t="shared" si="1"/>
        <v>3.1</v>
      </c>
      <c r="L10" s="14">
        <f t="shared" si="1"/>
        <v>3.1</v>
      </c>
      <c r="M10" s="14">
        <f t="shared" si="1"/>
        <v>3.1</v>
      </c>
      <c r="N10" s="14">
        <f t="shared" si="1"/>
        <v>0</v>
      </c>
      <c r="O10" s="14">
        <f t="shared" si="1"/>
        <v>0</v>
      </c>
      <c r="P10" s="128"/>
    </row>
    <row r="11" spans="2:16" ht="15.75" x14ac:dyDescent="0.2">
      <c r="B11" s="129"/>
      <c r="C11" s="129"/>
      <c r="D11" s="129"/>
      <c r="E11" s="129"/>
      <c r="F11" s="129"/>
      <c r="G11" s="129"/>
      <c r="H11" s="84" t="s">
        <v>4</v>
      </c>
      <c r="I11" s="14">
        <f>SUMIF($H$5:$H$8,"фед*",I$5:I$8)</f>
        <v>0</v>
      </c>
      <c r="J11" s="14">
        <f t="shared" ref="J11:O11" si="2">SUMIF($H$5:$H$8,"фед*",J$5:J$8)</f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29"/>
    </row>
    <row r="12" spans="2:16" ht="15.75" x14ac:dyDescent="0.2">
      <c r="B12" s="129"/>
      <c r="C12" s="129"/>
      <c r="D12" s="129"/>
      <c r="E12" s="129"/>
      <c r="F12" s="129"/>
      <c r="G12" s="129"/>
      <c r="H12" s="84" t="s">
        <v>6</v>
      </c>
      <c r="I12" s="14">
        <f>SUMIF($H$5:$H$8,"конс*",I$5:I$8)</f>
        <v>9.3000000000000007</v>
      </c>
      <c r="J12" s="14">
        <f t="shared" ref="J12:O12" si="3">SUMIF($H$5:$H$8,"конс*",J$5:J$8)</f>
        <v>0</v>
      </c>
      <c r="K12" s="14">
        <f t="shared" si="3"/>
        <v>3.1</v>
      </c>
      <c r="L12" s="14">
        <f t="shared" si="3"/>
        <v>3.1</v>
      </c>
      <c r="M12" s="14">
        <f t="shared" si="3"/>
        <v>3.1</v>
      </c>
      <c r="N12" s="14">
        <f t="shared" si="3"/>
        <v>0</v>
      </c>
      <c r="O12" s="14">
        <f t="shared" si="3"/>
        <v>0</v>
      </c>
      <c r="P12" s="129"/>
    </row>
    <row r="13" spans="2:16" ht="15.75" x14ac:dyDescent="0.2">
      <c r="B13" s="130"/>
      <c r="C13" s="130"/>
      <c r="D13" s="130"/>
      <c r="E13" s="130"/>
      <c r="F13" s="130"/>
      <c r="G13" s="130"/>
      <c r="H13" s="84" t="s">
        <v>5</v>
      </c>
      <c r="I13" s="76">
        <f>SUMIF($H$5:$H$8,"вне*",I$5:I$8)</f>
        <v>0</v>
      </c>
      <c r="J13" s="76">
        <f t="shared" ref="J13:O13" si="4">SUMIF($H$5:$H$8,"вне*",J$5:J$8)</f>
        <v>0</v>
      </c>
      <c r="K13" s="76">
        <f t="shared" si="4"/>
        <v>0</v>
      </c>
      <c r="L13" s="76">
        <f t="shared" si="4"/>
        <v>0</v>
      </c>
      <c r="M13" s="76">
        <f t="shared" si="4"/>
        <v>0</v>
      </c>
      <c r="N13" s="76">
        <f t="shared" si="4"/>
        <v>0</v>
      </c>
      <c r="O13" s="76">
        <f t="shared" si="4"/>
        <v>0</v>
      </c>
      <c r="P13" s="130"/>
    </row>
    <row r="14" spans="2:16" ht="25.5" customHeight="1" x14ac:dyDescent="0.2">
      <c r="B14" s="131" t="s">
        <v>39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2:16" ht="42.75" customHeight="1" outlineLevel="1" x14ac:dyDescent="0.2">
      <c r="B15" s="117" t="s">
        <v>40</v>
      </c>
      <c r="C15" s="117"/>
      <c r="D15" s="117" t="s">
        <v>41</v>
      </c>
      <c r="E15" s="117">
        <v>2022</v>
      </c>
      <c r="F15" s="117"/>
      <c r="G15" s="117"/>
      <c r="H15" s="84" t="s">
        <v>3</v>
      </c>
      <c r="I15" s="83">
        <f>SUM(J15:O15)</f>
        <v>1</v>
      </c>
      <c r="J15" s="83">
        <f t="shared" ref="J15:O15" si="5">SUM(J16:J18)</f>
        <v>0</v>
      </c>
      <c r="K15" s="83">
        <f t="shared" si="5"/>
        <v>0</v>
      </c>
      <c r="L15" s="83">
        <f t="shared" si="5"/>
        <v>1</v>
      </c>
      <c r="M15" s="83">
        <f t="shared" si="5"/>
        <v>0</v>
      </c>
      <c r="N15" s="83">
        <f t="shared" si="5"/>
        <v>0</v>
      </c>
      <c r="O15" s="83">
        <f t="shared" si="5"/>
        <v>0</v>
      </c>
      <c r="P15" s="117"/>
    </row>
    <row r="16" spans="2:16" outlineLevel="1" x14ac:dyDescent="0.2">
      <c r="B16" s="118"/>
      <c r="C16" s="132"/>
      <c r="D16" s="118"/>
      <c r="E16" s="118"/>
      <c r="F16" s="118"/>
      <c r="G16" s="118"/>
      <c r="H16" s="84" t="s">
        <v>4</v>
      </c>
      <c r="I16" s="83">
        <f>SUM(J16:O16)</f>
        <v>0</v>
      </c>
      <c r="J16" s="83"/>
      <c r="K16" s="83"/>
      <c r="L16" s="83"/>
      <c r="M16" s="83"/>
      <c r="N16" s="83"/>
      <c r="O16" s="83"/>
      <c r="P16" s="118"/>
    </row>
    <row r="17" spans="2:17" outlineLevel="1" x14ac:dyDescent="0.2">
      <c r="B17" s="118"/>
      <c r="C17" s="132"/>
      <c r="D17" s="118"/>
      <c r="E17" s="118"/>
      <c r="F17" s="118"/>
      <c r="G17" s="118"/>
      <c r="H17" s="84" t="s">
        <v>6</v>
      </c>
      <c r="I17" s="83">
        <f>SUM(J17:O17)</f>
        <v>1</v>
      </c>
      <c r="J17" s="83"/>
      <c r="K17" s="83"/>
      <c r="L17" s="83">
        <v>1</v>
      </c>
      <c r="M17" s="83"/>
      <c r="N17" s="83"/>
      <c r="O17" s="83"/>
      <c r="P17" s="118"/>
    </row>
    <row r="18" spans="2:17" outlineLevel="1" x14ac:dyDescent="0.2">
      <c r="B18" s="119"/>
      <c r="C18" s="133"/>
      <c r="D18" s="119"/>
      <c r="E18" s="119"/>
      <c r="F18" s="119"/>
      <c r="G18" s="119"/>
      <c r="H18" s="84" t="s">
        <v>5</v>
      </c>
      <c r="I18" s="75"/>
      <c r="J18" s="83"/>
      <c r="K18" s="83"/>
      <c r="L18" s="83"/>
      <c r="M18" s="83"/>
      <c r="N18" s="83"/>
      <c r="O18" s="83"/>
      <c r="P18" s="119"/>
    </row>
    <row r="19" spans="2:17" ht="42.75" customHeight="1" outlineLevel="1" x14ac:dyDescent="0.2">
      <c r="B19" s="117" t="s">
        <v>42</v>
      </c>
      <c r="C19" s="117"/>
      <c r="D19" s="117" t="s">
        <v>43</v>
      </c>
      <c r="E19" s="117">
        <v>2022</v>
      </c>
      <c r="F19" s="117"/>
      <c r="G19" s="117"/>
      <c r="H19" s="84" t="s">
        <v>3</v>
      </c>
      <c r="I19" s="83">
        <f>SUM(J19:O19)</f>
        <v>1.2</v>
      </c>
      <c r="J19" s="83">
        <f t="shared" ref="J19:O19" si="6">SUM(J20:J22)</f>
        <v>0</v>
      </c>
      <c r="K19" s="83">
        <f t="shared" si="6"/>
        <v>0</v>
      </c>
      <c r="L19" s="83">
        <f t="shared" si="6"/>
        <v>1.2</v>
      </c>
      <c r="M19" s="83">
        <f t="shared" si="6"/>
        <v>0</v>
      </c>
      <c r="N19" s="83">
        <f t="shared" si="6"/>
        <v>0</v>
      </c>
      <c r="O19" s="83">
        <f t="shared" si="6"/>
        <v>0</v>
      </c>
      <c r="P19" s="117"/>
    </row>
    <row r="20" spans="2:17" outlineLevel="1" x14ac:dyDescent="0.2">
      <c r="B20" s="118"/>
      <c r="C20" s="132"/>
      <c r="D20" s="118"/>
      <c r="E20" s="118"/>
      <c r="F20" s="118"/>
      <c r="G20" s="118"/>
      <c r="H20" s="84" t="s">
        <v>4</v>
      </c>
      <c r="I20" s="83">
        <f>SUM(J20:O20)</f>
        <v>0</v>
      </c>
      <c r="J20" s="83"/>
      <c r="K20" s="83"/>
      <c r="L20" s="83"/>
      <c r="M20" s="83"/>
      <c r="N20" s="83"/>
      <c r="O20" s="83"/>
      <c r="P20" s="118"/>
    </row>
    <row r="21" spans="2:17" outlineLevel="1" x14ac:dyDescent="0.2">
      <c r="B21" s="118"/>
      <c r="C21" s="132"/>
      <c r="D21" s="118"/>
      <c r="E21" s="118"/>
      <c r="F21" s="118"/>
      <c r="G21" s="118"/>
      <c r="H21" s="84" t="s">
        <v>6</v>
      </c>
      <c r="I21" s="83">
        <f>SUM(J21:O21)</f>
        <v>1.2</v>
      </c>
      <c r="J21" s="83"/>
      <c r="K21" s="83"/>
      <c r="L21" s="83">
        <v>1.2</v>
      </c>
      <c r="M21" s="83"/>
      <c r="N21" s="83"/>
      <c r="O21" s="83"/>
      <c r="P21" s="118"/>
    </row>
    <row r="22" spans="2:17" outlineLevel="1" x14ac:dyDescent="0.2">
      <c r="B22" s="119"/>
      <c r="C22" s="133"/>
      <c r="D22" s="119"/>
      <c r="E22" s="119"/>
      <c r="F22" s="119"/>
      <c r="G22" s="119"/>
      <c r="H22" s="84" t="s">
        <v>5</v>
      </c>
      <c r="I22" s="75"/>
      <c r="J22" s="83"/>
      <c r="K22" s="83"/>
      <c r="L22" s="83"/>
      <c r="M22" s="83"/>
      <c r="N22" s="83"/>
      <c r="O22" s="83"/>
      <c r="P22" s="119"/>
    </row>
    <row r="23" spans="2:17" ht="42.75" outlineLevel="1" x14ac:dyDescent="0.2">
      <c r="B23" s="117" t="s">
        <v>44</v>
      </c>
      <c r="C23" s="117"/>
      <c r="D23" s="117" t="s">
        <v>45</v>
      </c>
      <c r="E23" s="117">
        <v>2022</v>
      </c>
      <c r="F23" s="117"/>
      <c r="G23" s="117"/>
      <c r="H23" s="84" t="s">
        <v>3</v>
      </c>
      <c r="I23" s="83">
        <f>SUM(J23:O23)</f>
        <v>1</v>
      </c>
      <c r="J23" s="83">
        <f t="shared" ref="J23:O23" si="7">SUM(J24:J26)</f>
        <v>0</v>
      </c>
      <c r="K23" s="83">
        <f t="shared" si="7"/>
        <v>0</v>
      </c>
      <c r="L23" s="83">
        <f t="shared" si="7"/>
        <v>1</v>
      </c>
      <c r="M23" s="83">
        <f t="shared" si="7"/>
        <v>0</v>
      </c>
      <c r="N23" s="83">
        <f t="shared" si="7"/>
        <v>0</v>
      </c>
      <c r="O23" s="83">
        <f t="shared" si="7"/>
        <v>0</v>
      </c>
      <c r="P23" s="117"/>
    </row>
    <row r="24" spans="2:17" outlineLevel="1" x14ac:dyDescent="0.2">
      <c r="B24" s="118"/>
      <c r="C24" s="132"/>
      <c r="D24" s="118"/>
      <c r="E24" s="118"/>
      <c r="F24" s="118"/>
      <c r="G24" s="118"/>
      <c r="H24" s="84" t="s">
        <v>4</v>
      </c>
      <c r="I24" s="83">
        <f>SUM(J24:O24)</f>
        <v>0</v>
      </c>
      <c r="J24" s="83"/>
      <c r="K24" s="83"/>
      <c r="L24" s="83"/>
      <c r="M24" s="83"/>
      <c r="N24" s="83"/>
      <c r="O24" s="83"/>
      <c r="P24" s="118"/>
    </row>
    <row r="25" spans="2:17" outlineLevel="1" x14ac:dyDescent="0.2">
      <c r="B25" s="118"/>
      <c r="C25" s="132"/>
      <c r="D25" s="118"/>
      <c r="E25" s="118"/>
      <c r="F25" s="118"/>
      <c r="G25" s="118"/>
      <c r="H25" s="84" t="s">
        <v>6</v>
      </c>
      <c r="I25" s="83">
        <f>SUM(J25:O25)</f>
        <v>1</v>
      </c>
      <c r="J25" s="83"/>
      <c r="K25" s="83"/>
      <c r="L25" s="83">
        <v>1</v>
      </c>
      <c r="M25" s="83"/>
      <c r="N25" s="83"/>
      <c r="O25" s="83"/>
      <c r="P25" s="118"/>
    </row>
    <row r="26" spans="2:17" outlineLevel="1" x14ac:dyDescent="0.2">
      <c r="B26" s="119"/>
      <c r="C26" s="133"/>
      <c r="D26" s="119"/>
      <c r="E26" s="119"/>
      <c r="F26" s="119"/>
      <c r="G26" s="119"/>
      <c r="H26" s="84" t="s">
        <v>5</v>
      </c>
      <c r="I26" s="75"/>
      <c r="J26" s="83"/>
      <c r="K26" s="83"/>
      <c r="L26" s="83"/>
      <c r="M26" s="83"/>
      <c r="N26" s="83"/>
      <c r="O26" s="83"/>
      <c r="P26" s="119"/>
    </row>
    <row r="27" spans="2:17" ht="42.75" outlineLevel="1" x14ac:dyDescent="0.2">
      <c r="B27" s="117" t="s">
        <v>1854</v>
      </c>
      <c r="C27" s="117"/>
      <c r="D27" s="117" t="s">
        <v>1855</v>
      </c>
      <c r="E27" s="117">
        <v>2022</v>
      </c>
      <c r="F27" s="117"/>
      <c r="G27" s="117" t="s">
        <v>1856</v>
      </c>
      <c r="H27" s="84" t="s">
        <v>3</v>
      </c>
      <c r="I27" s="83">
        <f>SUM(J27:O27)</f>
        <v>30</v>
      </c>
      <c r="J27" s="83">
        <f t="shared" ref="J27:O27" si="8">SUM(J28:J30)</f>
        <v>0</v>
      </c>
      <c r="K27" s="83">
        <f t="shared" si="8"/>
        <v>0</v>
      </c>
      <c r="L27" s="83">
        <f t="shared" si="8"/>
        <v>30</v>
      </c>
      <c r="M27" s="83">
        <f t="shared" si="8"/>
        <v>0</v>
      </c>
      <c r="N27" s="83">
        <f t="shared" si="8"/>
        <v>0</v>
      </c>
      <c r="O27" s="83">
        <f t="shared" si="8"/>
        <v>0</v>
      </c>
      <c r="P27" s="117">
        <v>365</v>
      </c>
    </row>
    <row r="28" spans="2:17" outlineLevel="1" x14ac:dyDescent="0.2">
      <c r="B28" s="118"/>
      <c r="C28" s="132"/>
      <c r="D28" s="118"/>
      <c r="E28" s="118"/>
      <c r="F28" s="118"/>
      <c r="G28" s="118"/>
      <c r="H28" s="84" t="s">
        <v>4</v>
      </c>
      <c r="I28" s="83">
        <f>SUM(J28:O28)</f>
        <v>30</v>
      </c>
      <c r="J28" s="83"/>
      <c r="K28" s="83"/>
      <c r="L28" s="83">
        <v>30</v>
      </c>
      <c r="M28" s="83"/>
      <c r="N28" s="83"/>
      <c r="O28" s="83"/>
      <c r="P28" s="118"/>
    </row>
    <row r="29" spans="2:17" outlineLevel="1" x14ac:dyDescent="0.2">
      <c r="B29" s="118"/>
      <c r="C29" s="132"/>
      <c r="D29" s="118"/>
      <c r="E29" s="118"/>
      <c r="F29" s="118"/>
      <c r="G29" s="118"/>
      <c r="H29" s="84" t="s">
        <v>6</v>
      </c>
      <c r="I29" s="83">
        <f>SUM(J29:O29)</f>
        <v>0</v>
      </c>
      <c r="J29" s="83"/>
      <c r="K29" s="83"/>
      <c r="L29" s="83"/>
      <c r="M29" s="83"/>
      <c r="N29" s="83"/>
      <c r="O29" s="83"/>
      <c r="P29" s="118"/>
    </row>
    <row r="30" spans="2:17" outlineLevel="1" x14ac:dyDescent="0.2">
      <c r="B30" s="119"/>
      <c r="C30" s="133"/>
      <c r="D30" s="119"/>
      <c r="E30" s="119"/>
      <c r="F30" s="119"/>
      <c r="G30" s="119"/>
      <c r="H30" s="84" t="s">
        <v>5</v>
      </c>
      <c r="I30" s="75"/>
      <c r="J30" s="83"/>
      <c r="K30" s="83"/>
      <c r="L30" s="83"/>
      <c r="M30" s="83"/>
      <c r="N30" s="83"/>
      <c r="O30" s="83"/>
      <c r="P30" s="119"/>
    </row>
    <row r="31" spans="2:17" ht="42.75" x14ac:dyDescent="0.2">
      <c r="B31" s="128" t="s">
        <v>46</v>
      </c>
      <c r="C31" s="128" t="s">
        <v>38</v>
      </c>
      <c r="D31" s="128" t="s">
        <v>38</v>
      </c>
      <c r="E31" s="128" t="s">
        <v>38</v>
      </c>
      <c r="F31" s="128" t="s">
        <v>38</v>
      </c>
      <c r="G31" s="128" t="s">
        <v>38</v>
      </c>
      <c r="H31" s="84" t="s">
        <v>3</v>
      </c>
      <c r="I31" s="14">
        <f>SUMIF($H$15:$H$30,"Объем*",I$15:I$30)</f>
        <v>33.200000000000003</v>
      </c>
      <c r="J31" s="14">
        <f t="shared" ref="J31:O31" si="9">SUMIF($H$15:$H$30,"Объем*",J$15:J$30)</f>
        <v>0</v>
      </c>
      <c r="K31" s="14">
        <f t="shared" si="9"/>
        <v>0</v>
      </c>
      <c r="L31" s="14">
        <f t="shared" si="9"/>
        <v>33.200000000000003</v>
      </c>
      <c r="M31" s="14">
        <f t="shared" si="9"/>
        <v>0</v>
      </c>
      <c r="N31" s="14">
        <f t="shared" si="9"/>
        <v>0</v>
      </c>
      <c r="O31" s="14">
        <f t="shared" si="9"/>
        <v>0</v>
      </c>
      <c r="P31" s="128"/>
      <c r="Q31" s="15"/>
    </row>
    <row r="32" spans="2:17" ht="15.75" x14ac:dyDescent="0.2">
      <c r="B32" s="129"/>
      <c r="C32" s="129"/>
      <c r="D32" s="129"/>
      <c r="E32" s="129"/>
      <c r="F32" s="129"/>
      <c r="G32" s="129"/>
      <c r="H32" s="84" t="s">
        <v>4</v>
      </c>
      <c r="I32" s="14">
        <f>SUMIF($H$15:$H$30,"фед*",I$15:I$30)</f>
        <v>30</v>
      </c>
      <c r="J32" s="14">
        <f t="shared" ref="J32:O32" si="10">SUMIF($H$15:$H$30,"фед*",J$15:J$30)</f>
        <v>0</v>
      </c>
      <c r="K32" s="14">
        <f t="shared" si="10"/>
        <v>0</v>
      </c>
      <c r="L32" s="14">
        <f t="shared" si="10"/>
        <v>30</v>
      </c>
      <c r="M32" s="14">
        <f t="shared" si="10"/>
        <v>0</v>
      </c>
      <c r="N32" s="14">
        <f t="shared" si="10"/>
        <v>0</v>
      </c>
      <c r="O32" s="14">
        <f t="shared" si="10"/>
        <v>0</v>
      </c>
      <c r="P32" s="129"/>
    </row>
    <row r="33" spans="2:17" ht="15.75" x14ac:dyDescent="0.2">
      <c r="B33" s="129"/>
      <c r="C33" s="129"/>
      <c r="D33" s="129"/>
      <c r="E33" s="129"/>
      <c r="F33" s="129"/>
      <c r="G33" s="129"/>
      <c r="H33" s="84" t="s">
        <v>6</v>
      </c>
      <c r="I33" s="14">
        <f>SUMIF($H$15:$H$30,"конс*",I$15:I$30)</f>
        <v>3.2</v>
      </c>
      <c r="J33" s="14">
        <f t="shared" ref="J33:O33" si="11">SUMIF($H$15:$H$30,"конс*",J$15:J$30)</f>
        <v>0</v>
      </c>
      <c r="K33" s="14">
        <f t="shared" si="11"/>
        <v>0</v>
      </c>
      <c r="L33" s="14">
        <f t="shared" si="11"/>
        <v>3.2</v>
      </c>
      <c r="M33" s="14">
        <f t="shared" si="11"/>
        <v>0</v>
      </c>
      <c r="N33" s="14">
        <f t="shared" si="11"/>
        <v>0</v>
      </c>
      <c r="O33" s="14">
        <f t="shared" si="11"/>
        <v>0</v>
      </c>
      <c r="P33" s="129"/>
    </row>
    <row r="34" spans="2:17" ht="15.75" x14ac:dyDescent="0.2">
      <c r="B34" s="130"/>
      <c r="C34" s="130"/>
      <c r="D34" s="130"/>
      <c r="E34" s="130"/>
      <c r="F34" s="130"/>
      <c r="G34" s="130"/>
      <c r="H34" s="84" t="s">
        <v>5</v>
      </c>
      <c r="I34" s="14">
        <f>SUMIF($H$15:$H$30,"вне*",I$15:I$30)</f>
        <v>0</v>
      </c>
      <c r="J34" s="14">
        <f t="shared" ref="J34:O34" si="12">SUMIF($H$15:$H$30,"вне*",J$15:J$30)</f>
        <v>0</v>
      </c>
      <c r="K34" s="14">
        <f t="shared" si="12"/>
        <v>0</v>
      </c>
      <c r="L34" s="14">
        <f t="shared" si="12"/>
        <v>0</v>
      </c>
      <c r="M34" s="14">
        <f t="shared" si="12"/>
        <v>0</v>
      </c>
      <c r="N34" s="14">
        <f t="shared" si="12"/>
        <v>0</v>
      </c>
      <c r="O34" s="14">
        <f t="shared" si="12"/>
        <v>0</v>
      </c>
      <c r="P34" s="130"/>
    </row>
    <row r="35" spans="2:17" ht="25.5" customHeight="1" x14ac:dyDescent="0.2">
      <c r="B35" s="131" t="s">
        <v>47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2:17" ht="42.75" outlineLevel="1" x14ac:dyDescent="0.2">
      <c r="B36" s="117" t="s">
        <v>48</v>
      </c>
      <c r="C36" s="117"/>
      <c r="D36" s="117" t="s">
        <v>49</v>
      </c>
      <c r="E36" s="117" t="s">
        <v>50</v>
      </c>
      <c r="F36" s="117" t="s">
        <v>51</v>
      </c>
      <c r="G36" s="117" t="s">
        <v>52</v>
      </c>
      <c r="H36" s="84" t="s">
        <v>3</v>
      </c>
      <c r="I36" s="83">
        <f>SUM(J36:O36)</f>
        <v>20.963999999999999</v>
      </c>
      <c r="J36" s="81">
        <f t="shared" ref="J36:O36" si="13">J37+J38+J39</f>
        <v>0</v>
      </c>
      <c r="K36" s="83">
        <f t="shared" si="13"/>
        <v>10.481999999999999</v>
      </c>
      <c r="L36" s="83">
        <f t="shared" si="13"/>
        <v>10.481999999999999</v>
      </c>
      <c r="M36" s="83">
        <f t="shared" si="13"/>
        <v>0</v>
      </c>
      <c r="N36" s="83">
        <f t="shared" si="13"/>
        <v>0</v>
      </c>
      <c r="O36" s="83">
        <f t="shared" si="13"/>
        <v>0</v>
      </c>
      <c r="P36" s="117">
        <v>5191</v>
      </c>
    </row>
    <row r="37" spans="2:17" outlineLevel="1" x14ac:dyDescent="0.2">
      <c r="B37" s="118"/>
      <c r="C37" s="132"/>
      <c r="D37" s="118"/>
      <c r="E37" s="118"/>
      <c r="F37" s="118"/>
      <c r="G37" s="118"/>
      <c r="H37" s="84" t="s">
        <v>4</v>
      </c>
      <c r="I37" s="83">
        <f>SUM(J37:O37)</f>
        <v>0</v>
      </c>
      <c r="J37" s="16"/>
      <c r="K37" s="75"/>
      <c r="L37" s="75"/>
      <c r="M37" s="75"/>
      <c r="N37" s="75"/>
      <c r="O37" s="75"/>
      <c r="P37" s="118"/>
    </row>
    <row r="38" spans="2:17" outlineLevel="1" x14ac:dyDescent="0.2">
      <c r="B38" s="118"/>
      <c r="C38" s="132"/>
      <c r="D38" s="118"/>
      <c r="E38" s="118"/>
      <c r="F38" s="118"/>
      <c r="G38" s="118"/>
      <c r="H38" s="84" t="s">
        <v>6</v>
      </c>
      <c r="I38" s="83">
        <f>SUM(J38:O38)</f>
        <v>20.963999999999999</v>
      </c>
      <c r="J38" s="16"/>
      <c r="K38" s="75">
        <v>10.481999999999999</v>
      </c>
      <c r="L38" s="75">
        <v>10.481999999999999</v>
      </c>
      <c r="M38" s="75"/>
      <c r="N38" s="75"/>
      <c r="O38" s="75"/>
      <c r="P38" s="118"/>
    </row>
    <row r="39" spans="2:17" outlineLevel="1" x14ac:dyDescent="0.2">
      <c r="B39" s="119"/>
      <c r="C39" s="133"/>
      <c r="D39" s="119"/>
      <c r="E39" s="119"/>
      <c r="F39" s="119"/>
      <c r="G39" s="119"/>
      <c r="H39" s="84" t="s">
        <v>5</v>
      </c>
      <c r="I39" s="75"/>
      <c r="J39" s="75"/>
      <c r="K39" s="75"/>
      <c r="L39" s="75"/>
      <c r="M39" s="75"/>
      <c r="N39" s="75"/>
      <c r="O39" s="75"/>
      <c r="P39" s="119"/>
    </row>
    <row r="40" spans="2:17" ht="42.75" outlineLevel="1" x14ac:dyDescent="0.2">
      <c r="B40" s="117" t="s">
        <v>53</v>
      </c>
      <c r="C40" s="117"/>
      <c r="D40" s="117" t="s">
        <v>49</v>
      </c>
      <c r="E40" s="117">
        <v>2023</v>
      </c>
      <c r="F40" s="117"/>
      <c r="G40" s="117" t="s">
        <v>54</v>
      </c>
      <c r="H40" s="84" t="s">
        <v>3</v>
      </c>
      <c r="I40" s="83">
        <f>SUM(J40:O40)</f>
        <v>11.693</v>
      </c>
      <c r="J40" s="83">
        <f t="shared" ref="J40:O40" si="14">J41+J42+J43</f>
        <v>0</v>
      </c>
      <c r="K40" s="83">
        <f t="shared" si="14"/>
        <v>0</v>
      </c>
      <c r="L40" s="83">
        <f t="shared" si="14"/>
        <v>0</v>
      </c>
      <c r="M40" s="83">
        <f t="shared" si="14"/>
        <v>11.693</v>
      </c>
      <c r="N40" s="83">
        <f t="shared" si="14"/>
        <v>0</v>
      </c>
      <c r="O40" s="83">
        <f t="shared" si="14"/>
        <v>0</v>
      </c>
      <c r="P40" s="117">
        <v>5191</v>
      </c>
    </row>
    <row r="41" spans="2:17" outlineLevel="1" x14ac:dyDescent="0.2">
      <c r="B41" s="118"/>
      <c r="C41" s="132"/>
      <c r="D41" s="118"/>
      <c r="E41" s="118"/>
      <c r="F41" s="118"/>
      <c r="G41" s="118"/>
      <c r="H41" s="84" t="s">
        <v>4</v>
      </c>
      <c r="I41" s="83">
        <f>SUM(J41:O41)</f>
        <v>0</v>
      </c>
      <c r="J41" s="75"/>
      <c r="K41" s="75"/>
      <c r="L41" s="75"/>
      <c r="M41" s="75"/>
      <c r="N41" s="75"/>
      <c r="O41" s="75"/>
      <c r="P41" s="118"/>
    </row>
    <row r="42" spans="2:17" outlineLevel="1" x14ac:dyDescent="0.2">
      <c r="B42" s="118"/>
      <c r="C42" s="132"/>
      <c r="D42" s="118"/>
      <c r="E42" s="118"/>
      <c r="F42" s="118"/>
      <c r="G42" s="118"/>
      <c r="H42" s="84" t="s">
        <v>6</v>
      </c>
      <c r="I42" s="83">
        <f>SUM(J42:O42)</f>
        <v>11.693</v>
      </c>
      <c r="J42" s="75"/>
      <c r="K42" s="75"/>
      <c r="L42" s="75"/>
      <c r="M42" s="75">
        <v>11.693</v>
      </c>
      <c r="N42" s="75"/>
      <c r="O42" s="75"/>
      <c r="P42" s="118"/>
    </row>
    <row r="43" spans="2:17" outlineLevel="1" x14ac:dyDescent="0.2">
      <c r="B43" s="119"/>
      <c r="C43" s="133"/>
      <c r="D43" s="119"/>
      <c r="E43" s="119"/>
      <c r="F43" s="119"/>
      <c r="G43" s="119"/>
      <c r="H43" s="84" t="s">
        <v>5</v>
      </c>
      <c r="I43" s="75"/>
      <c r="J43" s="75"/>
      <c r="K43" s="75"/>
      <c r="L43" s="75"/>
      <c r="M43" s="75"/>
      <c r="N43" s="75"/>
      <c r="O43" s="75"/>
      <c r="P43" s="119"/>
    </row>
    <row r="44" spans="2:17" ht="42.75" outlineLevel="1" x14ac:dyDescent="0.2">
      <c r="B44" s="117" t="s">
        <v>55</v>
      </c>
      <c r="C44" s="117"/>
      <c r="D44" s="117" t="s">
        <v>49</v>
      </c>
      <c r="E44" s="117" t="s">
        <v>56</v>
      </c>
      <c r="F44" s="117"/>
      <c r="G44" s="117" t="s">
        <v>52</v>
      </c>
      <c r="H44" s="84" t="s">
        <v>3</v>
      </c>
      <c r="I44" s="83">
        <f>SUM(J44:O44)</f>
        <v>20</v>
      </c>
      <c r="J44" s="83">
        <f t="shared" ref="J44:O44" si="15">J45+J46+J47</f>
        <v>0</v>
      </c>
      <c r="K44" s="83">
        <f t="shared" si="15"/>
        <v>0</v>
      </c>
      <c r="L44" s="83">
        <f t="shared" si="15"/>
        <v>0</v>
      </c>
      <c r="M44" s="83">
        <f t="shared" si="15"/>
        <v>0</v>
      </c>
      <c r="N44" s="83">
        <f t="shared" si="15"/>
        <v>10</v>
      </c>
      <c r="O44" s="83">
        <f t="shared" si="15"/>
        <v>10</v>
      </c>
      <c r="P44" s="117">
        <v>5191</v>
      </c>
    </row>
    <row r="45" spans="2:17" outlineLevel="1" x14ac:dyDescent="0.2">
      <c r="B45" s="118"/>
      <c r="C45" s="132"/>
      <c r="D45" s="118"/>
      <c r="E45" s="118"/>
      <c r="F45" s="118"/>
      <c r="G45" s="118"/>
      <c r="H45" s="84" t="s">
        <v>4</v>
      </c>
      <c r="I45" s="83">
        <f>SUM(J45:O45)</f>
        <v>0</v>
      </c>
      <c r="J45" s="75"/>
      <c r="K45" s="75"/>
      <c r="L45" s="75"/>
      <c r="M45" s="75"/>
      <c r="N45" s="75"/>
      <c r="O45" s="75"/>
      <c r="P45" s="118"/>
    </row>
    <row r="46" spans="2:17" outlineLevel="1" x14ac:dyDescent="0.2">
      <c r="B46" s="118"/>
      <c r="C46" s="132"/>
      <c r="D46" s="118"/>
      <c r="E46" s="118"/>
      <c r="F46" s="118"/>
      <c r="G46" s="118"/>
      <c r="H46" s="84" t="s">
        <v>6</v>
      </c>
      <c r="I46" s="83">
        <f>SUM(J46:O46)</f>
        <v>20</v>
      </c>
      <c r="J46" s="75"/>
      <c r="K46" s="75"/>
      <c r="L46" s="75"/>
      <c r="M46" s="75"/>
      <c r="N46" s="75">
        <v>10</v>
      </c>
      <c r="O46" s="75">
        <v>10</v>
      </c>
      <c r="P46" s="118"/>
    </row>
    <row r="47" spans="2:17" outlineLevel="1" x14ac:dyDescent="0.2">
      <c r="B47" s="119"/>
      <c r="C47" s="133"/>
      <c r="D47" s="119"/>
      <c r="E47" s="119"/>
      <c r="F47" s="119"/>
      <c r="G47" s="119"/>
      <c r="H47" s="84" t="s">
        <v>5</v>
      </c>
      <c r="I47" s="75"/>
      <c r="J47" s="75"/>
      <c r="K47" s="75"/>
      <c r="L47" s="75"/>
      <c r="M47" s="75"/>
      <c r="N47" s="75"/>
      <c r="O47" s="75"/>
      <c r="P47" s="119"/>
    </row>
    <row r="48" spans="2:17" ht="42.75" x14ac:dyDescent="0.2">
      <c r="B48" s="128" t="s">
        <v>57</v>
      </c>
      <c r="C48" s="128" t="s">
        <v>38</v>
      </c>
      <c r="D48" s="128" t="s">
        <v>38</v>
      </c>
      <c r="E48" s="128" t="s">
        <v>38</v>
      </c>
      <c r="F48" s="128" t="s">
        <v>38</v>
      </c>
      <c r="G48" s="128" t="s">
        <v>38</v>
      </c>
      <c r="H48" s="84" t="s">
        <v>3</v>
      </c>
      <c r="I48" s="14">
        <f>SUMIF($H$36:$H$47,"Объем*",I$36:I$47)</f>
        <v>52.656999999999996</v>
      </c>
      <c r="J48" s="14">
        <f t="shared" ref="J48:O48" si="16">SUMIF($H$36:$H$47,"Объем*",J$36:J$47)</f>
        <v>0</v>
      </c>
      <c r="K48" s="14">
        <f t="shared" si="16"/>
        <v>10.481999999999999</v>
      </c>
      <c r="L48" s="14">
        <f t="shared" si="16"/>
        <v>10.481999999999999</v>
      </c>
      <c r="M48" s="14">
        <f t="shared" si="16"/>
        <v>11.693</v>
      </c>
      <c r="N48" s="14">
        <f t="shared" si="16"/>
        <v>10</v>
      </c>
      <c r="O48" s="14">
        <f t="shared" si="16"/>
        <v>10</v>
      </c>
      <c r="P48" s="128"/>
      <c r="Q48" s="15"/>
    </row>
    <row r="49" spans="2:17" ht="15.75" x14ac:dyDescent="0.2">
      <c r="B49" s="129"/>
      <c r="C49" s="129"/>
      <c r="D49" s="129"/>
      <c r="E49" s="129"/>
      <c r="F49" s="129"/>
      <c r="G49" s="129"/>
      <c r="H49" s="84" t="s">
        <v>4</v>
      </c>
      <c r="I49" s="14">
        <f>SUMIF($H$36:$H$47,"фед*",I$36:I$47)</f>
        <v>0</v>
      </c>
      <c r="J49" s="14">
        <f t="shared" ref="J49:O49" si="17">SUMIF($H$36:$H$47,"фед*",J$36:J$47)</f>
        <v>0</v>
      </c>
      <c r="K49" s="14">
        <f t="shared" si="17"/>
        <v>0</v>
      </c>
      <c r="L49" s="14">
        <f t="shared" si="17"/>
        <v>0</v>
      </c>
      <c r="M49" s="14">
        <f t="shared" si="17"/>
        <v>0</v>
      </c>
      <c r="N49" s="14">
        <f t="shared" si="17"/>
        <v>0</v>
      </c>
      <c r="O49" s="14">
        <f t="shared" si="17"/>
        <v>0</v>
      </c>
      <c r="P49" s="129"/>
    </row>
    <row r="50" spans="2:17" ht="15.75" x14ac:dyDescent="0.2">
      <c r="B50" s="129"/>
      <c r="C50" s="129"/>
      <c r="D50" s="129"/>
      <c r="E50" s="129"/>
      <c r="F50" s="129"/>
      <c r="G50" s="129"/>
      <c r="H50" s="84" t="s">
        <v>6</v>
      </c>
      <c r="I50" s="14">
        <f>SUMIF($H$36:$H$47,"конс*",I$36:I$47)</f>
        <v>52.656999999999996</v>
      </c>
      <c r="J50" s="14">
        <f t="shared" ref="J50:O50" si="18">SUMIF($H$36:$H$47,"конс*",J$36:J$47)</f>
        <v>0</v>
      </c>
      <c r="K50" s="14">
        <f t="shared" si="18"/>
        <v>10.481999999999999</v>
      </c>
      <c r="L50" s="14">
        <f t="shared" si="18"/>
        <v>10.481999999999999</v>
      </c>
      <c r="M50" s="14">
        <f t="shared" si="18"/>
        <v>11.693</v>
      </c>
      <c r="N50" s="14">
        <f t="shared" si="18"/>
        <v>10</v>
      </c>
      <c r="O50" s="14">
        <f t="shared" si="18"/>
        <v>10</v>
      </c>
      <c r="P50" s="129"/>
    </row>
    <row r="51" spans="2:17" ht="15.75" x14ac:dyDescent="0.2">
      <c r="B51" s="130"/>
      <c r="C51" s="130"/>
      <c r="D51" s="130"/>
      <c r="E51" s="130"/>
      <c r="F51" s="130"/>
      <c r="G51" s="130"/>
      <c r="H51" s="84" t="s">
        <v>5</v>
      </c>
      <c r="I51" s="14">
        <f>SUMIF($H$36:$H$47,"вне*",I$36:I$47)</f>
        <v>0</v>
      </c>
      <c r="J51" s="14">
        <f t="shared" ref="J51:O51" si="19">SUMIF($H$36:$H$47,"вне*",J$36:J$47)</f>
        <v>0</v>
      </c>
      <c r="K51" s="14">
        <f t="shared" si="19"/>
        <v>0</v>
      </c>
      <c r="L51" s="14">
        <f t="shared" si="19"/>
        <v>0</v>
      </c>
      <c r="M51" s="14">
        <f t="shared" si="19"/>
        <v>0</v>
      </c>
      <c r="N51" s="14">
        <f t="shared" si="19"/>
        <v>0</v>
      </c>
      <c r="O51" s="14">
        <f t="shared" si="19"/>
        <v>0</v>
      </c>
      <c r="P51" s="130"/>
    </row>
    <row r="52" spans="2:17" ht="16.5" x14ac:dyDescent="0.2">
      <c r="B52" s="111" t="s">
        <v>58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</row>
    <row r="53" spans="2:17" ht="42.75" customHeight="1" outlineLevel="1" x14ac:dyDescent="0.2">
      <c r="B53" s="117" t="s">
        <v>59</v>
      </c>
      <c r="C53" s="117" t="s">
        <v>60</v>
      </c>
      <c r="D53" s="117" t="s">
        <v>58</v>
      </c>
      <c r="E53" s="117" t="s">
        <v>61</v>
      </c>
      <c r="F53" s="117" t="s">
        <v>62</v>
      </c>
      <c r="G53" s="117" t="s">
        <v>63</v>
      </c>
      <c r="H53" s="84" t="s">
        <v>3</v>
      </c>
      <c r="I53" s="85">
        <f>SUM(J53:O53)</f>
        <v>15</v>
      </c>
      <c r="J53" s="83">
        <f t="shared" ref="J53:O53" si="20">J54+J55+J56</f>
        <v>0</v>
      </c>
      <c r="K53" s="83">
        <f t="shared" si="20"/>
        <v>0</v>
      </c>
      <c r="L53" s="83">
        <f t="shared" si="20"/>
        <v>0.5</v>
      </c>
      <c r="M53" s="83">
        <f t="shared" si="20"/>
        <v>14.5</v>
      </c>
      <c r="N53" s="83">
        <f t="shared" si="20"/>
        <v>0</v>
      </c>
      <c r="O53" s="83">
        <f t="shared" si="20"/>
        <v>0</v>
      </c>
      <c r="P53" s="117">
        <v>14969</v>
      </c>
    </row>
    <row r="54" spans="2:17" outlineLevel="1" x14ac:dyDescent="0.2">
      <c r="B54" s="118"/>
      <c r="C54" s="118"/>
      <c r="D54" s="118"/>
      <c r="E54" s="118"/>
      <c r="F54" s="118"/>
      <c r="G54" s="118"/>
      <c r="H54" s="84" t="s">
        <v>4</v>
      </c>
      <c r="I54" s="85">
        <f>SUM(J54:O54)</f>
        <v>0</v>
      </c>
      <c r="J54" s="83"/>
      <c r="K54" s="83"/>
      <c r="L54" s="83"/>
      <c r="M54" s="83"/>
      <c r="N54" s="83"/>
      <c r="O54" s="83"/>
      <c r="P54" s="118"/>
    </row>
    <row r="55" spans="2:17" outlineLevel="1" x14ac:dyDescent="0.2">
      <c r="B55" s="118"/>
      <c r="C55" s="118"/>
      <c r="D55" s="118"/>
      <c r="E55" s="118"/>
      <c r="F55" s="118"/>
      <c r="G55" s="118"/>
      <c r="H55" s="84" t="s">
        <v>6</v>
      </c>
      <c r="I55" s="85">
        <f>SUM(J55:O55)</f>
        <v>15</v>
      </c>
      <c r="J55" s="83">
        <v>0</v>
      </c>
      <c r="K55" s="83"/>
      <c r="L55" s="83">
        <v>0.5</v>
      </c>
      <c r="M55" s="83">
        <v>14.5</v>
      </c>
      <c r="N55" s="83"/>
      <c r="O55" s="83">
        <v>0</v>
      </c>
      <c r="P55" s="118"/>
    </row>
    <row r="56" spans="2:17" outlineLevel="1" x14ac:dyDescent="0.2">
      <c r="B56" s="119"/>
      <c r="C56" s="119"/>
      <c r="D56" s="119"/>
      <c r="E56" s="119"/>
      <c r="F56" s="119"/>
      <c r="G56" s="119"/>
      <c r="H56" s="84" t="s">
        <v>5</v>
      </c>
      <c r="I56" s="13"/>
      <c r="J56" s="13"/>
      <c r="K56" s="13"/>
      <c r="L56" s="13"/>
      <c r="M56" s="13"/>
      <c r="N56" s="13"/>
      <c r="O56" s="13"/>
      <c r="P56" s="119"/>
    </row>
    <row r="57" spans="2:17" ht="42.75" x14ac:dyDescent="0.2">
      <c r="B57" s="128" t="s">
        <v>64</v>
      </c>
      <c r="C57" s="128" t="s">
        <v>38</v>
      </c>
      <c r="D57" s="128" t="s">
        <v>38</v>
      </c>
      <c r="E57" s="128" t="s">
        <v>38</v>
      </c>
      <c r="F57" s="128" t="s">
        <v>38</v>
      </c>
      <c r="G57" s="128" t="s">
        <v>38</v>
      </c>
      <c r="H57" s="84" t="s">
        <v>3</v>
      </c>
      <c r="I57" s="14">
        <f>SUMIF($H$53:$H$56,"Объем*",I$53:I$56)</f>
        <v>15</v>
      </c>
      <c r="J57" s="14">
        <f t="shared" ref="J57:O57" si="21">SUMIF($H$53:$H$56,"Объем*",J$53:J$56)</f>
        <v>0</v>
      </c>
      <c r="K57" s="14">
        <f t="shared" si="21"/>
        <v>0</v>
      </c>
      <c r="L57" s="14">
        <f t="shared" si="21"/>
        <v>0.5</v>
      </c>
      <c r="M57" s="14">
        <f t="shared" si="21"/>
        <v>14.5</v>
      </c>
      <c r="N57" s="14">
        <f t="shared" si="21"/>
        <v>0</v>
      </c>
      <c r="O57" s="14">
        <f t="shared" si="21"/>
        <v>0</v>
      </c>
      <c r="P57" s="128"/>
      <c r="Q57" s="7"/>
    </row>
    <row r="58" spans="2:17" ht="15.75" x14ac:dyDescent="0.2">
      <c r="B58" s="129"/>
      <c r="C58" s="129"/>
      <c r="D58" s="129"/>
      <c r="E58" s="129"/>
      <c r="F58" s="129"/>
      <c r="G58" s="129"/>
      <c r="H58" s="84" t="s">
        <v>4</v>
      </c>
      <c r="I58" s="14">
        <f>SUMIF($H$53:$H$56,"фед*",I$53:I$56)</f>
        <v>0</v>
      </c>
      <c r="J58" s="14">
        <f t="shared" ref="J58:O58" si="22">SUMIF($H$53:$H$56,"фед*",J$53:J$56)</f>
        <v>0</v>
      </c>
      <c r="K58" s="14">
        <f t="shared" si="22"/>
        <v>0</v>
      </c>
      <c r="L58" s="14">
        <f t="shared" si="22"/>
        <v>0</v>
      </c>
      <c r="M58" s="14">
        <f t="shared" si="22"/>
        <v>0</v>
      </c>
      <c r="N58" s="14">
        <f t="shared" si="22"/>
        <v>0</v>
      </c>
      <c r="O58" s="14">
        <f t="shared" si="22"/>
        <v>0</v>
      </c>
      <c r="P58" s="129"/>
      <c r="Q58" s="7"/>
    </row>
    <row r="59" spans="2:17" ht="15.75" x14ac:dyDescent="0.2">
      <c r="B59" s="129"/>
      <c r="C59" s="129"/>
      <c r="D59" s="129"/>
      <c r="E59" s="129"/>
      <c r="F59" s="129"/>
      <c r="G59" s="129"/>
      <c r="H59" s="84" t="s">
        <v>6</v>
      </c>
      <c r="I59" s="14">
        <f>SUMIF($H$53:$H$56,"конс*",I$53:I$56)</f>
        <v>15</v>
      </c>
      <c r="J59" s="14">
        <f t="shared" ref="J59:O59" si="23">SUMIF($H$53:$H$56,"конс*",J$53:J$56)</f>
        <v>0</v>
      </c>
      <c r="K59" s="14">
        <f t="shared" si="23"/>
        <v>0</v>
      </c>
      <c r="L59" s="14">
        <f t="shared" si="23"/>
        <v>0.5</v>
      </c>
      <c r="M59" s="14">
        <f t="shared" si="23"/>
        <v>14.5</v>
      </c>
      <c r="N59" s="14">
        <f t="shared" si="23"/>
        <v>0</v>
      </c>
      <c r="O59" s="14">
        <f t="shared" si="23"/>
        <v>0</v>
      </c>
      <c r="P59" s="129"/>
      <c r="Q59" s="7"/>
    </row>
    <row r="60" spans="2:17" ht="15.75" x14ac:dyDescent="0.2">
      <c r="B60" s="130"/>
      <c r="C60" s="130"/>
      <c r="D60" s="130"/>
      <c r="E60" s="130"/>
      <c r="F60" s="130"/>
      <c r="G60" s="130"/>
      <c r="H60" s="84" t="s">
        <v>5</v>
      </c>
      <c r="I60" s="76">
        <f>SUMIF($H$53:$H$56,"вне*",I$53:I$56)</f>
        <v>0</v>
      </c>
      <c r="J60" s="76">
        <f t="shared" ref="J60:O60" si="24">SUMIF($H$53:$H$56,"вне*",J$53:J$56)</f>
        <v>0</v>
      </c>
      <c r="K60" s="76">
        <f t="shared" si="24"/>
        <v>0</v>
      </c>
      <c r="L60" s="76">
        <f t="shared" si="24"/>
        <v>0</v>
      </c>
      <c r="M60" s="76">
        <f t="shared" si="24"/>
        <v>0</v>
      </c>
      <c r="N60" s="76">
        <f t="shared" si="24"/>
        <v>0</v>
      </c>
      <c r="O60" s="76">
        <f t="shared" si="24"/>
        <v>0</v>
      </c>
      <c r="P60" s="130"/>
      <c r="Q60" s="7"/>
    </row>
    <row r="61" spans="2:17" ht="25.5" customHeight="1" x14ac:dyDescent="0.2">
      <c r="B61" s="111" t="s">
        <v>65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3"/>
    </row>
    <row r="62" spans="2:17" ht="42.75" outlineLevel="1" x14ac:dyDescent="0.2">
      <c r="B62" s="117" t="s">
        <v>66</v>
      </c>
      <c r="C62" s="117"/>
      <c r="D62" s="117" t="s">
        <v>65</v>
      </c>
      <c r="E62" s="117" t="s">
        <v>61</v>
      </c>
      <c r="F62" s="117"/>
      <c r="G62" s="117" t="s">
        <v>67</v>
      </c>
      <c r="H62" s="84" t="s">
        <v>3</v>
      </c>
      <c r="I62" s="83">
        <f>SUM(J62:O62)</f>
        <v>500</v>
      </c>
      <c r="J62" s="83">
        <f t="shared" ref="J62:O62" si="25">J63+J64+J65</f>
        <v>0</v>
      </c>
      <c r="K62" s="83">
        <f t="shared" si="25"/>
        <v>0</v>
      </c>
      <c r="L62" s="83">
        <f t="shared" si="25"/>
        <v>200</v>
      </c>
      <c r="M62" s="83">
        <f t="shared" si="25"/>
        <v>300</v>
      </c>
      <c r="N62" s="83">
        <f t="shared" si="25"/>
        <v>0</v>
      </c>
      <c r="O62" s="83">
        <f t="shared" si="25"/>
        <v>0</v>
      </c>
      <c r="P62" s="134">
        <v>900000</v>
      </c>
    </row>
    <row r="63" spans="2:17" outlineLevel="1" x14ac:dyDescent="0.2">
      <c r="B63" s="118"/>
      <c r="C63" s="132"/>
      <c r="D63" s="118"/>
      <c r="E63" s="118"/>
      <c r="F63" s="118"/>
      <c r="G63" s="118"/>
      <c r="H63" s="84" t="s">
        <v>4</v>
      </c>
      <c r="I63" s="83">
        <f>SUM(J63:O63)</f>
        <v>495</v>
      </c>
      <c r="J63" s="75"/>
      <c r="K63" s="75"/>
      <c r="L63" s="75">
        <v>198</v>
      </c>
      <c r="M63" s="75">
        <v>297</v>
      </c>
      <c r="N63" s="75"/>
      <c r="O63" s="75"/>
      <c r="P63" s="135"/>
    </row>
    <row r="64" spans="2:17" outlineLevel="1" x14ac:dyDescent="0.2">
      <c r="B64" s="118"/>
      <c r="C64" s="132"/>
      <c r="D64" s="118"/>
      <c r="E64" s="118"/>
      <c r="F64" s="118"/>
      <c r="G64" s="118"/>
      <c r="H64" s="84" t="s">
        <v>6</v>
      </c>
      <c r="I64" s="83">
        <f>SUM(J64:O64)</f>
        <v>5</v>
      </c>
      <c r="J64" s="75"/>
      <c r="K64" s="75"/>
      <c r="L64" s="75">
        <v>2</v>
      </c>
      <c r="M64" s="75">
        <v>3</v>
      </c>
      <c r="N64" s="75"/>
      <c r="O64" s="75"/>
      <c r="P64" s="135"/>
    </row>
    <row r="65" spans="2:16" outlineLevel="1" x14ac:dyDescent="0.2">
      <c r="B65" s="119"/>
      <c r="C65" s="133"/>
      <c r="D65" s="119"/>
      <c r="E65" s="119"/>
      <c r="F65" s="119"/>
      <c r="G65" s="119"/>
      <c r="H65" s="84" t="s">
        <v>5</v>
      </c>
      <c r="I65" s="75"/>
      <c r="J65" s="75"/>
      <c r="K65" s="75"/>
      <c r="L65" s="75"/>
      <c r="M65" s="75"/>
      <c r="N65" s="75"/>
      <c r="O65" s="75"/>
      <c r="P65" s="136"/>
    </row>
    <row r="66" spans="2:16" ht="42.75" customHeight="1" outlineLevel="1" x14ac:dyDescent="0.2">
      <c r="B66" s="117" t="s">
        <v>68</v>
      </c>
      <c r="C66" s="117"/>
      <c r="D66" s="117" t="s">
        <v>65</v>
      </c>
      <c r="E66" s="117" t="s">
        <v>69</v>
      </c>
      <c r="F66" s="117"/>
      <c r="G66" s="117" t="s">
        <v>36</v>
      </c>
      <c r="H66" s="84" t="s">
        <v>3</v>
      </c>
      <c r="I66" s="83">
        <f>SUM(J66:O66)</f>
        <v>412</v>
      </c>
      <c r="J66" s="83">
        <f t="shared" ref="J66:O66" si="26">J67+J68+J69</f>
        <v>0</v>
      </c>
      <c r="K66" s="83">
        <f t="shared" si="26"/>
        <v>12</v>
      </c>
      <c r="L66" s="83">
        <f t="shared" si="26"/>
        <v>0</v>
      </c>
      <c r="M66" s="83">
        <f t="shared" si="26"/>
        <v>200</v>
      </c>
      <c r="N66" s="83">
        <f t="shared" si="26"/>
        <v>200</v>
      </c>
      <c r="O66" s="83">
        <f t="shared" si="26"/>
        <v>0</v>
      </c>
      <c r="P66" s="134"/>
    </row>
    <row r="67" spans="2:16" outlineLevel="1" x14ac:dyDescent="0.2">
      <c r="B67" s="118"/>
      <c r="C67" s="132"/>
      <c r="D67" s="118"/>
      <c r="E67" s="118"/>
      <c r="F67" s="118"/>
      <c r="G67" s="118"/>
      <c r="H67" s="84" t="s">
        <v>4</v>
      </c>
      <c r="I67" s="83">
        <f>SUM(J67:O67)</f>
        <v>396</v>
      </c>
      <c r="J67" s="75"/>
      <c r="K67" s="75"/>
      <c r="L67" s="75"/>
      <c r="M67" s="75">
        <v>198</v>
      </c>
      <c r="N67" s="75">
        <v>198</v>
      </c>
      <c r="O67" s="75"/>
      <c r="P67" s="135"/>
    </row>
    <row r="68" spans="2:16" outlineLevel="1" x14ac:dyDescent="0.2">
      <c r="B68" s="118"/>
      <c r="C68" s="132"/>
      <c r="D68" s="118"/>
      <c r="E68" s="118"/>
      <c r="F68" s="118"/>
      <c r="G68" s="118"/>
      <c r="H68" s="84" t="s">
        <v>6</v>
      </c>
      <c r="I68" s="83">
        <f>SUM(J68:O68)</f>
        <v>16</v>
      </c>
      <c r="J68" s="75"/>
      <c r="K68" s="75">
        <v>12</v>
      </c>
      <c r="L68" s="75"/>
      <c r="M68" s="75">
        <v>2</v>
      </c>
      <c r="N68" s="75">
        <v>2</v>
      </c>
      <c r="O68" s="75"/>
      <c r="P68" s="135"/>
    </row>
    <row r="69" spans="2:16" outlineLevel="1" x14ac:dyDescent="0.2">
      <c r="B69" s="119"/>
      <c r="C69" s="133"/>
      <c r="D69" s="119"/>
      <c r="E69" s="119"/>
      <c r="F69" s="119"/>
      <c r="G69" s="119"/>
      <c r="H69" s="84" t="s">
        <v>5</v>
      </c>
      <c r="I69" s="75"/>
      <c r="J69" s="75"/>
      <c r="K69" s="75"/>
      <c r="L69" s="75"/>
      <c r="M69" s="75"/>
      <c r="N69" s="75"/>
      <c r="O69" s="75"/>
      <c r="P69" s="136"/>
    </row>
    <row r="70" spans="2:16" ht="42.75" customHeight="1" outlineLevel="1" x14ac:dyDescent="0.2">
      <c r="B70" s="117" t="s">
        <v>70</v>
      </c>
      <c r="C70" s="117"/>
      <c r="D70" s="117" t="s">
        <v>65</v>
      </c>
      <c r="E70" s="117" t="s">
        <v>69</v>
      </c>
      <c r="F70" s="117"/>
      <c r="G70" s="117" t="s">
        <v>36</v>
      </c>
      <c r="H70" s="84" t="s">
        <v>3</v>
      </c>
      <c r="I70" s="83">
        <f>SUM(J70:O70)</f>
        <v>432</v>
      </c>
      <c r="J70" s="83">
        <f t="shared" ref="J70:O70" si="27">J71+J72+J73</f>
        <v>0</v>
      </c>
      <c r="K70" s="83">
        <f t="shared" si="27"/>
        <v>12</v>
      </c>
      <c r="L70" s="83">
        <f t="shared" si="27"/>
        <v>0</v>
      </c>
      <c r="M70" s="83">
        <f t="shared" si="27"/>
        <v>210</v>
      </c>
      <c r="N70" s="83">
        <f t="shared" si="27"/>
        <v>210</v>
      </c>
      <c r="O70" s="83">
        <f t="shared" si="27"/>
        <v>0</v>
      </c>
      <c r="P70" s="134"/>
    </row>
    <row r="71" spans="2:16" outlineLevel="1" x14ac:dyDescent="0.2">
      <c r="B71" s="118"/>
      <c r="C71" s="132"/>
      <c r="D71" s="118"/>
      <c r="E71" s="118"/>
      <c r="F71" s="118"/>
      <c r="G71" s="118"/>
      <c r="H71" s="84" t="s">
        <v>4</v>
      </c>
      <c r="I71" s="83">
        <f>SUM(J71:O71)</f>
        <v>415.8</v>
      </c>
      <c r="J71" s="75"/>
      <c r="K71" s="75"/>
      <c r="L71" s="75"/>
      <c r="M71" s="75">
        <v>207.9</v>
      </c>
      <c r="N71" s="75">
        <v>207.9</v>
      </c>
      <c r="O71" s="75"/>
      <c r="P71" s="135"/>
    </row>
    <row r="72" spans="2:16" outlineLevel="1" x14ac:dyDescent="0.2">
      <c r="B72" s="118"/>
      <c r="C72" s="132"/>
      <c r="D72" s="118"/>
      <c r="E72" s="118"/>
      <c r="F72" s="118"/>
      <c r="G72" s="118"/>
      <c r="H72" s="84" t="s">
        <v>6</v>
      </c>
      <c r="I72" s="83">
        <f>SUM(J72:O72)</f>
        <v>16.2</v>
      </c>
      <c r="J72" s="75"/>
      <c r="K72" s="75">
        <v>12</v>
      </c>
      <c r="L72" s="75"/>
      <c r="M72" s="75">
        <v>2.1</v>
      </c>
      <c r="N72" s="75">
        <v>2.1</v>
      </c>
      <c r="O72" s="75"/>
      <c r="P72" s="135"/>
    </row>
    <row r="73" spans="2:16" outlineLevel="1" x14ac:dyDescent="0.2">
      <c r="B73" s="119"/>
      <c r="C73" s="133"/>
      <c r="D73" s="119"/>
      <c r="E73" s="119"/>
      <c r="F73" s="119"/>
      <c r="G73" s="119"/>
      <c r="H73" s="84" t="s">
        <v>5</v>
      </c>
      <c r="I73" s="75"/>
      <c r="J73" s="75"/>
      <c r="K73" s="75"/>
      <c r="L73" s="75"/>
      <c r="M73" s="75"/>
      <c r="N73" s="75"/>
      <c r="O73" s="75"/>
      <c r="P73" s="136"/>
    </row>
    <row r="74" spans="2:16" ht="42.75" customHeight="1" outlineLevel="1" x14ac:dyDescent="0.2">
      <c r="B74" s="117" t="s">
        <v>71</v>
      </c>
      <c r="C74" s="117"/>
      <c r="D74" s="117" t="s">
        <v>65</v>
      </c>
      <c r="E74" s="117" t="s">
        <v>69</v>
      </c>
      <c r="F74" s="117"/>
      <c r="G74" s="117" t="s">
        <v>36</v>
      </c>
      <c r="H74" s="84" t="s">
        <v>3</v>
      </c>
      <c r="I74" s="83">
        <f>SUM(J74:O74)</f>
        <v>247</v>
      </c>
      <c r="J74" s="83">
        <f t="shared" ref="J74:O74" si="28">J75+J76+J77</f>
        <v>0</v>
      </c>
      <c r="K74" s="83">
        <f t="shared" si="28"/>
        <v>12</v>
      </c>
      <c r="L74" s="83">
        <f t="shared" si="28"/>
        <v>0</v>
      </c>
      <c r="M74" s="83">
        <f t="shared" si="28"/>
        <v>100</v>
      </c>
      <c r="N74" s="83">
        <f t="shared" si="28"/>
        <v>135</v>
      </c>
      <c r="O74" s="83">
        <f t="shared" si="28"/>
        <v>0</v>
      </c>
      <c r="P74" s="134">
        <v>520000</v>
      </c>
    </row>
    <row r="75" spans="2:16" outlineLevel="1" x14ac:dyDescent="0.2">
      <c r="B75" s="117"/>
      <c r="C75" s="117"/>
      <c r="D75" s="117"/>
      <c r="E75" s="117"/>
      <c r="F75" s="117"/>
      <c r="G75" s="117"/>
      <c r="H75" s="84" t="s">
        <v>4</v>
      </c>
      <c r="I75" s="83">
        <f>SUM(J75:O75)</f>
        <v>232.6</v>
      </c>
      <c r="J75" s="83"/>
      <c r="K75" s="83"/>
      <c r="L75" s="83"/>
      <c r="M75" s="83">
        <v>99</v>
      </c>
      <c r="N75" s="83">
        <v>133.6</v>
      </c>
      <c r="O75" s="83"/>
      <c r="P75" s="135"/>
    </row>
    <row r="76" spans="2:16" outlineLevel="1" x14ac:dyDescent="0.2">
      <c r="B76" s="117"/>
      <c r="C76" s="117"/>
      <c r="D76" s="117"/>
      <c r="E76" s="117"/>
      <c r="F76" s="117"/>
      <c r="G76" s="117"/>
      <c r="H76" s="84" t="s">
        <v>6</v>
      </c>
      <c r="I76" s="83">
        <f>SUM(J76:O76)</f>
        <v>14.4</v>
      </c>
      <c r="J76" s="81"/>
      <c r="K76" s="81">
        <v>12</v>
      </c>
      <c r="L76" s="83"/>
      <c r="M76" s="83">
        <v>1</v>
      </c>
      <c r="N76" s="83">
        <v>1.4</v>
      </c>
      <c r="O76" s="83"/>
      <c r="P76" s="135"/>
    </row>
    <row r="77" spans="2:16" outlineLevel="1" x14ac:dyDescent="0.2">
      <c r="B77" s="117"/>
      <c r="C77" s="117"/>
      <c r="D77" s="117"/>
      <c r="E77" s="117"/>
      <c r="F77" s="117"/>
      <c r="G77" s="117"/>
      <c r="H77" s="84" t="s">
        <v>5</v>
      </c>
      <c r="I77" s="75"/>
      <c r="J77" s="83"/>
      <c r="K77" s="83"/>
      <c r="L77" s="83"/>
      <c r="M77" s="83"/>
      <c r="N77" s="83"/>
      <c r="O77" s="83"/>
      <c r="P77" s="136"/>
    </row>
    <row r="78" spans="2:16" ht="42.75" customHeight="1" outlineLevel="1" x14ac:dyDescent="0.2">
      <c r="B78" s="117" t="s">
        <v>72</v>
      </c>
      <c r="C78" s="117"/>
      <c r="D78" s="117" t="s">
        <v>65</v>
      </c>
      <c r="E78" s="117" t="s">
        <v>73</v>
      </c>
      <c r="F78" s="117">
        <v>500</v>
      </c>
      <c r="G78" s="117" t="s">
        <v>36</v>
      </c>
      <c r="H78" s="84" t="s">
        <v>3</v>
      </c>
      <c r="I78" s="83">
        <f>SUM(J78:O78)</f>
        <v>1522.5</v>
      </c>
      <c r="J78" s="81">
        <f t="shared" ref="J78:O78" si="29">SUM(J79:J80)</f>
        <v>0</v>
      </c>
      <c r="K78" s="81">
        <f t="shared" si="29"/>
        <v>322.5</v>
      </c>
      <c r="L78" s="81">
        <f t="shared" si="29"/>
        <v>300</v>
      </c>
      <c r="M78" s="81">
        <f t="shared" si="29"/>
        <v>300</v>
      </c>
      <c r="N78" s="81">
        <f t="shared" si="29"/>
        <v>300</v>
      </c>
      <c r="O78" s="81">
        <f t="shared" si="29"/>
        <v>300</v>
      </c>
      <c r="P78" s="134">
        <v>200000</v>
      </c>
    </row>
    <row r="79" spans="2:16" outlineLevel="1" x14ac:dyDescent="0.2">
      <c r="B79" s="118"/>
      <c r="C79" s="132"/>
      <c r="D79" s="118"/>
      <c r="E79" s="118"/>
      <c r="F79" s="118"/>
      <c r="G79" s="118"/>
      <c r="H79" s="84" t="s">
        <v>4</v>
      </c>
      <c r="I79" s="83">
        <f>SUM(J79:O79)</f>
        <v>0</v>
      </c>
      <c r="J79" s="81"/>
      <c r="K79" s="81"/>
      <c r="L79" s="81"/>
      <c r="M79" s="81"/>
      <c r="N79" s="81"/>
      <c r="O79" s="81"/>
      <c r="P79" s="135"/>
    </row>
    <row r="80" spans="2:16" outlineLevel="1" x14ac:dyDescent="0.2">
      <c r="B80" s="118"/>
      <c r="C80" s="132"/>
      <c r="D80" s="118"/>
      <c r="E80" s="118"/>
      <c r="F80" s="118"/>
      <c r="G80" s="118"/>
      <c r="H80" s="84" t="s">
        <v>6</v>
      </c>
      <c r="I80" s="83">
        <f>SUM(J80:O80)</f>
        <v>1522.5</v>
      </c>
      <c r="J80" s="81"/>
      <c r="K80" s="81">
        <v>322.5</v>
      </c>
      <c r="L80" s="81">
        <v>300</v>
      </c>
      <c r="M80" s="81">
        <v>300</v>
      </c>
      <c r="N80" s="81">
        <v>300</v>
      </c>
      <c r="O80" s="81">
        <v>300</v>
      </c>
      <c r="P80" s="135"/>
    </row>
    <row r="81" spans="2:17" outlineLevel="1" x14ac:dyDescent="0.2">
      <c r="B81" s="119"/>
      <c r="C81" s="133"/>
      <c r="D81" s="119"/>
      <c r="E81" s="119"/>
      <c r="F81" s="119"/>
      <c r="G81" s="119"/>
      <c r="H81" s="84" t="s">
        <v>5</v>
      </c>
      <c r="I81" s="75"/>
      <c r="J81" s="81"/>
      <c r="K81" s="81"/>
      <c r="L81" s="81"/>
      <c r="M81" s="81"/>
      <c r="N81" s="81"/>
      <c r="O81" s="81"/>
      <c r="P81" s="136"/>
    </row>
    <row r="82" spans="2:17" ht="42.75" customHeight="1" outlineLevel="1" x14ac:dyDescent="0.2">
      <c r="B82" s="117" t="s">
        <v>74</v>
      </c>
      <c r="C82" s="117"/>
      <c r="D82" s="117" t="s">
        <v>65</v>
      </c>
      <c r="E82" s="117" t="s">
        <v>75</v>
      </c>
      <c r="F82" s="117"/>
      <c r="G82" s="117" t="s">
        <v>36</v>
      </c>
      <c r="H82" s="84" t="s">
        <v>3</v>
      </c>
      <c r="I82" s="83">
        <f>SUM(J82:O82)</f>
        <v>745</v>
      </c>
      <c r="J82" s="81"/>
      <c r="K82" s="81"/>
      <c r="L82" s="81">
        <f t="shared" ref="L82:N82" si="30">SUM(L83:L84)</f>
        <v>284</v>
      </c>
      <c r="M82" s="81">
        <f t="shared" si="30"/>
        <v>185</v>
      </c>
      <c r="N82" s="81">
        <f t="shared" si="30"/>
        <v>276</v>
      </c>
      <c r="O82" s="81"/>
      <c r="P82" s="134">
        <v>895000</v>
      </c>
    </row>
    <row r="83" spans="2:17" outlineLevel="1" x14ac:dyDescent="0.2">
      <c r="B83" s="118"/>
      <c r="C83" s="132"/>
      <c r="D83" s="118"/>
      <c r="E83" s="118"/>
      <c r="F83" s="118"/>
      <c r="G83" s="118"/>
      <c r="H83" s="84" t="s">
        <v>4</v>
      </c>
      <c r="I83" s="83">
        <f>SUM(J83:O83)</f>
        <v>737.55000000000007</v>
      </c>
      <c r="J83" s="81"/>
      <c r="K83" s="81"/>
      <c r="L83" s="81">
        <v>281.16000000000003</v>
      </c>
      <c r="M83" s="81">
        <v>183.15</v>
      </c>
      <c r="N83" s="81">
        <v>273.24</v>
      </c>
      <c r="O83" s="81"/>
      <c r="P83" s="135"/>
    </row>
    <row r="84" spans="2:17" outlineLevel="1" x14ac:dyDescent="0.2">
      <c r="B84" s="118"/>
      <c r="C84" s="132"/>
      <c r="D84" s="118"/>
      <c r="E84" s="118"/>
      <c r="F84" s="118"/>
      <c r="G84" s="118"/>
      <c r="H84" s="84" t="s">
        <v>6</v>
      </c>
      <c r="I84" s="83">
        <f>SUM(J84:O84)</f>
        <v>7.4499999999999993</v>
      </c>
      <c r="J84" s="81"/>
      <c r="K84" s="81"/>
      <c r="L84" s="81">
        <v>2.84</v>
      </c>
      <c r="M84" s="81">
        <v>1.85</v>
      </c>
      <c r="N84" s="81">
        <v>2.76</v>
      </c>
      <c r="O84" s="81"/>
      <c r="P84" s="135"/>
    </row>
    <row r="85" spans="2:17" outlineLevel="1" x14ac:dyDescent="0.2">
      <c r="B85" s="119"/>
      <c r="C85" s="133"/>
      <c r="D85" s="119"/>
      <c r="E85" s="119"/>
      <c r="F85" s="119"/>
      <c r="G85" s="119"/>
      <c r="H85" s="84" t="s">
        <v>5</v>
      </c>
      <c r="I85" s="75"/>
      <c r="J85" s="81"/>
      <c r="K85" s="81"/>
      <c r="L85" s="81"/>
      <c r="M85" s="81"/>
      <c r="N85" s="81"/>
      <c r="O85" s="81"/>
      <c r="P85" s="136"/>
    </row>
    <row r="86" spans="2:17" ht="42.75" x14ac:dyDescent="0.2">
      <c r="B86" s="128" t="s">
        <v>76</v>
      </c>
      <c r="C86" s="128" t="s">
        <v>38</v>
      </c>
      <c r="D86" s="128" t="s">
        <v>38</v>
      </c>
      <c r="E86" s="128" t="s">
        <v>38</v>
      </c>
      <c r="F86" s="128" t="s">
        <v>38</v>
      </c>
      <c r="G86" s="128" t="s">
        <v>38</v>
      </c>
      <c r="H86" s="84" t="s">
        <v>3</v>
      </c>
      <c r="I86" s="14">
        <f t="shared" ref="I86:O86" si="31">SUMIF($H$62:$H$85,"Объем*",I$62:I$85)</f>
        <v>3858.5</v>
      </c>
      <c r="J86" s="14">
        <f t="shared" si="31"/>
        <v>0</v>
      </c>
      <c r="K86" s="14">
        <f t="shared" si="31"/>
        <v>358.5</v>
      </c>
      <c r="L86" s="14">
        <f t="shared" si="31"/>
        <v>784</v>
      </c>
      <c r="M86" s="14">
        <f t="shared" si="31"/>
        <v>1295</v>
      </c>
      <c r="N86" s="14">
        <f t="shared" si="31"/>
        <v>1121</v>
      </c>
      <c r="O86" s="14">
        <f t="shared" si="31"/>
        <v>300</v>
      </c>
      <c r="P86" s="128"/>
      <c r="Q86" s="15"/>
    </row>
    <row r="87" spans="2:17" ht="15.75" x14ac:dyDescent="0.2">
      <c r="B87" s="129"/>
      <c r="C87" s="129"/>
      <c r="D87" s="129"/>
      <c r="E87" s="129"/>
      <c r="F87" s="129"/>
      <c r="G87" s="129"/>
      <c r="H87" s="84" t="s">
        <v>4</v>
      </c>
      <c r="I87" s="14">
        <f t="shared" ref="I87:O87" si="32">SUMIF($H$62:$H$85,"фед*",I$62:I$85)</f>
        <v>2276.9499999999998</v>
      </c>
      <c r="J87" s="14">
        <f t="shared" si="32"/>
        <v>0</v>
      </c>
      <c r="K87" s="14">
        <f t="shared" si="32"/>
        <v>0</v>
      </c>
      <c r="L87" s="14">
        <f t="shared" si="32"/>
        <v>479.16</v>
      </c>
      <c r="M87" s="14">
        <f t="shared" si="32"/>
        <v>985.05</v>
      </c>
      <c r="N87" s="14">
        <f t="shared" si="32"/>
        <v>812.74</v>
      </c>
      <c r="O87" s="14">
        <f t="shared" si="32"/>
        <v>0</v>
      </c>
      <c r="P87" s="129"/>
    </row>
    <row r="88" spans="2:17" ht="15.75" x14ac:dyDescent="0.2">
      <c r="B88" s="129"/>
      <c r="C88" s="129"/>
      <c r="D88" s="129"/>
      <c r="E88" s="129"/>
      <c r="F88" s="129"/>
      <c r="G88" s="129"/>
      <c r="H88" s="84" t="s">
        <v>6</v>
      </c>
      <c r="I88" s="14">
        <f t="shared" ref="I88:O88" si="33">SUMIF($H$62:$H$85,"конс*",I$62:I$85)</f>
        <v>1581.55</v>
      </c>
      <c r="J88" s="14">
        <f t="shared" si="33"/>
        <v>0</v>
      </c>
      <c r="K88" s="14">
        <f t="shared" si="33"/>
        <v>358.5</v>
      </c>
      <c r="L88" s="14">
        <f t="shared" si="33"/>
        <v>304.83999999999997</v>
      </c>
      <c r="M88" s="14">
        <f t="shared" si="33"/>
        <v>309.95000000000005</v>
      </c>
      <c r="N88" s="14">
        <f t="shared" si="33"/>
        <v>308.26</v>
      </c>
      <c r="O88" s="14">
        <f t="shared" si="33"/>
        <v>300</v>
      </c>
      <c r="P88" s="129"/>
    </row>
    <row r="89" spans="2:17" ht="15.75" x14ac:dyDescent="0.2">
      <c r="B89" s="130"/>
      <c r="C89" s="130"/>
      <c r="D89" s="130"/>
      <c r="E89" s="130"/>
      <c r="F89" s="130"/>
      <c r="G89" s="130"/>
      <c r="H89" s="84" t="s">
        <v>5</v>
      </c>
      <c r="I89" s="14">
        <f t="shared" ref="I89:O89" si="34">SUMIF($H$62:$H$85,"вне*",I$62:I$85)</f>
        <v>0</v>
      </c>
      <c r="J89" s="14">
        <f t="shared" si="34"/>
        <v>0</v>
      </c>
      <c r="K89" s="14">
        <f t="shared" si="34"/>
        <v>0</v>
      </c>
      <c r="L89" s="14">
        <f t="shared" si="34"/>
        <v>0</v>
      </c>
      <c r="M89" s="14">
        <f t="shared" si="34"/>
        <v>0</v>
      </c>
      <c r="N89" s="14">
        <f t="shared" si="34"/>
        <v>0</v>
      </c>
      <c r="O89" s="14">
        <f t="shared" si="34"/>
        <v>0</v>
      </c>
      <c r="P89" s="130"/>
    </row>
    <row r="90" spans="2:17" ht="42.75" x14ac:dyDescent="0.2">
      <c r="B90" s="128" t="s">
        <v>77</v>
      </c>
      <c r="C90" s="128" t="s">
        <v>38</v>
      </c>
      <c r="D90" s="128" t="s">
        <v>38</v>
      </c>
      <c r="E90" s="128" t="s">
        <v>38</v>
      </c>
      <c r="F90" s="128" t="s">
        <v>38</v>
      </c>
      <c r="G90" s="128" t="s">
        <v>38</v>
      </c>
      <c r="H90" s="84" t="s">
        <v>3</v>
      </c>
      <c r="I90" s="14">
        <f>I10+I31+I48+I57+I86</f>
        <v>3968.6570000000002</v>
      </c>
      <c r="J90" s="14">
        <f t="shared" ref="J90:O93" si="35">J10+J31+J48+J57+J86</f>
        <v>0</v>
      </c>
      <c r="K90" s="14">
        <f t="shared" si="35"/>
        <v>372.08199999999999</v>
      </c>
      <c r="L90" s="14">
        <f t="shared" si="35"/>
        <v>831.28200000000004</v>
      </c>
      <c r="M90" s="14">
        <f t="shared" si="35"/>
        <v>1324.2929999999999</v>
      </c>
      <c r="N90" s="14">
        <f t="shared" si="35"/>
        <v>1131</v>
      </c>
      <c r="O90" s="14">
        <f t="shared" si="35"/>
        <v>310</v>
      </c>
      <c r="P90" s="128"/>
      <c r="Q90" s="7"/>
    </row>
    <row r="91" spans="2:17" ht="15.75" x14ac:dyDescent="0.2">
      <c r="B91" s="129"/>
      <c r="C91" s="129"/>
      <c r="D91" s="129"/>
      <c r="E91" s="129"/>
      <c r="F91" s="129"/>
      <c r="G91" s="129"/>
      <c r="H91" s="84" t="s">
        <v>4</v>
      </c>
      <c r="I91" s="14">
        <f>I11+I32+I49+I58+I87</f>
        <v>2306.9499999999998</v>
      </c>
      <c r="J91" s="14">
        <f t="shared" si="35"/>
        <v>0</v>
      </c>
      <c r="K91" s="14">
        <f t="shared" si="35"/>
        <v>0</v>
      </c>
      <c r="L91" s="14">
        <f t="shared" si="35"/>
        <v>509.16</v>
      </c>
      <c r="M91" s="14">
        <f t="shared" si="35"/>
        <v>985.05</v>
      </c>
      <c r="N91" s="14">
        <f t="shared" si="35"/>
        <v>812.74</v>
      </c>
      <c r="O91" s="14">
        <f t="shared" si="35"/>
        <v>0</v>
      </c>
      <c r="P91" s="129"/>
      <c r="Q91" s="7"/>
    </row>
    <row r="92" spans="2:17" ht="15.75" x14ac:dyDescent="0.2">
      <c r="B92" s="129"/>
      <c r="C92" s="129"/>
      <c r="D92" s="129"/>
      <c r="E92" s="129"/>
      <c r="F92" s="129"/>
      <c r="G92" s="129"/>
      <c r="H92" s="84" t="s">
        <v>6</v>
      </c>
      <c r="I92" s="14">
        <f>I12+I33+I50+I59+I88</f>
        <v>1661.7069999999999</v>
      </c>
      <c r="J92" s="14">
        <f t="shared" si="35"/>
        <v>0</v>
      </c>
      <c r="K92" s="14">
        <f t="shared" si="35"/>
        <v>372.08199999999999</v>
      </c>
      <c r="L92" s="14">
        <f t="shared" si="35"/>
        <v>322.12199999999996</v>
      </c>
      <c r="M92" s="14">
        <f t="shared" si="35"/>
        <v>339.24300000000005</v>
      </c>
      <c r="N92" s="14">
        <f t="shared" si="35"/>
        <v>318.26</v>
      </c>
      <c r="O92" s="14">
        <f t="shared" si="35"/>
        <v>310</v>
      </c>
      <c r="P92" s="129"/>
      <c r="Q92" s="7"/>
    </row>
    <row r="93" spans="2:17" ht="15.75" x14ac:dyDescent="0.2">
      <c r="B93" s="130"/>
      <c r="C93" s="130"/>
      <c r="D93" s="130"/>
      <c r="E93" s="130"/>
      <c r="F93" s="130"/>
      <c r="G93" s="130"/>
      <c r="H93" s="84" t="s">
        <v>5</v>
      </c>
      <c r="I93" s="14">
        <f>I13+I34+I51+I60+I89</f>
        <v>0</v>
      </c>
      <c r="J93" s="14">
        <f t="shared" si="35"/>
        <v>0</v>
      </c>
      <c r="K93" s="14">
        <f t="shared" si="35"/>
        <v>0</v>
      </c>
      <c r="L93" s="14">
        <f t="shared" si="35"/>
        <v>0</v>
      </c>
      <c r="M93" s="14">
        <f t="shared" si="35"/>
        <v>0</v>
      </c>
      <c r="N93" s="14">
        <f t="shared" si="35"/>
        <v>0</v>
      </c>
      <c r="O93" s="14">
        <f t="shared" si="35"/>
        <v>0</v>
      </c>
      <c r="P93" s="130"/>
      <c r="Q93" s="7"/>
    </row>
    <row r="94" spans="2:17" x14ac:dyDescent="0.2">
      <c r="Q94" s="7"/>
    </row>
  </sheetData>
  <mergeCells count="161">
    <mergeCell ref="P90:P93"/>
    <mergeCell ref="B90:B93"/>
    <mergeCell ref="C90:C93"/>
    <mergeCell ref="D90:D93"/>
    <mergeCell ref="E90:E93"/>
    <mergeCell ref="F90:F93"/>
    <mergeCell ref="G90:G93"/>
    <mergeCell ref="P82:P85"/>
    <mergeCell ref="B86:B89"/>
    <mergeCell ref="C86:C89"/>
    <mergeCell ref="D86:D89"/>
    <mergeCell ref="E86:E89"/>
    <mergeCell ref="F86:F89"/>
    <mergeCell ref="G86:G89"/>
    <mergeCell ref="P86:P89"/>
    <mergeCell ref="B82:B85"/>
    <mergeCell ref="C82:C85"/>
    <mergeCell ref="D82:D85"/>
    <mergeCell ref="E82:E85"/>
    <mergeCell ref="F82:F85"/>
    <mergeCell ref="G82:G85"/>
    <mergeCell ref="P74:P77"/>
    <mergeCell ref="B78:B81"/>
    <mergeCell ref="C78:C81"/>
    <mergeCell ref="D78:D81"/>
    <mergeCell ref="E78:E81"/>
    <mergeCell ref="F78:F81"/>
    <mergeCell ref="G78:G81"/>
    <mergeCell ref="P78:P81"/>
    <mergeCell ref="B74:B77"/>
    <mergeCell ref="C74:C77"/>
    <mergeCell ref="D74:D77"/>
    <mergeCell ref="E74:E77"/>
    <mergeCell ref="F74:F77"/>
    <mergeCell ref="G74:G77"/>
    <mergeCell ref="P66:P69"/>
    <mergeCell ref="B70:B73"/>
    <mergeCell ref="C70:C73"/>
    <mergeCell ref="D70:D73"/>
    <mergeCell ref="E70:E73"/>
    <mergeCell ref="F70:F73"/>
    <mergeCell ref="G70:G73"/>
    <mergeCell ref="P70:P73"/>
    <mergeCell ref="B66:B69"/>
    <mergeCell ref="C66:C69"/>
    <mergeCell ref="D66:D69"/>
    <mergeCell ref="E66:E69"/>
    <mergeCell ref="F66:F69"/>
    <mergeCell ref="G66:G69"/>
    <mergeCell ref="P57:P60"/>
    <mergeCell ref="B61:P61"/>
    <mergeCell ref="B62:B65"/>
    <mergeCell ref="C62:C65"/>
    <mergeCell ref="D62:D65"/>
    <mergeCell ref="E62:E65"/>
    <mergeCell ref="F62:F65"/>
    <mergeCell ref="G62:G65"/>
    <mergeCell ref="P62:P65"/>
    <mergeCell ref="B57:B60"/>
    <mergeCell ref="C57:C60"/>
    <mergeCell ref="D57:D60"/>
    <mergeCell ref="E57:E60"/>
    <mergeCell ref="F57:F60"/>
    <mergeCell ref="G57:G60"/>
    <mergeCell ref="P48:P51"/>
    <mergeCell ref="B52:P52"/>
    <mergeCell ref="B53:B56"/>
    <mergeCell ref="C53:C56"/>
    <mergeCell ref="D53:D56"/>
    <mergeCell ref="E53:E56"/>
    <mergeCell ref="F53:F56"/>
    <mergeCell ref="G53:G56"/>
    <mergeCell ref="P53:P56"/>
    <mergeCell ref="B48:B51"/>
    <mergeCell ref="C48:C51"/>
    <mergeCell ref="D48:D51"/>
    <mergeCell ref="E48:E51"/>
    <mergeCell ref="F48:F51"/>
    <mergeCell ref="G48:G51"/>
    <mergeCell ref="P40:P43"/>
    <mergeCell ref="B44:B47"/>
    <mergeCell ref="C44:C47"/>
    <mergeCell ref="D44:D47"/>
    <mergeCell ref="E44:E47"/>
    <mergeCell ref="F44:F47"/>
    <mergeCell ref="G44:G47"/>
    <mergeCell ref="P44:P47"/>
    <mergeCell ref="B40:B43"/>
    <mergeCell ref="C40:C43"/>
    <mergeCell ref="D40:D43"/>
    <mergeCell ref="E40:E43"/>
    <mergeCell ref="F40:F43"/>
    <mergeCell ref="G40:G43"/>
    <mergeCell ref="B35:P35"/>
    <mergeCell ref="B36:B39"/>
    <mergeCell ref="C36:C39"/>
    <mergeCell ref="D36:D39"/>
    <mergeCell ref="E36:E39"/>
    <mergeCell ref="F36:F39"/>
    <mergeCell ref="G36:G39"/>
    <mergeCell ref="P36:P39"/>
    <mergeCell ref="P27:P30"/>
    <mergeCell ref="B31:B34"/>
    <mergeCell ref="C31:C34"/>
    <mergeCell ref="D31:D34"/>
    <mergeCell ref="E31:E34"/>
    <mergeCell ref="F31:F34"/>
    <mergeCell ref="G31:G34"/>
    <mergeCell ref="P31:P34"/>
    <mergeCell ref="B27:B30"/>
    <mergeCell ref="C27:C30"/>
    <mergeCell ref="D27:D30"/>
    <mergeCell ref="E27:E30"/>
    <mergeCell ref="F27:F30"/>
    <mergeCell ref="G27:G30"/>
    <mergeCell ref="P19:P22"/>
    <mergeCell ref="B23:B26"/>
    <mergeCell ref="C23:C26"/>
    <mergeCell ref="D23:D26"/>
    <mergeCell ref="E23:E26"/>
    <mergeCell ref="F23:F26"/>
    <mergeCell ref="G23:G26"/>
    <mergeCell ref="P23:P26"/>
    <mergeCell ref="B19:B22"/>
    <mergeCell ref="C19:C22"/>
    <mergeCell ref="D19:D22"/>
    <mergeCell ref="E19:E22"/>
    <mergeCell ref="F19:F22"/>
    <mergeCell ref="G19:G22"/>
    <mergeCell ref="P10:P13"/>
    <mergeCell ref="B14:P14"/>
    <mergeCell ref="B15:B18"/>
    <mergeCell ref="C15:C18"/>
    <mergeCell ref="D15:D18"/>
    <mergeCell ref="E15:E18"/>
    <mergeCell ref="F15:F18"/>
    <mergeCell ref="G15:G18"/>
    <mergeCell ref="P15:P18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94:XFD1048576 A9:XFD13 A52:I52 J52:XFD55 A56:XFD56 A57:P60 I86:O93 I48:O51 I31:O34 A5:I5 A3:C4 E3:G4 I4 J4:XFD8 P3:XFD3 A1:XFD2">
    <cfRule type="cellIs" dxfId="274" priority="11" operator="equal">
      <formula>0</formula>
    </cfRule>
  </conditionalFormatting>
  <conditionalFormatting sqref="B62:B85">
    <cfRule type="duplicateValues" dxfId="273" priority="10"/>
  </conditionalFormatting>
  <conditionalFormatting sqref="A6:H8">
    <cfRule type="cellIs" dxfId="272" priority="9" operator="equal">
      <formula>0</formula>
    </cfRule>
  </conditionalFormatting>
  <conditionalFormatting sqref="I6:I8">
    <cfRule type="cellIs" dxfId="271" priority="7" operator="equal">
      <formula>0</formula>
    </cfRule>
  </conditionalFormatting>
  <conditionalFormatting sqref="I10:O10 I57:O57">
    <cfRule type="cellIs" priority="8" operator="equal">
      <formula>0</formula>
    </cfRule>
  </conditionalFormatting>
  <conditionalFormatting sqref="A53:H55 R57:XFD60">
    <cfRule type="cellIs" dxfId="270" priority="5" operator="equal">
      <formula>0</formula>
    </cfRule>
  </conditionalFormatting>
  <conditionalFormatting sqref="I53:I55">
    <cfRule type="cellIs" dxfId="269" priority="4" operator="equal">
      <formula>0</formula>
    </cfRule>
  </conditionalFormatting>
  <conditionalFormatting sqref="B52:B60">
    <cfRule type="duplicateValues" dxfId="268" priority="6"/>
  </conditionalFormatting>
  <conditionalFormatting sqref="D3:D4">
    <cfRule type="cellIs" dxfId="267" priority="3" operator="equal">
      <formula>0</formula>
    </cfRule>
  </conditionalFormatting>
  <conditionalFormatting sqref="H4">
    <cfRule type="cellIs" dxfId="266" priority="2" operator="equal">
      <formula>0</formula>
    </cfRule>
  </conditionalFormatting>
  <conditionalFormatting sqref="H3:O3">
    <cfRule type="cellIs" dxfId="265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5AB5-4188-42F9-8718-7A04D7641A05}">
  <sheetPr>
    <pageSetUpPr fitToPage="1"/>
  </sheetPr>
  <dimension ref="A1:R1217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1406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6384" width="9.140625" style="2"/>
  </cols>
  <sheetData>
    <row r="1" spans="2:16" ht="21.75" customHeight="1" x14ac:dyDescent="0.25">
      <c r="B1" s="120" t="s">
        <v>78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6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6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6" ht="25.5" customHeight="1" x14ac:dyDescent="0.2">
      <c r="B5" s="111" t="s">
        <v>79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88.5" customHeight="1" outlineLevel="1" x14ac:dyDescent="0.2">
      <c r="B6" s="117" t="s">
        <v>80</v>
      </c>
      <c r="C6" s="117"/>
      <c r="D6" s="117" t="s">
        <v>79</v>
      </c>
      <c r="E6" s="117" t="s">
        <v>81</v>
      </c>
      <c r="F6" s="117" t="s">
        <v>82</v>
      </c>
      <c r="G6" s="117" t="s">
        <v>83</v>
      </c>
      <c r="H6" s="84" t="s">
        <v>3</v>
      </c>
      <c r="I6" s="17">
        <f>SUM(J6:O6)</f>
        <v>20</v>
      </c>
      <c r="J6" s="17">
        <f t="shared" ref="J6:O6" si="0">J7+J8+J9</f>
        <v>0</v>
      </c>
      <c r="K6" s="83">
        <f t="shared" si="0"/>
        <v>0</v>
      </c>
      <c r="L6" s="83">
        <f t="shared" si="0"/>
        <v>0</v>
      </c>
      <c r="M6" s="83">
        <f t="shared" si="0"/>
        <v>0</v>
      </c>
      <c r="N6" s="83">
        <f t="shared" si="0"/>
        <v>0</v>
      </c>
      <c r="O6" s="83">
        <f t="shared" si="0"/>
        <v>20</v>
      </c>
      <c r="P6" s="117"/>
    </row>
    <row r="7" spans="2:16" outlineLevel="1" x14ac:dyDescent="0.2">
      <c r="B7" s="118"/>
      <c r="C7" s="132"/>
      <c r="D7" s="118"/>
      <c r="E7" s="118"/>
      <c r="F7" s="118"/>
      <c r="G7" s="118"/>
      <c r="H7" s="84" t="s">
        <v>4</v>
      </c>
      <c r="I7" s="17"/>
      <c r="J7" s="17"/>
      <c r="K7" s="83"/>
      <c r="L7" s="83"/>
      <c r="M7" s="83"/>
      <c r="N7" s="83"/>
      <c r="O7" s="83"/>
      <c r="P7" s="118"/>
    </row>
    <row r="8" spans="2:16" outlineLevel="1" x14ac:dyDescent="0.2">
      <c r="B8" s="118"/>
      <c r="C8" s="132"/>
      <c r="D8" s="118"/>
      <c r="E8" s="118"/>
      <c r="F8" s="118"/>
      <c r="G8" s="118"/>
      <c r="H8" s="84" t="s">
        <v>6</v>
      </c>
      <c r="I8" s="17">
        <f>SUM(J8:O8)</f>
        <v>20</v>
      </c>
      <c r="J8" s="17"/>
      <c r="K8" s="83"/>
      <c r="L8" s="83"/>
      <c r="M8" s="83"/>
      <c r="N8" s="83"/>
      <c r="O8" s="83">
        <v>20</v>
      </c>
      <c r="P8" s="118"/>
    </row>
    <row r="9" spans="2:16" outlineLevel="1" x14ac:dyDescent="0.2">
      <c r="B9" s="119"/>
      <c r="C9" s="133"/>
      <c r="D9" s="119"/>
      <c r="E9" s="119"/>
      <c r="F9" s="119"/>
      <c r="G9" s="119"/>
      <c r="H9" s="84" t="s">
        <v>5</v>
      </c>
      <c r="I9" s="17"/>
      <c r="J9" s="17"/>
      <c r="K9" s="83"/>
      <c r="L9" s="83"/>
      <c r="M9" s="83"/>
      <c r="N9" s="83"/>
      <c r="O9" s="83"/>
      <c r="P9" s="119"/>
    </row>
    <row r="10" spans="2:16" ht="42.75" customHeight="1" outlineLevel="1" x14ac:dyDescent="0.2">
      <c r="B10" s="117" t="s">
        <v>84</v>
      </c>
      <c r="C10" s="117"/>
      <c r="D10" s="117" t="s">
        <v>79</v>
      </c>
      <c r="E10" s="117">
        <v>2026</v>
      </c>
      <c r="F10" s="117" t="s">
        <v>85</v>
      </c>
      <c r="G10" s="117" t="s">
        <v>83</v>
      </c>
      <c r="H10" s="84" t="s">
        <v>3</v>
      </c>
      <c r="I10" s="17">
        <f>SUM(J10:O10)</f>
        <v>20</v>
      </c>
      <c r="J10" s="17">
        <f t="shared" ref="J10:O10" si="1">J11+J12+J13</f>
        <v>0</v>
      </c>
      <c r="K10" s="83">
        <f t="shared" si="1"/>
        <v>0</v>
      </c>
      <c r="L10" s="83">
        <f t="shared" si="1"/>
        <v>0</v>
      </c>
      <c r="M10" s="83">
        <f t="shared" si="1"/>
        <v>20</v>
      </c>
      <c r="N10" s="83">
        <f t="shared" si="1"/>
        <v>0</v>
      </c>
      <c r="O10" s="83">
        <f t="shared" si="1"/>
        <v>0</v>
      </c>
      <c r="P10" s="117"/>
    </row>
    <row r="11" spans="2:16" outlineLevel="1" x14ac:dyDescent="0.2">
      <c r="B11" s="118"/>
      <c r="C11" s="132"/>
      <c r="D11" s="118"/>
      <c r="E11" s="118"/>
      <c r="F11" s="118"/>
      <c r="G11" s="118"/>
      <c r="H11" s="84" t="s">
        <v>4</v>
      </c>
      <c r="I11" s="17"/>
      <c r="J11" s="17"/>
      <c r="K11" s="83"/>
      <c r="L11" s="83"/>
      <c r="M11" s="83"/>
      <c r="N11" s="83"/>
      <c r="O11" s="83"/>
      <c r="P11" s="118"/>
    </row>
    <row r="12" spans="2:16" outlineLevel="1" x14ac:dyDescent="0.2">
      <c r="B12" s="118"/>
      <c r="C12" s="132"/>
      <c r="D12" s="118"/>
      <c r="E12" s="118"/>
      <c r="F12" s="118"/>
      <c r="G12" s="118"/>
      <c r="H12" s="84" t="s">
        <v>6</v>
      </c>
      <c r="I12" s="17">
        <f>SUM(J12:O12)</f>
        <v>20</v>
      </c>
      <c r="J12" s="17"/>
      <c r="K12" s="83"/>
      <c r="L12" s="83"/>
      <c r="M12" s="83">
        <v>20</v>
      </c>
      <c r="N12" s="83"/>
      <c r="O12" s="83"/>
      <c r="P12" s="118"/>
    </row>
    <row r="13" spans="2:16" outlineLevel="1" x14ac:dyDescent="0.2">
      <c r="B13" s="119"/>
      <c r="C13" s="133"/>
      <c r="D13" s="119"/>
      <c r="E13" s="119"/>
      <c r="F13" s="119"/>
      <c r="G13" s="119"/>
      <c r="H13" s="84" t="s">
        <v>5</v>
      </c>
      <c r="I13" s="17">
        <f t="shared" ref="I13:I17" si="2">SUM(J13:O13)</f>
        <v>0</v>
      </c>
      <c r="J13" s="17"/>
      <c r="K13" s="83"/>
      <c r="L13" s="83"/>
      <c r="M13" s="83"/>
      <c r="N13" s="83"/>
      <c r="O13" s="83"/>
      <c r="P13" s="119"/>
    </row>
    <row r="14" spans="2:16" ht="42.75" customHeight="1" outlineLevel="1" x14ac:dyDescent="0.2">
      <c r="B14" s="117" t="s">
        <v>86</v>
      </c>
      <c r="C14" s="117"/>
      <c r="D14" s="117" t="s">
        <v>79</v>
      </c>
      <c r="E14" s="117">
        <v>2020</v>
      </c>
      <c r="F14" s="117" t="s">
        <v>87</v>
      </c>
      <c r="G14" s="117" t="s">
        <v>88</v>
      </c>
      <c r="H14" s="84" t="s">
        <v>3</v>
      </c>
      <c r="I14" s="17">
        <f t="shared" si="2"/>
        <v>54.749200000000002</v>
      </c>
      <c r="J14" s="17">
        <f t="shared" ref="J14:O14" si="3">J15+J16+J17</f>
        <v>54.749200000000002</v>
      </c>
      <c r="K14" s="83">
        <f t="shared" si="3"/>
        <v>0</v>
      </c>
      <c r="L14" s="83">
        <f t="shared" si="3"/>
        <v>0</v>
      </c>
      <c r="M14" s="83">
        <f t="shared" si="3"/>
        <v>0</v>
      </c>
      <c r="N14" s="83">
        <f t="shared" si="3"/>
        <v>0</v>
      </c>
      <c r="O14" s="83">
        <f t="shared" si="3"/>
        <v>0</v>
      </c>
      <c r="P14" s="117">
        <v>300</v>
      </c>
    </row>
    <row r="15" spans="2:16" outlineLevel="1" x14ac:dyDescent="0.2">
      <c r="B15" s="118"/>
      <c r="C15" s="132"/>
      <c r="D15" s="118"/>
      <c r="E15" s="118"/>
      <c r="F15" s="118"/>
      <c r="G15" s="118"/>
      <c r="H15" s="84" t="s">
        <v>4</v>
      </c>
      <c r="I15" s="17">
        <f t="shared" si="2"/>
        <v>30.8841</v>
      </c>
      <c r="J15" s="17">
        <v>30.8841</v>
      </c>
      <c r="K15" s="83"/>
      <c r="L15" s="83"/>
      <c r="M15" s="83"/>
      <c r="N15" s="83"/>
      <c r="O15" s="83"/>
      <c r="P15" s="118"/>
    </row>
    <row r="16" spans="2:16" outlineLevel="1" x14ac:dyDescent="0.2">
      <c r="B16" s="118"/>
      <c r="C16" s="132"/>
      <c r="D16" s="118"/>
      <c r="E16" s="118"/>
      <c r="F16" s="118"/>
      <c r="G16" s="118"/>
      <c r="H16" s="84" t="s">
        <v>6</v>
      </c>
      <c r="I16" s="17">
        <f t="shared" si="2"/>
        <v>23.865100000000002</v>
      </c>
      <c r="J16" s="17">
        <v>23.865100000000002</v>
      </c>
      <c r="K16" s="83"/>
      <c r="L16" s="83"/>
      <c r="M16" s="83"/>
      <c r="N16" s="83"/>
      <c r="O16" s="83"/>
      <c r="P16" s="118"/>
    </row>
    <row r="17" spans="2:17" outlineLevel="1" x14ac:dyDescent="0.2">
      <c r="B17" s="119"/>
      <c r="C17" s="133"/>
      <c r="D17" s="119"/>
      <c r="E17" s="119"/>
      <c r="F17" s="119"/>
      <c r="G17" s="119"/>
      <c r="H17" s="84" t="s">
        <v>5</v>
      </c>
      <c r="I17" s="17">
        <f t="shared" si="2"/>
        <v>0</v>
      </c>
      <c r="J17" s="17"/>
      <c r="K17" s="83"/>
      <c r="L17" s="83"/>
      <c r="M17" s="83"/>
      <c r="N17" s="83"/>
      <c r="O17" s="83"/>
      <c r="P17" s="119"/>
    </row>
    <row r="18" spans="2:17" ht="42.75" x14ac:dyDescent="0.2">
      <c r="B18" s="128" t="s">
        <v>89</v>
      </c>
      <c r="C18" s="128" t="s">
        <v>38</v>
      </c>
      <c r="D18" s="128" t="s">
        <v>38</v>
      </c>
      <c r="E18" s="128" t="s">
        <v>38</v>
      </c>
      <c r="F18" s="128" t="s">
        <v>38</v>
      </c>
      <c r="G18" s="128" t="s">
        <v>38</v>
      </c>
      <c r="H18" s="84" t="s">
        <v>3</v>
      </c>
      <c r="I18" s="14">
        <f t="shared" ref="I18:O18" si="4">SUMIF($H$6:$H$17,"Объем*",I$6:I$17)</f>
        <v>94.749200000000002</v>
      </c>
      <c r="J18" s="14">
        <f t="shared" si="4"/>
        <v>54.749200000000002</v>
      </c>
      <c r="K18" s="14">
        <f t="shared" si="4"/>
        <v>0</v>
      </c>
      <c r="L18" s="14">
        <f t="shared" si="4"/>
        <v>0</v>
      </c>
      <c r="M18" s="14">
        <f t="shared" si="4"/>
        <v>20</v>
      </c>
      <c r="N18" s="14">
        <f t="shared" si="4"/>
        <v>0</v>
      </c>
      <c r="O18" s="14">
        <f t="shared" si="4"/>
        <v>20</v>
      </c>
      <c r="P18" s="128"/>
      <c r="Q18" s="18"/>
    </row>
    <row r="19" spans="2:17" ht="15.75" x14ac:dyDescent="0.2">
      <c r="B19" s="129"/>
      <c r="C19" s="129"/>
      <c r="D19" s="129"/>
      <c r="E19" s="129"/>
      <c r="F19" s="129"/>
      <c r="G19" s="129"/>
      <c r="H19" s="84" t="s">
        <v>4</v>
      </c>
      <c r="I19" s="14">
        <f t="shared" ref="I19:O19" si="5">SUMIF($H$6:$H$17,"фед*",I$6:I$17)</f>
        <v>30.8841</v>
      </c>
      <c r="J19" s="14">
        <f t="shared" si="5"/>
        <v>30.8841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5"/>
        <v>0</v>
      </c>
      <c r="O19" s="14">
        <f t="shared" si="5"/>
        <v>0</v>
      </c>
      <c r="P19" s="129"/>
    </row>
    <row r="20" spans="2:17" ht="15.75" x14ac:dyDescent="0.2">
      <c r="B20" s="129"/>
      <c r="C20" s="129"/>
      <c r="D20" s="129"/>
      <c r="E20" s="129"/>
      <c r="F20" s="129"/>
      <c r="G20" s="129"/>
      <c r="H20" s="84" t="s">
        <v>6</v>
      </c>
      <c r="I20" s="14">
        <f t="shared" ref="I20:O20" si="6">SUMIF($H$6:$H$17,"конс*",I$6:I$17)</f>
        <v>63.865099999999998</v>
      </c>
      <c r="J20" s="14">
        <f t="shared" si="6"/>
        <v>23.865100000000002</v>
      </c>
      <c r="K20" s="14">
        <f t="shared" si="6"/>
        <v>0</v>
      </c>
      <c r="L20" s="14">
        <f t="shared" si="6"/>
        <v>0</v>
      </c>
      <c r="M20" s="14">
        <f t="shared" si="6"/>
        <v>20</v>
      </c>
      <c r="N20" s="14">
        <f t="shared" si="6"/>
        <v>0</v>
      </c>
      <c r="O20" s="14">
        <f t="shared" si="6"/>
        <v>20</v>
      </c>
      <c r="P20" s="129"/>
    </row>
    <row r="21" spans="2:17" ht="15.75" x14ac:dyDescent="0.2">
      <c r="B21" s="130"/>
      <c r="C21" s="130"/>
      <c r="D21" s="130"/>
      <c r="E21" s="130"/>
      <c r="F21" s="130"/>
      <c r="G21" s="130"/>
      <c r="H21" s="84" t="s">
        <v>5</v>
      </c>
      <c r="I21" s="76">
        <f t="shared" ref="I21:O21" si="7">SUMIF($H$6:$H$17,"вне*",I$6:I$17)</f>
        <v>0</v>
      </c>
      <c r="J21" s="76">
        <f t="shared" si="7"/>
        <v>0</v>
      </c>
      <c r="K21" s="76">
        <f t="shared" si="7"/>
        <v>0</v>
      </c>
      <c r="L21" s="76">
        <f t="shared" si="7"/>
        <v>0</v>
      </c>
      <c r="M21" s="76">
        <f t="shared" si="7"/>
        <v>0</v>
      </c>
      <c r="N21" s="76">
        <f t="shared" si="7"/>
        <v>0</v>
      </c>
      <c r="O21" s="76">
        <f t="shared" si="7"/>
        <v>0</v>
      </c>
      <c r="P21" s="130"/>
    </row>
    <row r="22" spans="2:17" ht="25.5" customHeight="1" x14ac:dyDescent="0.2">
      <c r="B22" s="111" t="s">
        <v>90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</row>
    <row r="23" spans="2:17" ht="57.75" customHeight="1" outlineLevel="1" x14ac:dyDescent="0.2">
      <c r="B23" s="117" t="s">
        <v>91</v>
      </c>
      <c r="C23" s="117"/>
      <c r="D23" s="117" t="s">
        <v>90</v>
      </c>
      <c r="E23" s="117">
        <v>2025</v>
      </c>
      <c r="F23" s="117" t="s">
        <v>92</v>
      </c>
      <c r="G23" s="117" t="s">
        <v>83</v>
      </c>
      <c r="H23" s="84" t="s">
        <v>3</v>
      </c>
      <c r="I23" s="83">
        <f>SUM(J23:O23)</f>
        <v>2.85</v>
      </c>
      <c r="J23" s="83">
        <f t="shared" ref="J23:O23" si="8">SUM(J24:J26)</f>
        <v>0</v>
      </c>
      <c r="K23" s="83">
        <f t="shared" si="8"/>
        <v>0</v>
      </c>
      <c r="L23" s="83">
        <f t="shared" si="8"/>
        <v>0</v>
      </c>
      <c r="M23" s="83">
        <f t="shared" si="8"/>
        <v>0</v>
      </c>
      <c r="N23" s="83">
        <f t="shared" si="8"/>
        <v>0</v>
      </c>
      <c r="O23" s="83">
        <f t="shared" si="8"/>
        <v>2.85</v>
      </c>
      <c r="P23" s="117"/>
    </row>
    <row r="24" spans="2:17" outlineLevel="1" x14ac:dyDescent="0.2">
      <c r="B24" s="118"/>
      <c r="C24" s="132"/>
      <c r="D24" s="118"/>
      <c r="E24" s="118"/>
      <c r="F24" s="118"/>
      <c r="G24" s="118"/>
      <c r="H24" s="84" t="s">
        <v>4</v>
      </c>
      <c r="I24" s="83"/>
      <c r="J24" s="83"/>
      <c r="K24" s="83"/>
      <c r="L24" s="83"/>
      <c r="M24" s="83"/>
      <c r="N24" s="83"/>
      <c r="O24" s="83"/>
      <c r="P24" s="118"/>
    </row>
    <row r="25" spans="2:17" outlineLevel="1" x14ac:dyDescent="0.2">
      <c r="B25" s="118"/>
      <c r="C25" s="132"/>
      <c r="D25" s="118"/>
      <c r="E25" s="118"/>
      <c r="F25" s="118"/>
      <c r="G25" s="118"/>
      <c r="H25" s="84" t="s">
        <v>6</v>
      </c>
      <c r="I25" s="83">
        <f>SUM(J25:O25)</f>
        <v>2.85</v>
      </c>
      <c r="J25" s="83">
        <v>0</v>
      </c>
      <c r="K25" s="83"/>
      <c r="L25" s="83">
        <v>0</v>
      </c>
      <c r="M25" s="83">
        <v>0</v>
      </c>
      <c r="N25" s="83">
        <v>0</v>
      </c>
      <c r="O25" s="83">
        <v>2.85</v>
      </c>
      <c r="P25" s="118"/>
    </row>
    <row r="26" spans="2:17" outlineLevel="1" x14ac:dyDescent="0.2">
      <c r="B26" s="119"/>
      <c r="C26" s="133"/>
      <c r="D26" s="119"/>
      <c r="E26" s="119"/>
      <c r="F26" s="119"/>
      <c r="G26" s="119"/>
      <c r="H26" s="84" t="s">
        <v>5</v>
      </c>
      <c r="I26" s="83"/>
      <c r="J26" s="83"/>
      <c r="K26" s="83"/>
      <c r="L26" s="83"/>
      <c r="M26" s="83"/>
      <c r="N26" s="83"/>
      <c r="O26" s="83"/>
      <c r="P26" s="119"/>
    </row>
    <row r="27" spans="2:17" ht="72" customHeight="1" outlineLevel="1" x14ac:dyDescent="0.2">
      <c r="B27" s="117" t="s">
        <v>93</v>
      </c>
      <c r="C27" s="117"/>
      <c r="D27" s="117" t="s">
        <v>90</v>
      </c>
      <c r="E27" s="117" t="s">
        <v>94</v>
      </c>
      <c r="F27" s="117" t="s">
        <v>95</v>
      </c>
      <c r="G27" s="117" t="s">
        <v>83</v>
      </c>
      <c r="H27" s="84" t="s">
        <v>3</v>
      </c>
      <c r="I27" s="83">
        <f>SUM(J27:O27)</f>
        <v>15</v>
      </c>
      <c r="J27" s="83">
        <f t="shared" ref="J27:O27" si="9">SUM(J28:J30)</f>
        <v>0</v>
      </c>
      <c r="K27" s="83">
        <f t="shared" si="9"/>
        <v>0</v>
      </c>
      <c r="L27" s="83">
        <f t="shared" si="9"/>
        <v>0</v>
      </c>
      <c r="M27" s="83">
        <f t="shared" si="9"/>
        <v>0</v>
      </c>
      <c r="N27" s="83">
        <f t="shared" si="9"/>
        <v>0</v>
      </c>
      <c r="O27" s="83">
        <f t="shared" si="9"/>
        <v>15</v>
      </c>
      <c r="P27" s="117"/>
    </row>
    <row r="28" spans="2:17" outlineLevel="1" x14ac:dyDescent="0.2">
      <c r="B28" s="118"/>
      <c r="C28" s="132"/>
      <c r="D28" s="118"/>
      <c r="E28" s="118"/>
      <c r="F28" s="118"/>
      <c r="G28" s="118"/>
      <c r="H28" s="84" t="s">
        <v>4</v>
      </c>
      <c r="I28" s="83"/>
      <c r="J28" s="83"/>
      <c r="K28" s="83"/>
      <c r="L28" s="83"/>
      <c r="M28" s="83"/>
      <c r="N28" s="83"/>
      <c r="O28" s="83"/>
      <c r="P28" s="118"/>
    </row>
    <row r="29" spans="2:17" outlineLevel="1" x14ac:dyDescent="0.2">
      <c r="B29" s="118"/>
      <c r="C29" s="132"/>
      <c r="D29" s="118"/>
      <c r="E29" s="118"/>
      <c r="F29" s="118"/>
      <c r="G29" s="118"/>
      <c r="H29" s="84" t="s">
        <v>6</v>
      </c>
      <c r="I29" s="83">
        <f>SUM(J29:O29)</f>
        <v>15</v>
      </c>
      <c r="J29" s="83">
        <v>0</v>
      </c>
      <c r="K29" s="83"/>
      <c r="L29" s="83">
        <v>0</v>
      </c>
      <c r="M29" s="83">
        <v>0</v>
      </c>
      <c r="N29" s="83">
        <v>0</v>
      </c>
      <c r="O29" s="83">
        <v>15</v>
      </c>
      <c r="P29" s="118"/>
    </row>
    <row r="30" spans="2:17" outlineLevel="1" x14ac:dyDescent="0.2">
      <c r="B30" s="119"/>
      <c r="C30" s="133"/>
      <c r="D30" s="119"/>
      <c r="E30" s="119"/>
      <c r="F30" s="119"/>
      <c r="G30" s="119"/>
      <c r="H30" s="84" t="s">
        <v>5</v>
      </c>
      <c r="I30" s="83"/>
      <c r="J30" s="83"/>
      <c r="K30" s="83"/>
      <c r="L30" s="83"/>
      <c r="M30" s="83"/>
      <c r="N30" s="83"/>
      <c r="O30" s="83"/>
      <c r="P30" s="119"/>
    </row>
    <row r="31" spans="2:17" ht="42.75" customHeight="1" outlineLevel="1" x14ac:dyDescent="0.2">
      <c r="B31" s="117" t="s">
        <v>96</v>
      </c>
      <c r="C31" s="117"/>
      <c r="D31" s="117" t="s">
        <v>90</v>
      </c>
      <c r="E31" s="117">
        <v>2025</v>
      </c>
      <c r="F31" s="117" t="s">
        <v>97</v>
      </c>
      <c r="G31" s="117" t="s">
        <v>83</v>
      </c>
      <c r="H31" s="84" t="s">
        <v>3</v>
      </c>
      <c r="I31" s="83">
        <f>SUM(J31:O31)</f>
        <v>1.9</v>
      </c>
      <c r="J31" s="83">
        <f t="shared" ref="J31:O31" si="10">SUM(J32:J34)</f>
        <v>0</v>
      </c>
      <c r="K31" s="83">
        <f t="shared" si="10"/>
        <v>0</v>
      </c>
      <c r="L31" s="83">
        <f t="shared" si="10"/>
        <v>0</v>
      </c>
      <c r="M31" s="83">
        <f t="shared" si="10"/>
        <v>0</v>
      </c>
      <c r="N31" s="83">
        <f t="shared" si="10"/>
        <v>0</v>
      </c>
      <c r="O31" s="83">
        <f t="shared" si="10"/>
        <v>1.9</v>
      </c>
      <c r="P31" s="117"/>
    </row>
    <row r="32" spans="2:17" outlineLevel="1" x14ac:dyDescent="0.2">
      <c r="B32" s="118"/>
      <c r="C32" s="132"/>
      <c r="D32" s="118"/>
      <c r="E32" s="118"/>
      <c r="F32" s="118"/>
      <c r="G32" s="118"/>
      <c r="H32" s="84" t="s">
        <v>4</v>
      </c>
      <c r="I32" s="83"/>
      <c r="J32" s="83"/>
      <c r="K32" s="83"/>
      <c r="L32" s="83"/>
      <c r="M32" s="83"/>
      <c r="N32" s="83"/>
      <c r="O32" s="83"/>
      <c r="P32" s="118"/>
    </row>
    <row r="33" spans="2:16" outlineLevel="1" x14ac:dyDescent="0.2">
      <c r="B33" s="118"/>
      <c r="C33" s="132"/>
      <c r="D33" s="118"/>
      <c r="E33" s="118"/>
      <c r="F33" s="118"/>
      <c r="G33" s="118"/>
      <c r="H33" s="84" t="s">
        <v>6</v>
      </c>
      <c r="I33" s="83">
        <f>SUM(J33:O33)</f>
        <v>1.9</v>
      </c>
      <c r="J33" s="83">
        <v>0</v>
      </c>
      <c r="K33" s="83"/>
      <c r="L33" s="83">
        <v>0</v>
      </c>
      <c r="M33" s="83">
        <v>0</v>
      </c>
      <c r="N33" s="83">
        <v>0</v>
      </c>
      <c r="O33" s="83">
        <v>1.9</v>
      </c>
      <c r="P33" s="118"/>
    </row>
    <row r="34" spans="2:16" outlineLevel="1" x14ac:dyDescent="0.2">
      <c r="B34" s="119"/>
      <c r="C34" s="133"/>
      <c r="D34" s="119"/>
      <c r="E34" s="119"/>
      <c r="F34" s="119"/>
      <c r="G34" s="119"/>
      <c r="H34" s="84" t="s">
        <v>5</v>
      </c>
      <c r="I34" s="83"/>
      <c r="J34" s="83"/>
      <c r="K34" s="83"/>
      <c r="L34" s="83"/>
      <c r="M34" s="83"/>
      <c r="N34" s="83"/>
      <c r="O34" s="83"/>
      <c r="P34" s="119"/>
    </row>
    <row r="35" spans="2:16" ht="42.75" customHeight="1" outlineLevel="1" x14ac:dyDescent="0.2">
      <c r="B35" s="117" t="s">
        <v>98</v>
      </c>
      <c r="C35" s="117"/>
      <c r="D35" s="117" t="s">
        <v>90</v>
      </c>
      <c r="E35" s="117" t="s">
        <v>99</v>
      </c>
      <c r="F35" s="117" t="s">
        <v>100</v>
      </c>
      <c r="G35" s="117" t="s">
        <v>101</v>
      </c>
      <c r="H35" s="84" t="s">
        <v>3</v>
      </c>
      <c r="I35" s="83">
        <f>SUM(J35:O35)</f>
        <v>155.74</v>
      </c>
      <c r="J35" s="83">
        <f t="shared" ref="J35:O35" si="11">SUM(J36:J38)</f>
        <v>24.94</v>
      </c>
      <c r="K35" s="83">
        <f t="shared" si="11"/>
        <v>65.400000000000006</v>
      </c>
      <c r="L35" s="83">
        <f t="shared" si="11"/>
        <v>65.400000000000006</v>
      </c>
      <c r="M35" s="83">
        <f t="shared" si="11"/>
        <v>0</v>
      </c>
      <c r="N35" s="83">
        <f t="shared" si="11"/>
        <v>0</v>
      </c>
      <c r="O35" s="83">
        <f t="shared" si="11"/>
        <v>0</v>
      </c>
      <c r="P35" s="117">
        <v>686</v>
      </c>
    </row>
    <row r="36" spans="2:16" outlineLevel="1" x14ac:dyDescent="0.2">
      <c r="B36" s="118"/>
      <c r="C36" s="132"/>
      <c r="D36" s="118"/>
      <c r="E36" s="118"/>
      <c r="F36" s="118"/>
      <c r="G36" s="118"/>
      <c r="H36" s="84" t="s">
        <v>4</v>
      </c>
      <c r="I36" s="83"/>
      <c r="J36" s="83"/>
      <c r="K36" s="83"/>
      <c r="L36" s="83"/>
      <c r="M36" s="83"/>
      <c r="N36" s="83"/>
      <c r="O36" s="83"/>
      <c r="P36" s="118"/>
    </row>
    <row r="37" spans="2:16" outlineLevel="1" x14ac:dyDescent="0.2">
      <c r="B37" s="118"/>
      <c r="C37" s="132"/>
      <c r="D37" s="118"/>
      <c r="E37" s="118"/>
      <c r="F37" s="118"/>
      <c r="G37" s="118"/>
      <c r="H37" s="84" t="s">
        <v>6</v>
      </c>
      <c r="I37" s="83">
        <f>SUM(J37:O37)</f>
        <v>155.74</v>
      </c>
      <c r="J37" s="83">
        <v>24.94</v>
      </c>
      <c r="K37" s="83">
        <v>65.400000000000006</v>
      </c>
      <c r="L37" s="83">
        <v>65.400000000000006</v>
      </c>
      <c r="M37" s="83">
        <v>0</v>
      </c>
      <c r="N37" s="83">
        <v>0</v>
      </c>
      <c r="O37" s="83">
        <v>0</v>
      </c>
      <c r="P37" s="118"/>
    </row>
    <row r="38" spans="2:16" outlineLevel="1" x14ac:dyDescent="0.2">
      <c r="B38" s="119"/>
      <c r="C38" s="133"/>
      <c r="D38" s="119"/>
      <c r="E38" s="119"/>
      <c r="F38" s="119"/>
      <c r="G38" s="119"/>
      <c r="H38" s="84" t="s">
        <v>5</v>
      </c>
      <c r="I38" s="83"/>
      <c r="J38" s="83"/>
      <c r="K38" s="83"/>
      <c r="L38" s="83"/>
      <c r="M38" s="83"/>
      <c r="N38" s="83"/>
      <c r="O38" s="83"/>
      <c r="P38" s="119"/>
    </row>
    <row r="39" spans="2:16" ht="42.75" customHeight="1" outlineLevel="1" x14ac:dyDescent="0.2">
      <c r="B39" s="117" t="s">
        <v>102</v>
      </c>
      <c r="C39" s="117"/>
      <c r="D39" s="117" t="s">
        <v>90</v>
      </c>
      <c r="E39" s="117">
        <v>2020</v>
      </c>
      <c r="F39" s="117" t="s">
        <v>103</v>
      </c>
      <c r="G39" s="117" t="s">
        <v>63</v>
      </c>
      <c r="H39" s="84" t="s">
        <v>3</v>
      </c>
      <c r="I39" s="83">
        <f>SUM(J39:O39)</f>
        <v>4.2</v>
      </c>
      <c r="J39" s="83">
        <f t="shared" ref="J39:O39" si="12">SUM(J40:J42)</f>
        <v>4.2</v>
      </c>
      <c r="K39" s="83">
        <f t="shared" si="12"/>
        <v>0</v>
      </c>
      <c r="L39" s="83">
        <f t="shared" si="12"/>
        <v>0</v>
      </c>
      <c r="M39" s="83">
        <f t="shared" si="12"/>
        <v>0</v>
      </c>
      <c r="N39" s="83">
        <f t="shared" si="12"/>
        <v>0</v>
      </c>
      <c r="O39" s="83">
        <f t="shared" si="12"/>
        <v>0</v>
      </c>
      <c r="P39" s="117">
        <v>118</v>
      </c>
    </row>
    <row r="40" spans="2:16" outlineLevel="1" x14ac:dyDescent="0.2">
      <c r="B40" s="118"/>
      <c r="C40" s="132"/>
      <c r="D40" s="118"/>
      <c r="E40" s="118"/>
      <c r="F40" s="118"/>
      <c r="G40" s="118"/>
      <c r="H40" s="84" t="s">
        <v>4</v>
      </c>
      <c r="I40" s="83"/>
      <c r="J40" s="83"/>
      <c r="K40" s="83"/>
      <c r="L40" s="83"/>
      <c r="M40" s="83"/>
      <c r="N40" s="83"/>
      <c r="O40" s="83"/>
      <c r="P40" s="118"/>
    </row>
    <row r="41" spans="2:16" outlineLevel="1" x14ac:dyDescent="0.2">
      <c r="B41" s="118"/>
      <c r="C41" s="132"/>
      <c r="D41" s="118"/>
      <c r="E41" s="118"/>
      <c r="F41" s="118"/>
      <c r="G41" s="118"/>
      <c r="H41" s="84" t="s">
        <v>6</v>
      </c>
      <c r="I41" s="83">
        <f>SUM(J41:O41)</f>
        <v>4.2</v>
      </c>
      <c r="J41" s="83">
        <v>4.2</v>
      </c>
      <c r="K41" s="83"/>
      <c r="L41" s="83">
        <v>0</v>
      </c>
      <c r="M41" s="83">
        <v>0</v>
      </c>
      <c r="N41" s="83">
        <v>0</v>
      </c>
      <c r="O41" s="83">
        <v>0</v>
      </c>
      <c r="P41" s="118"/>
    </row>
    <row r="42" spans="2:16" outlineLevel="1" x14ac:dyDescent="0.2">
      <c r="B42" s="119"/>
      <c r="C42" s="133"/>
      <c r="D42" s="119"/>
      <c r="E42" s="119"/>
      <c r="F42" s="119"/>
      <c r="G42" s="119"/>
      <c r="H42" s="84" t="s">
        <v>5</v>
      </c>
      <c r="I42" s="83"/>
      <c r="J42" s="83"/>
      <c r="K42" s="83"/>
      <c r="L42" s="83"/>
      <c r="M42" s="83"/>
      <c r="N42" s="83"/>
      <c r="O42" s="83"/>
      <c r="P42" s="119"/>
    </row>
    <row r="43" spans="2:16" ht="42.75" customHeight="1" outlineLevel="1" x14ac:dyDescent="0.2">
      <c r="B43" s="117" t="s">
        <v>104</v>
      </c>
      <c r="C43" s="117"/>
      <c r="D43" s="117" t="s">
        <v>90</v>
      </c>
      <c r="E43" s="117" t="s">
        <v>105</v>
      </c>
      <c r="F43" s="117" t="s">
        <v>106</v>
      </c>
      <c r="G43" s="117" t="s">
        <v>107</v>
      </c>
      <c r="H43" s="84" t="s">
        <v>3</v>
      </c>
      <c r="I43" s="83">
        <f>SUM(J43:O43)</f>
        <v>246.1</v>
      </c>
      <c r="J43" s="83">
        <f t="shared" ref="J43:O43" si="13">SUM(J44:J46)</f>
        <v>13.6</v>
      </c>
      <c r="K43" s="83">
        <f t="shared" si="13"/>
        <v>46.5</v>
      </c>
      <c r="L43" s="83">
        <f t="shared" si="13"/>
        <v>46.5</v>
      </c>
      <c r="M43" s="83">
        <f t="shared" si="13"/>
        <v>46.5</v>
      </c>
      <c r="N43" s="83">
        <f t="shared" si="13"/>
        <v>46.5</v>
      </c>
      <c r="O43" s="83">
        <f t="shared" si="13"/>
        <v>46.5</v>
      </c>
      <c r="P43" s="117">
        <v>14387</v>
      </c>
    </row>
    <row r="44" spans="2:16" outlineLevel="1" x14ac:dyDescent="0.2">
      <c r="B44" s="118"/>
      <c r="C44" s="132"/>
      <c r="D44" s="118"/>
      <c r="E44" s="118"/>
      <c r="F44" s="118"/>
      <c r="G44" s="118"/>
      <c r="H44" s="84" t="s">
        <v>4</v>
      </c>
      <c r="I44" s="83">
        <f>SUM(J44:O44)</f>
        <v>139.5</v>
      </c>
      <c r="J44" s="83">
        <v>0</v>
      </c>
      <c r="K44" s="83">
        <v>27.9</v>
      </c>
      <c r="L44" s="83">
        <v>27.9</v>
      </c>
      <c r="M44" s="83">
        <v>27.9</v>
      </c>
      <c r="N44" s="83">
        <v>27.9</v>
      </c>
      <c r="O44" s="83">
        <v>27.9</v>
      </c>
      <c r="P44" s="118"/>
    </row>
    <row r="45" spans="2:16" outlineLevel="1" x14ac:dyDescent="0.2">
      <c r="B45" s="118"/>
      <c r="C45" s="132"/>
      <c r="D45" s="118"/>
      <c r="E45" s="118"/>
      <c r="F45" s="118"/>
      <c r="G45" s="118"/>
      <c r="H45" s="84" t="s">
        <v>6</v>
      </c>
      <c r="I45" s="83">
        <f>SUM(J45:O45)</f>
        <v>106.6</v>
      </c>
      <c r="J45" s="83">
        <v>13.6</v>
      </c>
      <c r="K45" s="83">
        <v>18.600000000000001</v>
      </c>
      <c r="L45" s="83">
        <v>18.600000000000001</v>
      </c>
      <c r="M45" s="83">
        <v>18.600000000000001</v>
      </c>
      <c r="N45" s="83">
        <v>18.600000000000001</v>
      </c>
      <c r="O45" s="83">
        <v>18.600000000000001</v>
      </c>
      <c r="P45" s="118"/>
    </row>
    <row r="46" spans="2:16" outlineLevel="1" x14ac:dyDescent="0.2">
      <c r="B46" s="119"/>
      <c r="C46" s="133"/>
      <c r="D46" s="119"/>
      <c r="E46" s="119"/>
      <c r="F46" s="119"/>
      <c r="G46" s="119"/>
      <c r="H46" s="84" t="s">
        <v>5</v>
      </c>
      <c r="I46" s="83"/>
      <c r="J46" s="83"/>
      <c r="K46" s="83"/>
      <c r="L46" s="83"/>
      <c r="M46" s="83"/>
      <c r="N46" s="83"/>
      <c r="O46" s="83"/>
      <c r="P46" s="119"/>
    </row>
    <row r="47" spans="2:16" ht="42.75" customHeight="1" outlineLevel="1" x14ac:dyDescent="0.2">
      <c r="B47" s="117" t="s">
        <v>108</v>
      </c>
      <c r="C47" s="117"/>
      <c r="D47" s="117" t="s">
        <v>90</v>
      </c>
      <c r="E47" s="117" t="s">
        <v>105</v>
      </c>
      <c r="F47" s="117" t="s">
        <v>109</v>
      </c>
      <c r="G47" s="117" t="s">
        <v>107</v>
      </c>
      <c r="H47" s="84" t="s">
        <v>3</v>
      </c>
      <c r="I47" s="83">
        <f>SUM(J47:O47)</f>
        <v>282.3</v>
      </c>
      <c r="J47" s="83">
        <f t="shared" ref="J47:O47" si="14">SUM(J48:J50)</f>
        <v>39.299999999999997</v>
      </c>
      <c r="K47" s="83">
        <f t="shared" si="14"/>
        <v>48.6</v>
      </c>
      <c r="L47" s="83">
        <f t="shared" si="14"/>
        <v>48.6</v>
      </c>
      <c r="M47" s="83">
        <f t="shared" si="14"/>
        <v>48.6</v>
      </c>
      <c r="N47" s="83">
        <f t="shared" si="14"/>
        <v>48.6</v>
      </c>
      <c r="O47" s="83">
        <f t="shared" si="14"/>
        <v>48.6</v>
      </c>
      <c r="P47" s="117">
        <v>14387</v>
      </c>
    </row>
    <row r="48" spans="2:16" outlineLevel="1" x14ac:dyDescent="0.2">
      <c r="B48" s="118"/>
      <c r="C48" s="132"/>
      <c r="D48" s="118"/>
      <c r="E48" s="118"/>
      <c r="F48" s="118"/>
      <c r="G48" s="118"/>
      <c r="H48" s="84" t="s">
        <v>4</v>
      </c>
      <c r="I48" s="83">
        <f>SUM(J48:O48)</f>
        <v>145.5</v>
      </c>
      <c r="J48" s="83">
        <v>0</v>
      </c>
      <c r="K48" s="83">
        <v>29.1</v>
      </c>
      <c r="L48" s="83">
        <v>29.1</v>
      </c>
      <c r="M48" s="83">
        <v>29.1</v>
      </c>
      <c r="N48" s="83">
        <v>29.1</v>
      </c>
      <c r="O48" s="83">
        <v>29.1</v>
      </c>
      <c r="P48" s="118"/>
    </row>
    <row r="49" spans="2:16" outlineLevel="1" x14ac:dyDescent="0.2">
      <c r="B49" s="118"/>
      <c r="C49" s="132"/>
      <c r="D49" s="118"/>
      <c r="E49" s="118"/>
      <c r="F49" s="118"/>
      <c r="G49" s="118"/>
      <c r="H49" s="84" t="s">
        <v>6</v>
      </c>
      <c r="I49" s="83">
        <f>SUM(J49:O49)</f>
        <v>136.80000000000001</v>
      </c>
      <c r="J49" s="83">
        <v>39.299999999999997</v>
      </c>
      <c r="K49" s="83">
        <v>19.5</v>
      </c>
      <c r="L49" s="83">
        <v>19.5</v>
      </c>
      <c r="M49" s="83">
        <v>19.5</v>
      </c>
      <c r="N49" s="83">
        <v>19.5</v>
      </c>
      <c r="O49" s="83">
        <v>19.5</v>
      </c>
      <c r="P49" s="118"/>
    </row>
    <row r="50" spans="2:16" outlineLevel="1" x14ac:dyDescent="0.2">
      <c r="B50" s="119"/>
      <c r="C50" s="133"/>
      <c r="D50" s="119"/>
      <c r="E50" s="119"/>
      <c r="F50" s="119"/>
      <c r="G50" s="119"/>
      <c r="H50" s="84" t="s">
        <v>5</v>
      </c>
      <c r="I50" s="83"/>
      <c r="J50" s="83"/>
      <c r="K50" s="83"/>
      <c r="L50" s="83"/>
      <c r="M50" s="83"/>
      <c r="N50" s="83"/>
      <c r="O50" s="83"/>
      <c r="P50" s="119"/>
    </row>
    <row r="51" spans="2:16" ht="42.75" x14ac:dyDescent="0.2">
      <c r="B51" s="128" t="s">
        <v>110</v>
      </c>
      <c r="C51" s="128" t="s">
        <v>38</v>
      </c>
      <c r="D51" s="128" t="s">
        <v>38</v>
      </c>
      <c r="E51" s="128" t="s">
        <v>38</v>
      </c>
      <c r="F51" s="128" t="s">
        <v>38</v>
      </c>
      <c r="G51" s="128" t="s">
        <v>38</v>
      </c>
      <c r="H51" s="84" t="s">
        <v>3</v>
      </c>
      <c r="I51" s="76">
        <f t="shared" ref="I51:O51" si="15">SUMIF($H$23:$H$50,"Объем*",I$23:I$50)</f>
        <v>708.08999999999992</v>
      </c>
      <c r="J51" s="76">
        <f t="shared" si="15"/>
        <v>82.039999999999992</v>
      </c>
      <c r="K51" s="76">
        <f t="shared" si="15"/>
        <v>160.5</v>
      </c>
      <c r="L51" s="76">
        <f t="shared" si="15"/>
        <v>160.5</v>
      </c>
      <c r="M51" s="76">
        <f t="shared" si="15"/>
        <v>95.1</v>
      </c>
      <c r="N51" s="76">
        <f t="shared" si="15"/>
        <v>95.1</v>
      </c>
      <c r="O51" s="76">
        <f t="shared" si="15"/>
        <v>114.85</v>
      </c>
      <c r="P51" s="128"/>
    </row>
    <row r="52" spans="2:16" ht="15.75" x14ac:dyDescent="0.2">
      <c r="B52" s="129"/>
      <c r="C52" s="129"/>
      <c r="D52" s="129"/>
      <c r="E52" s="129"/>
      <c r="F52" s="129"/>
      <c r="G52" s="129"/>
      <c r="H52" s="84" t="s">
        <v>4</v>
      </c>
      <c r="I52" s="76">
        <f t="shared" ref="I52:O52" si="16">SUMIF($H$23:$H$50,"фед*",I$23:I$50)</f>
        <v>285</v>
      </c>
      <c r="J52" s="76">
        <f t="shared" si="16"/>
        <v>0</v>
      </c>
      <c r="K52" s="76">
        <f t="shared" si="16"/>
        <v>57</v>
      </c>
      <c r="L52" s="76">
        <f t="shared" si="16"/>
        <v>57</v>
      </c>
      <c r="M52" s="76">
        <f t="shared" si="16"/>
        <v>57</v>
      </c>
      <c r="N52" s="76">
        <f t="shared" si="16"/>
        <v>57</v>
      </c>
      <c r="O52" s="76">
        <f t="shared" si="16"/>
        <v>57</v>
      </c>
      <c r="P52" s="129"/>
    </row>
    <row r="53" spans="2:16" ht="15.75" x14ac:dyDescent="0.2">
      <c r="B53" s="129"/>
      <c r="C53" s="129"/>
      <c r="D53" s="129"/>
      <c r="E53" s="129"/>
      <c r="F53" s="129"/>
      <c r="G53" s="129"/>
      <c r="H53" s="84" t="s">
        <v>6</v>
      </c>
      <c r="I53" s="76">
        <f t="shared" ref="I53:O53" si="17">SUMIF($H$23:$H$50,"конс*",I$23:I$50)</f>
        <v>423.09</v>
      </c>
      <c r="J53" s="76">
        <f t="shared" si="17"/>
        <v>82.039999999999992</v>
      </c>
      <c r="K53" s="76">
        <f t="shared" si="17"/>
        <v>103.5</v>
      </c>
      <c r="L53" s="76">
        <f t="shared" si="17"/>
        <v>103.5</v>
      </c>
      <c r="M53" s="76">
        <f t="shared" si="17"/>
        <v>38.1</v>
      </c>
      <c r="N53" s="76">
        <f t="shared" si="17"/>
        <v>38.1</v>
      </c>
      <c r="O53" s="76">
        <f t="shared" si="17"/>
        <v>57.85</v>
      </c>
      <c r="P53" s="129"/>
    </row>
    <row r="54" spans="2:16" ht="15.75" x14ac:dyDescent="0.2">
      <c r="B54" s="130"/>
      <c r="C54" s="130"/>
      <c r="D54" s="130"/>
      <c r="E54" s="130"/>
      <c r="F54" s="130"/>
      <c r="G54" s="130"/>
      <c r="H54" s="84" t="s">
        <v>5</v>
      </c>
      <c r="I54" s="76">
        <f t="shared" ref="I54:O54" si="18">SUMIF($H$23:$H$50,"вне*",I$23:I$50)</f>
        <v>0</v>
      </c>
      <c r="J54" s="76">
        <f t="shared" si="18"/>
        <v>0</v>
      </c>
      <c r="K54" s="76">
        <f t="shared" si="18"/>
        <v>0</v>
      </c>
      <c r="L54" s="76">
        <f t="shared" si="18"/>
        <v>0</v>
      </c>
      <c r="M54" s="76">
        <f t="shared" si="18"/>
        <v>0</v>
      </c>
      <c r="N54" s="76">
        <f t="shared" si="18"/>
        <v>0</v>
      </c>
      <c r="O54" s="76">
        <f t="shared" si="18"/>
        <v>0</v>
      </c>
      <c r="P54" s="130"/>
    </row>
    <row r="55" spans="2:16" ht="25.5" customHeight="1" x14ac:dyDescent="0.2">
      <c r="B55" s="111" t="s">
        <v>32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</row>
    <row r="56" spans="2:16" ht="42.75" customHeight="1" outlineLevel="1" x14ac:dyDescent="0.2">
      <c r="B56" s="114" t="s">
        <v>111</v>
      </c>
      <c r="C56" s="114"/>
      <c r="D56" s="114" t="s">
        <v>32</v>
      </c>
      <c r="E56" s="114">
        <v>2020</v>
      </c>
      <c r="F56" s="114" t="s">
        <v>112</v>
      </c>
      <c r="G56" s="114" t="s">
        <v>83</v>
      </c>
      <c r="H56" s="84" t="s">
        <v>3</v>
      </c>
      <c r="I56" s="83">
        <f t="shared" ref="I56:I108" si="19">SUM(J56:O56)</f>
        <v>11.1</v>
      </c>
      <c r="J56" s="83">
        <f t="shared" ref="J56:O56" si="20">J57+J58+J59</f>
        <v>11.1</v>
      </c>
      <c r="K56" s="83">
        <f t="shared" si="20"/>
        <v>0</v>
      </c>
      <c r="L56" s="83">
        <f t="shared" si="20"/>
        <v>0</v>
      </c>
      <c r="M56" s="83">
        <f t="shared" si="20"/>
        <v>0</v>
      </c>
      <c r="N56" s="83">
        <f t="shared" si="20"/>
        <v>0</v>
      </c>
      <c r="O56" s="83">
        <f t="shared" si="20"/>
        <v>0</v>
      </c>
      <c r="P56" s="114"/>
    </row>
    <row r="57" spans="2:16" outlineLevel="1" x14ac:dyDescent="0.2">
      <c r="B57" s="115"/>
      <c r="C57" s="137"/>
      <c r="D57" s="115"/>
      <c r="E57" s="115"/>
      <c r="F57" s="115"/>
      <c r="G57" s="115"/>
      <c r="H57" s="84" t="s">
        <v>4</v>
      </c>
      <c r="I57" s="83">
        <f t="shared" si="19"/>
        <v>0</v>
      </c>
      <c r="J57" s="83"/>
      <c r="K57" s="83"/>
      <c r="L57" s="83"/>
      <c r="M57" s="83"/>
      <c r="N57" s="83"/>
      <c r="O57" s="83"/>
      <c r="P57" s="115"/>
    </row>
    <row r="58" spans="2:16" outlineLevel="1" x14ac:dyDescent="0.2">
      <c r="B58" s="115"/>
      <c r="C58" s="137"/>
      <c r="D58" s="115"/>
      <c r="E58" s="115"/>
      <c r="F58" s="115"/>
      <c r="G58" s="115"/>
      <c r="H58" s="84" t="s">
        <v>6</v>
      </c>
      <c r="I58" s="83">
        <f t="shared" si="19"/>
        <v>11.1</v>
      </c>
      <c r="J58" s="83">
        <v>11.1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115"/>
    </row>
    <row r="59" spans="2:16" outlineLevel="1" x14ac:dyDescent="0.2">
      <c r="B59" s="116"/>
      <c r="C59" s="138"/>
      <c r="D59" s="116"/>
      <c r="E59" s="116"/>
      <c r="F59" s="116"/>
      <c r="G59" s="116"/>
      <c r="H59" s="84" t="s">
        <v>5</v>
      </c>
      <c r="I59" s="83">
        <f t="shared" si="19"/>
        <v>0</v>
      </c>
      <c r="J59" s="83"/>
      <c r="K59" s="83"/>
      <c r="L59" s="83"/>
      <c r="M59" s="83"/>
      <c r="N59" s="83"/>
      <c r="O59" s="83"/>
      <c r="P59" s="116"/>
    </row>
    <row r="60" spans="2:16" ht="42.75" customHeight="1" outlineLevel="1" x14ac:dyDescent="0.2">
      <c r="B60" s="114" t="s">
        <v>113</v>
      </c>
      <c r="C60" s="114"/>
      <c r="D60" s="114" t="s">
        <v>32</v>
      </c>
      <c r="E60" s="114">
        <v>2020</v>
      </c>
      <c r="F60" s="114" t="s">
        <v>114</v>
      </c>
      <c r="G60" s="114" t="s">
        <v>115</v>
      </c>
      <c r="H60" s="84" t="s">
        <v>3</v>
      </c>
      <c r="I60" s="83">
        <f t="shared" si="19"/>
        <v>2.8</v>
      </c>
      <c r="J60" s="83">
        <f t="shared" ref="J60:O60" si="21">J61+J62+J63</f>
        <v>2.8</v>
      </c>
      <c r="K60" s="83">
        <f t="shared" si="21"/>
        <v>0</v>
      </c>
      <c r="L60" s="83">
        <f t="shared" si="21"/>
        <v>0</v>
      </c>
      <c r="M60" s="83">
        <f t="shared" si="21"/>
        <v>0</v>
      </c>
      <c r="N60" s="83">
        <f t="shared" si="21"/>
        <v>0</v>
      </c>
      <c r="O60" s="83">
        <f t="shared" si="21"/>
        <v>0</v>
      </c>
      <c r="P60" s="114">
        <v>1011</v>
      </c>
    </row>
    <row r="61" spans="2:16" outlineLevel="1" x14ac:dyDescent="0.2">
      <c r="B61" s="115"/>
      <c r="C61" s="115"/>
      <c r="D61" s="115"/>
      <c r="E61" s="115"/>
      <c r="F61" s="115"/>
      <c r="G61" s="115"/>
      <c r="H61" s="84" t="s">
        <v>4</v>
      </c>
      <c r="I61" s="83">
        <f t="shared" si="19"/>
        <v>0</v>
      </c>
      <c r="J61" s="83"/>
      <c r="K61" s="83"/>
      <c r="L61" s="83"/>
      <c r="M61" s="83"/>
      <c r="N61" s="83"/>
      <c r="O61" s="83"/>
      <c r="P61" s="115"/>
    </row>
    <row r="62" spans="2:16" outlineLevel="1" x14ac:dyDescent="0.2">
      <c r="B62" s="115"/>
      <c r="C62" s="115"/>
      <c r="D62" s="115"/>
      <c r="E62" s="115"/>
      <c r="F62" s="115"/>
      <c r="G62" s="115"/>
      <c r="H62" s="84" t="s">
        <v>6</v>
      </c>
      <c r="I62" s="83">
        <f t="shared" si="19"/>
        <v>2.8</v>
      </c>
      <c r="J62" s="83">
        <v>2.8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115"/>
    </row>
    <row r="63" spans="2:16" outlineLevel="1" x14ac:dyDescent="0.2">
      <c r="B63" s="116"/>
      <c r="C63" s="116"/>
      <c r="D63" s="116"/>
      <c r="E63" s="116"/>
      <c r="F63" s="116"/>
      <c r="G63" s="116"/>
      <c r="H63" s="84" t="s">
        <v>5</v>
      </c>
      <c r="I63" s="83">
        <f t="shared" si="19"/>
        <v>0</v>
      </c>
      <c r="J63" s="83"/>
      <c r="K63" s="83"/>
      <c r="L63" s="83"/>
      <c r="M63" s="83"/>
      <c r="N63" s="83"/>
      <c r="O63" s="83"/>
      <c r="P63" s="116"/>
    </row>
    <row r="64" spans="2:16" ht="42.75" outlineLevel="1" x14ac:dyDescent="0.2">
      <c r="B64" s="114" t="s">
        <v>116</v>
      </c>
      <c r="C64" s="114"/>
      <c r="D64" s="114" t="s">
        <v>32</v>
      </c>
      <c r="E64" s="114" t="s">
        <v>99</v>
      </c>
      <c r="F64" s="114" t="s">
        <v>117</v>
      </c>
      <c r="G64" s="114" t="s">
        <v>115</v>
      </c>
      <c r="H64" s="84" t="s">
        <v>3</v>
      </c>
      <c r="I64" s="83">
        <f t="shared" si="19"/>
        <v>41</v>
      </c>
      <c r="J64" s="83">
        <f t="shared" ref="J64:O64" si="22">J65+J66+J67</f>
        <v>2</v>
      </c>
      <c r="K64" s="83">
        <f t="shared" si="22"/>
        <v>8</v>
      </c>
      <c r="L64" s="83">
        <f t="shared" si="22"/>
        <v>31</v>
      </c>
      <c r="M64" s="83">
        <f t="shared" si="22"/>
        <v>0</v>
      </c>
      <c r="N64" s="83">
        <f t="shared" si="22"/>
        <v>0</v>
      </c>
      <c r="O64" s="83">
        <f t="shared" si="22"/>
        <v>0</v>
      </c>
      <c r="P64" s="114">
        <v>6540</v>
      </c>
    </row>
    <row r="65" spans="2:16" outlineLevel="1" x14ac:dyDescent="0.2">
      <c r="B65" s="115"/>
      <c r="C65" s="137"/>
      <c r="D65" s="115"/>
      <c r="E65" s="115"/>
      <c r="F65" s="115"/>
      <c r="G65" s="115"/>
      <c r="H65" s="84" t="s">
        <v>4</v>
      </c>
      <c r="I65" s="83">
        <f t="shared" si="19"/>
        <v>0</v>
      </c>
      <c r="J65" s="83"/>
      <c r="K65" s="83"/>
      <c r="L65" s="83"/>
      <c r="M65" s="83"/>
      <c r="N65" s="83"/>
      <c r="O65" s="83"/>
      <c r="P65" s="115"/>
    </row>
    <row r="66" spans="2:16" outlineLevel="1" x14ac:dyDescent="0.2">
      <c r="B66" s="115"/>
      <c r="C66" s="137"/>
      <c r="D66" s="115"/>
      <c r="E66" s="115"/>
      <c r="F66" s="115"/>
      <c r="G66" s="115"/>
      <c r="H66" s="84" t="s">
        <v>6</v>
      </c>
      <c r="I66" s="83">
        <f t="shared" si="19"/>
        <v>41</v>
      </c>
      <c r="J66" s="83">
        <v>2</v>
      </c>
      <c r="K66" s="83">
        <v>8</v>
      </c>
      <c r="L66" s="83">
        <v>31</v>
      </c>
      <c r="M66" s="83"/>
      <c r="N66" s="83"/>
      <c r="O66" s="83"/>
      <c r="P66" s="115"/>
    </row>
    <row r="67" spans="2:16" outlineLevel="1" x14ac:dyDescent="0.2">
      <c r="B67" s="116"/>
      <c r="C67" s="138"/>
      <c r="D67" s="116"/>
      <c r="E67" s="116"/>
      <c r="F67" s="116"/>
      <c r="G67" s="116"/>
      <c r="H67" s="84" t="s">
        <v>5</v>
      </c>
      <c r="I67" s="83">
        <f t="shared" si="19"/>
        <v>0</v>
      </c>
      <c r="J67" s="83"/>
      <c r="K67" s="83"/>
      <c r="L67" s="83"/>
      <c r="M67" s="83"/>
      <c r="N67" s="83"/>
      <c r="O67" s="83"/>
      <c r="P67" s="116"/>
    </row>
    <row r="68" spans="2:16" ht="42.75" customHeight="1" outlineLevel="1" x14ac:dyDescent="0.2">
      <c r="B68" s="114" t="s">
        <v>118</v>
      </c>
      <c r="C68" s="114" t="s">
        <v>119</v>
      </c>
      <c r="D68" s="114" t="s">
        <v>32</v>
      </c>
      <c r="E68" s="114">
        <v>2020</v>
      </c>
      <c r="F68" s="114" t="s">
        <v>120</v>
      </c>
      <c r="G68" s="114" t="s">
        <v>115</v>
      </c>
      <c r="H68" s="84" t="s">
        <v>3</v>
      </c>
      <c r="I68" s="83">
        <f t="shared" si="19"/>
        <v>8.34</v>
      </c>
      <c r="J68" s="17">
        <f t="shared" ref="J68:O68" si="23">J69+J70+J71</f>
        <v>8.34</v>
      </c>
      <c r="K68" s="83">
        <f t="shared" si="23"/>
        <v>0</v>
      </c>
      <c r="L68" s="83">
        <f t="shared" si="23"/>
        <v>0</v>
      </c>
      <c r="M68" s="83">
        <f t="shared" si="23"/>
        <v>0</v>
      </c>
      <c r="N68" s="83">
        <f t="shared" si="23"/>
        <v>0</v>
      </c>
      <c r="O68" s="83">
        <f t="shared" si="23"/>
        <v>0</v>
      </c>
      <c r="P68" s="114">
        <v>6250</v>
      </c>
    </row>
    <row r="69" spans="2:16" outlineLevel="1" x14ac:dyDescent="0.2">
      <c r="B69" s="115"/>
      <c r="C69" s="137"/>
      <c r="D69" s="115"/>
      <c r="E69" s="115"/>
      <c r="F69" s="115"/>
      <c r="G69" s="115"/>
      <c r="H69" s="84" t="s">
        <v>4</v>
      </c>
      <c r="I69" s="83">
        <f t="shared" si="19"/>
        <v>0</v>
      </c>
      <c r="J69" s="17"/>
      <c r="K69" s="83"/>
      <c r="L69" s="83"/>
      <c r="M69" s="83"/>
      <c r="N69" s="83"/>
      <c r="O69" s="83"/>
      <c r="P69" s="115"/>
    </row>
    <row r="70" spans="2:16" outlineLevel="1" x14ac:dyDescent="0.2">
      <c r="B70" s="115"/>
      <c r="C70" s="137"/>
      <c r="D70" s="115"/>
      <c r="E70" s="115"/>
      <c r="F70" s="115"/>
      <c r="G70" s="115"/>
      <c r="H70" s="84" t="s">
        <v>6</v>
      </c>
      <c r="I70" s="83">
        <f t="shared" si="19"/>
        <v>8.34</v>
      </c>
      <c r="J70" s="17">
        <v>8.34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115"/>
    </row>
    <row r="71" spans="2:16" outlineLevel="1" x14ac:dyDescent="0.2">
      <c r="B71" s="116"/>
      <c r="C71" s="138"/>
      <c r="D71" s="116"/>
      <c r="E71" s="116"/>
      <c r="F71" s="116"/>
      <c r="G71" s="116"/>
      <c r="H71" s="84" t="s">
        <v>5</v>
      </c>
      <c r="I71" s="83">
        <f t="shared" si="19"/>
        <v>0</v>
      </c>
      <c r="J71" s="83"/>
      <c r="K71" s="83"/>
      <c r="L71" s="83"/>
      <c r="M71" s="83"/>
      <c r="N71" s="83"/>
      <c r="O71" s="83"/>
      <c r="P71" s="116"/>
    </row>
    <row r="72" spans="2:16" ht="42.75" outlineLevel="1" x14ac:dyDescent="0.2">
      <c r="B72" s="114" t="s">
        <v>121</v>
      </c>
      <c r="C72" s="114" t="s">
        <v>119</v>
      </c>
      <c r="D72" s="114" t="s">
        <v>32</v>
      </c>
      <c r="E72" s="114">
        <v>2020</v>
      </c>
      <c r="F72" s="114" t="s">
        <v>122</v>
      </c>
      <c r="G72" s="114" t="s">
        <v>115</v>
      </c>
      <c r="H72" s="84" t="s">
        <v>3</v>
      </c>
      <c r="I72" s="83">
        <f t="shared" si="19"/>
        <v>31.4</v>
      </c>
      <c r="J72" s="83">
        <f t="shared" ref="J72:O72" si="24">J73+J74+J75</f>
        <v>31.4</v>
      </c>
      <c r="K72" s="83">
        <f t="shared" si="24"/>
        <v>0</v>
      </c>
      <c r="L72" s="83">
        <f t="shared" si="24"/>
        <v>0</v>
      </c>
      <c r="M72" s="83">
        <f t="shared" si="24"/>
        <v>0</v>
      </c>
      <c r="N72" s="83">
        <f t="shared" si="24"/>
        <v>0</v>
      </c>
      <c r="O72" s="83">
        <f t="shared" si="24"/>
        <v>0</v>
      </c>
      <c r="P72" s="114">
        <v>6250</v>
      </c>
    </row>
    <row r="73" spans="2:16" outlineLevel="1" x14ac:dyDescent="0.2">
      <c r="B73" s="115"/>
      <c r="C73" s="137"/>
      <c r="D73" s="115"/>
      <c r="E73" s="115"/>
      <c r="F73" s="115"/>
      <c r="G73" s="115"/>
      <c r="H73" s="84" t="s">
        <v>4</v>
      </c>
      <c r="I73" s="83">
        <f t="shared" si="19"/>
        <v>17.7</v>
      </c>
      <c r="J73" s="83">
        <v>17.7</v>
      </c>
      <c r="K73" s="83"/>
      <c r="L73" s="83"/>
      <c r="M73" s="83"/>
      <c r="N73" s="83"/>
      <c r="O73" s="83"/>
      <c r="P73" s="115"/>
    </row>
    <row r="74" spans="2:16" outlineLevel="1" x14ac:dyDescent="0.2">
      <c r="B74" s="115"/>
      <c r="C74" s="137"/>
      <c r="D74" s="115"/>
      <c r="E74" s="115"/>
      <c r="F74" s="115"/>
      <c r="G74" s="115"/>
      <c r="H74" s="84" t="s">
        <v>6</v>
      </c>
      <c r="I74" s="83">
        <f t="shared" si="19"/>
        <v>13.7</v>
      </c>
      <c r="J74" s="83">
        <v>13.7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115"/>
    </row>
    <row r="75" spans="2:16" outlineLevel="1" x14ac:dyDescent="0.2">
      <c r="B75" s="116"/>
      <c r="C75" s="138"/>
      <c r="D75" s="116"/>
      <c r="E75" s="116"/>
      <c r="F75" s="116"/>
      <c r="G75" s="116"/>
      <c r="H75" s="84" t="s">
        <v>5</v>
      </c>
      <c r="I75" s="83">
        <f t="shared" si="19"/>
        <v>0</v>
      </c>
      <c r="J75" s="83"/>
      <c r="K75" s="83"/>
      <c r="L75" s="83"/>
      <c r="M75" s="83"/>
      <c r="N75" s="83"/>
      <c r="O75" s="83"/>
      <c r="P75" s="116"/>
    </row>
    <row r="76" spans="2:16" s="21" customFormat="1" ht="42.75" customHeight="1" outlineLevel="1" x14ac:dyDescent="0.2">
      <c r="B76" s="114" t="s">
        <v>123</v>
      </c>
      <c r="C76" s="114" t="s">
        <v>119</v>
      </c>
      <c r="D76" s="114" t="s">
        <v>32</v>
      </c>
      <c r="E76" s="114">
        <v>2022</v>
      </c>
      <c r="F76" s="114" t="s">
        <v>124</v>
      </c>
      <c r="G76" s="114" t="s">
        <v>125</v>
      </c>
      <c r="H76" s="19" t="s">
        <v>3</v>
      </c>
      <c r="I76" s="83">
        <f t="shared" si="19"/>
        <v>95</v>
      </c>
      <c r="J76" s="20">
        <v>0</v>
      </c>
      <c r="K76" s="20">
        <v>0</v>
      </c>
      <c r="L76" s="20">
        <v>95</v>
      </c>
      <c r="M76" s="20">
        <v>0</v>
      </c>
      <c r="N76" s="20">
        <v>0</v>
      </c>
      <c r="O76" s="20">
        <v>0</v>
      </c>
      <c r="P76" s="114">
        <v>980</v>
      </c>
    </row>
    <row r="77" spans="2:16" s="21" customFormat="1" outlineLevel="1" x14ac:dyDescent="0.2">
      <c r="B77" s="115"/>
      <c r="C77" s="137"/>
      <c r="D77" s="115"/>
      <c r="E77" s="115"/>
      <c r="F77" s="115"/>
      <c r="G77" s="115"/>
      <c r="H77" s="19" t="s">
        <v>4</v>
      </c>
      <c r="I77" s="83">
        <f t="shared" si="19"/>
        <v>0</v>
      </c>
      <c r="J77" s="20"/>
      <c r="K77" s="20"/>
      <c r="L77" s="20"/>
      <c r="M77" s="20"/>
      <c r="N77" s="20"/>
      <c r="O77" s="20"/>
      <c r="P77" s="115"/>
    </row>
    <row r="78" spans="2:16" s="21" customFormat="1" outlineLevel="1" x14ac:dyDescent="0.2">
      <c r="B78" s="115"/>
      <c r="C78" s="137"/>
      <c r="D78" s="115"/>
      <c r="E78" s="115"/>
      <c r="F78" s="115"/>
      <c r="G78" s="115"/>
      <c r="H78" s="19" t="s">
        <v>6</v>
      </c>
      <c r="I78" s="83">
        <f t="shared" si="19"/>
        <v>95</v>
      </c>
      <c r="J78" s="20"/>
      <c r="K78" s="20"/>
      <c r="L78" s="20">
        <v>95</v>
      </c>
      <c r="M78" s="20"/>
      <c r="N78" s="20"/>
      <c r="O78" s="20"/>
      <c r="P78" s="115"/>
    </row>
    <row r="79" spans="2:16" s="21" customFormat="1" outlineLevel="1" x14ac:dyDescent="0.2">
      <c r="B79" s="116"/>
      <c r="C79" s="138"/>
      <c r="D79" s="116"/>
      <c r="E79" s="116"/>
      <c r="F79" s="116"/>
      <c r="G79" s="116"/>
      <c r="H79" s="19" t="s">
        <v>5</v>
      </c>
      <c r="I79" s="83">
        <f t="shared" si="19"/>
        <v>0</v>
      </c>
      <c r="J79" s="20"/>
      <c r="K79" s="20"/>
      <c r="L79" s="20"/>
      <c r="M79" s="20"/>
      <c r="N79" s="20"/>
      <c r="O79" s="20"/>
      <c r="P79" s="116"/>
    </row>
    <row r="80" spans="2:16" s="21" customFormat="1" ht="42.75" outlineLevel="1" x14ac:dyDescent="0.2">
      <c r="B80" s="114" t="s">
        <v>126</v>
      </c>
      <c r="C80" s="114" t="s">
        <v>119</v>
      </c>
      <c r="D80" s="114" t="s">
        <v>32</v>
      </c>
      <c r="E80" s="114">
        <v>2021</v>
      </c>
      <c r="F80" s="114" t="s">
        <v>127</v>
      </c>
      <c r="G80" s="114" t="s">
        <v>115</v>
      </c>
      <c r="H80" s="19" t="s">
        <v>3</v>
      </c>
      <c r="I80" s="83">
        <f t="shared" si="19"/>
        <v>26.6</v>
      </c>
      <c r="J80" s="20">
        <v>0</v>
      </c>
      <c r="K80" s="20">
        <v>26.6</v>
      </c>
      <c r="L80" s="20">
        <v>0</v>
      </c>
      <c r="M80" s="20"/>
      <c r="N80" s="20">
        <v>0</v>
      </c>
      <c r="O80" s="20">
        <v>0</v>
      </c>
      <c r="P80" s="114">
        <v>1399</v>
      </c>
    </row>
    <row r="81" spans="2:16" s="21" customFormat="1" outlineLevel="1" x14ac:dyDescent="0.2">
      <c r="B81" s="115"/>
      <c r="C81" s="137"/>
      <c r="D81" s="115"/>
      <c r="E81" s="115"/>
      <c r="F81" s="115"/>
      <c r="G81" s="115"/>
      <c r="H81" s="19" t="s">
        <v>4</v>
      </c>
      <c r="I81" s="83">
        <f t="shared" si="19"/>
        <v>25.27</v>
      </c>
      <c r="J81" s="20"/>
      <c r="K81" s="20">
        <v>25.27</v>
      </c>
      <c r="L81" s="20"/>
      <c r="M81" s="20"/>
      <c r="N81" s="20"/>
      <c r="O81" s="20"/>
      <c r="P81" s="115"/>
    </row>
    <row r="82" spans="2:16" s="21" customFormat="1" outlineLevel="1" x14ac:dyDescent="0.2">
      <c r="B82" s="115"/>
      <c r="C82" s="137"/>
      <c r="D82" s="115"/>
      <c r="E82" s="115"/>
      <c r="F82" s="115"/>
      <c r="G82" s="115"/>
      <c r="H82" s="19" t="s">
        <v>6</v>
      </c>
      <c r="I82" s="83">
        <f t="shared" si="19"/>
        <v>1.33</v>
      </c>
      <c r="J82" s="20"/>
      <c r="K82" s="20">
        <v>1.33</v>
      </c>
      <c r="L82" s="20"/>
      <c r="M82" s="20"/>
      <c r="N82" s="20"/>
      <c r="O82" s="20"/>
      <c r="P82" s="115"/>
    </row>
    <row r="83" spans="2:16" s="21" customFormat="1" outlineLevel="1" x14ac:dyDescent="0.2">
      <c r="B83" s="116"/>
      <c r="C83" s="138"/>
      <c r="D83" s="116"/>
      <c r="E83" s="116"/>
      <c r="F83" s="116"/>
      <c r="G83" s="116"/>
      <c r="H83" s="19" t="s">
        <v>5</v>
      </c>
      <c r="I83" s="83">
        <f t="shared" si="19"/>
        <v>0</v>
      </c>
      <c r="J83" s="20"/>
      <c r="K83" s="20"/>
      <c r="L83" s="20"/>
      <c r="M83" s="20"/>
      <c r="N83" s="20"/>
      <c r="O83" s="20"/>
      <c r="P83" s="116"/>
    </row>
    <row r="84" spans="2:16" s="21" customFormat="1" ht="42.75" customHeight="1" outlineLevel="1" x14ac:dyDescent="0.2">
      <c r="B84" s="114" t="s">
        <v>128</v>
      </c>
      <c r="C84" s="114"/>
      <c r="D84" s="114" t="s">
        <v>32</v>
      </c>
      <c r="E84" s="114">
        <v>2021</v>
      </c>
      <c r="F84" s="114" t="s">
        <v>129</v>
      </c>
      <c r="G84" s="114" t="s">
        <v>63</v>
      </c>
      <c r="H84" s="19" t="s">
        <v>3</v>
      </c>
      <c r="I84" s="83">
        <f t="shared" si="19"/>
        <v>16.2</v>
      </c>
      <c r="J84" s="20">
        <v>0</v>
      </c>
      <c r="K84" s="20">
        <v>16.2</v>
      </c>
      <c r="L84" s="20">
        <v>0</v>
      </c>
      <c r="M84" s="20">
        <v>0</v>
      </c>
      <c r="N84" s="20"/>
      <c r="O84" s="20">
        <v>0</v>
      </c>
      <c r="P84" s="114">
        <v>581</v>
      </c>
    </row>
    <row r="85" spans="2:16" s="21" customFormat="1" outlineLevel="1" x14ac:dyDescent="0.2">
      <c r="B85" s="115"/>
      <c r="C85" s="137"/>
      <c r="D85" s="115"/>
      <c r="E85" s="115"/>
      <c r="F85" s="115"/>
      <c r="G85" s="115"/>
      <c r="H85" s="19" t="s">
        <v>4</v>
      </c>
      <c r="I85" s="83">
        <f t="shared" si="19"/>
        <v>0</v>
      </c>
      <c r="J85" s="20"/>
      <c r="K85" s="20">
        <v>0</v>
      </c>
      <c r="L85" s="20"/>
      <c r="M85" s="20"/>
      <c r="N85" s="20"/>
      <c r="O85" s="20"/>
      <c r="P85" s="115"/>
    </row>
    <row r="86" spans="2:16" s="21" customFormat="1" outlineLevel="1" x14ac:dyDescent="0.2">
      <c r="B86" s="115"/>
      <c r="C86" s="137"/>
      <c r="D86" s="115"/>
      <c r="E86" s="115"/>
      <c r="F86" s="115"/>
      <c r="G86" s="115"/>
      <c r="H86" s="19" t="s">
        <v>6</v>
      </c>
      <c r="I86" s="83">
        <f t="shared" si="19"/>
        <v>16.2</v>
      </c>
      <c r="J86" s="20"/>
      <c r="K86" s="20">
        <v>16.2</v>
      </c>
      <c r="L86" s="20"/>
      <c r="M86" s="20"/>
      <c r="N86" s="20"/>
      <c r="O86" s="20"/>
      <c r="P86" s="115"/>
    </row>
    <row r="87" spans="2:16" s="21" customFormat="1" outlineLevel="1" x14ac:dyDescent="0.2">
      <c r="B87" s="116"/>
      <c r="C87" s="138"/>
      <c r="D87" s="116"/>
      <c r="E87" s="116"/>
      <c r="F87" s="116"/>
      <c r="G87" s="116"/>
      <c r="H87" s="19" t="s">
        <v>5</v>
      </c>
      <c r="I87" s="83">
        <f t="shared" si="19"/>
        <v>0</v>
      </c>
      <c r="J87" s="20"/>
      <c r="K87" s="20"/>
      <c r="L87" s="20"/>
      <c r="M87" s="20"/>
      <c r="N87" s="20"/>
      <c r="O87" s="20"/>
      <c r="P87" s="116"/>
    </row>
    <row r="88" spans="2:16" s="21" customFormat="1" ht="42.75" outlineLevel="1" x14ac:dyDescent="0.2">
      <c r="B88" s="114" t="s">
        <v>130</v>
      </c>
      <c r="C88" s="114" t="s">
        <v>119</v>
      </c>
      <c r="D88" s="114" t="s">
        <v>32</v>
      </c>
      <c r="E88" s="114">
        <v>2021</v>
      </c>
      <c r="F88" s="114" t="s">
        <v>131</v>
      </c>
      <c r="G88" s="114" t="s">
        <v>115</v>
      </c>
      <c r="H88" s="19" t="s">
        <v>3</v>
      </c>
      <c r="I88" s="83">
        <f t="shared" si="19"/>
        <v>58</v>
      </c>
      <c r="J88" s="20">
        <v>0</v>
      </c>
      <c r="K88" s="22">
        <v>58</v>
      </c>
      <c r="L88" s="20">
        <v>0</v>
      </c>
      <c r="M88" s="20"/>
      <c r="N88" s="20">
        <v>0</v>
      </c>
      <c r="O88" s="20">
        <v>0</v>
      </c>
      <c r="P88" s="114">
        <v>5349</v>
      </c>
    </row>
    <row r="89" spans="2:16" s="21" customFormat="1" outlineLevel="1" x14ac:dyDescent="0.2">
      <c r="B89" s="115"/>
      <c r="C89" s="137"/>
      <c r="D89" s="115"/>
      <c r="E89" s="115"/>
      <c r="F89" s="115"/>
      <c r="G89" s="115"/>
      <c r="H89" s="19" t="s">
        <v>4</v>
      </c>
      <c r="I89" s="83">
        <f t="shared" si="19"/>
        <v>55.1</v>
      </c>
      <c r="J89" s="20"/>
      <c r="K89" s="20">
        <v>55.1</v>
      </c>
      <c r="L89" s="20"/>
      <c r="M89" s="20"/>
      <c r="N89" s="20"/>
      <c r="O89" s="20"/>
      <c r="P89" s="115"/>
    </row>
    <row r="90" spans="2:16" s="21" customFormat="1" outlineLevel="1" x14ac:dyDescent="0.2">
      <c r="B90" s="115"/>
      <c r="C90" s="137"/>
      <c r="D90" s="115"/>
      <c r="E90" s="115"/>
      <c r="F90" s="115"/>
      <c r="G90" s="115"/>
      <c r="H90" s="19" t="s">
        <v>6</v>
      </c>
      <c r="I90" s="83">
        <f t="shared" si="19"/>
        <v>2.9</v>
      </c>
      <c r="J90" s="20"/>
      <c r="K90" s="20">
        <v>2.9</v>
      </c>
      <c r="L90" s="20"/>
      <c r="M90" s="20"/>
      <c r="N90" s="20"/>
      <c r="O90" s="20"/>
      <c r="P90" s="115"/>
    </row>
    <row r="91" spans="2:16" s="21" customFormat="1" outlineLevel="1" x14ac:dyDescent="0.2">
      <c r="B91" s="116"/>
      <c r="C91" s="138"/>
      <c r="D91" s="116"/>
      <c r="E91" s="116"/>
      <c r="F91" s="116"/>
      <c r="G91" s="116"/>
      <c r="H91" s="19" t="s">
        <v>5</v>
      </c>
      <c r="I91" s="83">
        <f t="shared" si="19"/>
        <v>0</v>
      </c>
      <c r="J91" s="20"/>
      <c r="K91" s="20"/>
      <c r="L91" s="20"/>
      <c r="M91" s="20"/>
      <c r="N91" s="20"/>
      <c r="O91" s="20"/>
      <c r="P91" s="116"/>
    </row>
    <row r="92" spans="2:16" s="21" customFormat="1" ht="42.75" customHeight="1" outlineLevel="1" x14ac:dyDescent="0.2">
      <c r="B92" s="114" t="s">
        <v>132</v>
      </c>
      <c r="C92" s="114" t="s">
        <v>119</v>
      </c>
      <c r="D92" s="114" t="s">
        <v>32</v>
      </c>
      <c r="E92" s="114">
        <v>2022</v>
      </c>
      <c r="F92" s="114" t="s">
        <v>133</v>
      </c>
      <c r="G92" s="114" t="s">
        <v>115</v>
      </c>
      <c r="H92" s="19" t="s">
        <v>3</v>
      </c>
      <c r="I92" s="83">
        <f t="shared" si="19"/>
        <v>61.25</v>
      </c>
      <c r="J92" s="20">
        <v>0</v>
      </c>
      <c r="K92" s="20">
        <v>0</v>
      </c>
      <c r="L92" s="20">
        <v>61.25</v>
      </c>
      <c r="M92" s="20">
        <v>0</v>
      </c>
      <c r="N92" s="20"/>
      <c r="O92" s="20">
        <v>0</v>
      </c>
      <c r="P92" s="114">
        <v>279</v>
      </c>
    </row>
    <row r="93" spans="2:16" s="21" customFormat="1" outlineLevel="1" x14ac:dyDescent="0.2">
      <c r="B93" s="115"/>
      <c r="C93" s="137"/>
      <c r="D93" s="115"/>
      <c r="E93" s="115"/>
      <c r="F93" s="115"/>
      <c r="G93" s="115"/>
      <c r="H93" s="19" t="s">
        <v>4</v>
      </c>
      <c r="I93" s="83">
        <f t="shared" si="19"/>
        <v>44.6</v>
      </c>
      <c r="J93" s="20"/>
      <c r="K93" s="20"/>
      <c r="L93" s="20">
        <v>44.6</v>
      </c>
      <c r="M93" s="20"/>
      <c r="N93" s="20"/>
      <c r="O93" s="20"/>
      <c r="P93" s="115"/>
    </row>
    <row r="94" spans="2:16" s="21" customFormat="1" outlineLevel="1" x14ac:dyDescent="0.2">
      <c r="B94" s="115"/>
      <c r="C94" s="137"/>
      <c r="D94" s="115"/>
      <c r="E94" s="115"/>
      <c r="F94" s="115"/>
      <c r="G94" s="115"/>
      <c r="H94" s="19" t="s">
        <v>6</v>
      </c>
      <c r="I94" s="83">
        <f t="shared" si="19"/>
        <v>16.649999999999999</v>
      </c>
      <c r="J94" s="20"/>
      <c r="K94" s="20"/>
      <c r="L94" s="20">
        <v>16.649999999999999</v>
      </c>
      <c r="M94" s="20"/>
      <c r="N94" s="20"/>
      <c r="O94" s="20"/>
      <c r="P94" s="115"/>
    </row>
    <row r="95" spans="2:16" s="21" customFormat="1" outlineLevel="1" x14ac:dyDescent="0.2">
      <c r="B95" s="116"/>
      <c r="C95" s="138"/>
      <c r="D95" s="116"/>
      <c r="E95" s="116"/>
      <c r="F95" s="116"/>
      <c r="G95" s="116"/>
      <c r="H95" s="19" t="s">
        <v>5</v>
      </c>
      <c r="I95" s="83">
        <f t="shared" si="19"/>
        <v>0</v>
      </c>
      <c r="J95" s="20"/>
      <c r="K95" s="20"/>
      <c r="L95" s="20"/>
      <c r="M95" s="20"/>
      <c r="N95" s="20"/>
      <c r="O95" s="20"/>
      <c r="P95" s="116"/>
    </row>
    <row r="96" spans="2:16" s="21" customFormat="1" ht="42.75" outlineLevel="1" x14ac:dyDescent="0.2">
      <c r="B96" s="114" t="s">
        <v>134</v>
      </c>
      <c r="C96" s="114"/>
      <c r="D96" s="114" t="s">
        <v>32</v>
      </c>
      <c r="E96" s="114">
        <v>2022</v>
      </c>
      <c r="F96" s="114" t="s">
        <v>135</v>
      </c>
      <c r="G96" s="114" t="s">
        <v>125</v>
      </c>
      <c r="H96" s="19" t="s">
        <v>3</v>
      </c>
      <c r="I96" s="83">
        <f t="shared" si="19"/>
        <v>28.5</v>
      </c>
      <c r="J96" s="20">
        <v>0</v>
      </c>
      <c r="K96" s="20">
        <v>0</v>
      </c>
      <c r="L96" s="20">
        <v>28.5</v>
      </c>
      <c r="M96" s="20">
        <v>0</v>
      </c>
      <c r="N96" s="20">
        <v>0</v>
      </c>
      <c r="O96" s="20">
        <v>0</v>
      </c>
      <c r="P96" s="114">
        <v>217</v>
      </c>
    </row>
    <row r="97" spans="2:16" s="21" customFormat="1" outlineLevel="1" x14ac:dyDescent="0.2">
      <c r="B97" s="115"/>
      <c r="C97" s="137"/>
      <c r="D97" s="115"/>
      <c r="E97" s="115"/>
      <c r="F97" s="115"/>
      <c r="G97" s="115"/>
      <c r="H97" s="19" t="s">
        <v>4</v>
      </c>
      <c r="I97" s="83">
        <f t="shared" si="19"/>
        <v>0</v>
      </c>
      <c r="J97" s="20"/>
      <c r="K97" s="20"/>
      <c r="L97" s="20"/>
      <c r="M97" s="20"/>
      <c r="N97" s="20"/>
      <c r="O97" s="20"/>
      <c r="P97" s="115"/>
    </row>
    <row r="98" spans="2:16" s="21" customFormat="1" outlineLevel="1" x14ac:dyDescent="0.2">
      <c r="B98" s="115"/>
      <c r="C98" s="137"/>
      <c r="D98" s="115"/>
      <c r="E98" s="115"/>
      <c r="F98" s="115"/>
      <c r="G98" s="115"/>
      <c r="H98" s="19" t="s">
        <v>6</v>
      </c>
      <c r="I98" s="83">
        <f t="shared" si="19"/>
        <v>28.5</v>
      </c>
      <c r="J98" s="20"/>
      <c r="K98" s="20"/>
      <c r="L98" s="20">
        <v>28.5</v>
      </c>
      <c r="M98" s="20"/>
      <c r="N98" s="20"/>
      <c r="O98" s="20"/>
      <c r="P98" s="115"/>
    </row>
    <row r="99" spans="2:16" s="21" customFormat="1" outlineLevel="1" x14ac:dyDescent="0.2">
      <c r="B99" s="116"/>
      <c r="C99" s="138"/>
      <c r="D99" s="116"/>
      <c r="E99" s="116"/>
      <c r="F99" s="116"/>
      <c r="G99" s="116"/>
      <c r="H99" s="19" t="s">
        <v>5</v>
      </c>
      <c r="I99" s="83">
        <f t="shared" si="19"/>
        <v>0</v>
      </c>
      <c r="J99" s="20"/>
      <c r="K99" s="20"/>
      <c r="L99" s="20"/>
      <c r="M99" s="20"/>
      <c r="N99" s="20"/>
      <c r="O99" s="20"/>
      <c r="P99" s="116"/>
    </row>
    <row r="100" spans="2:16" ht="42.75" customHeight="1" outlineLevel="1" x14ac:dyDescent="0.2">
      <c r="B100" s="114" t="s">
        <v>136</v>
      </c>
      <c r="C100" s="114"/>
      <c r="D100" s="114" t="s">
        <v>32</v>
      </c>
      <c r="E100" s="114">
        <v>2023</v>
      </c>
      <c r="F100" s="114" t="s">
        <v>137</v>
      </c>
      <c r="G100" s="114" t="s">
        <v>138</v>
      </c>
      <c r="H100" s="84" t="s">
        <v>3</v>
      </c>
      <c r="I100" s="83">
        <f t="shared" si="19"/>
        <v>51</v>
      </c>
      <c r="J100" s="20">
        <f t="shared" ref="J100:O100" si="25">SUM(J101:J103)</f>
        <v>0</v>
      </c>
      <c r="K100" s="20">
        <f t="shared" si="25"/>
        <v>0</v>
      </c>
      <c r="L100" s="20">
        <f t="shared" si="25"/>
        <v>0</v>
      </c>
      <c r="M100" s="20">
        <f t="shared" si="25"/>
        <v>51</v>
      </c>
      <c r="N100" s="20">
        <f t="shared" si="25"/>
        <v>0</v>
      </c>
      <c r="O100" s="20">
        <f t="shared" si="25"/>
        <v>0</v>
      </c>
      <c r="P100" s="78"/>
    </row>
    <row r="101" spans="2:16" outlineLevel="1" x14ac:dyDescent="0.2">
      <c r="B101" s="115"/>
      <c r="C101" s="137"/>
      <c r="D101" s="115"/>
      <c r="E101" s="115"/>
      <c r="F101" s="115"/>
      <c r="G101" s="115"/>
      <c r="H101" s="84" t="s">
        <v>4</v>
      </c>
      <c r="I101" s="83">
        <f t="shared" si="19"/>
        <v>0</v>
      </c>
      <c r="J101" s="20"/>
      <c r="K101" s="20"/>
      <c r="L101" s="20"/>
      <c r="M101" s="20"/>
      <c r="N101" s="20"/>
      <c r="O101" s="20"/>
      <c r="P101" s="78"/>
    </row>
    <row r="102" spans="2:16" outlineLevel="1" x14ac:dyDescent="0.2">
      <c r="B102" s="115"/>
      <c r="C102" s="137"/>
      <c r="D102" s="115"/>
      <c r="E102" s="115"/>
      <c r="F102" s="115"/>
      <c r="G102" s="115"/>
      <c r="H102" s="84" t="s">
        <v>6</v>
      </c>
      <c r="I102" s="83">
        <f t="shared" si="19"/>
        <v>51</v>
      </c>
      <c r="J102" s="20"/>
      <c r="K102" s="20"/>
      <c r="L102" s="20"/>
      <c r="M102" s="20">
        <v>51</v>
      </c>
      <c r="N102" s="20"/>
      <c r="O102" s="20"/>
      <c r="P102" s="78"/>
    </row>
    <row r="103" spans="2:16" outlineLevel="1" x14ac:dyDescent="0.2">
      <c r="B103" s="116"/>
      <c r="C103" s="138"/>
      <c r="D103" s="116"/>
      <c r="E103" s="116"/>
      <c r="F103" s="116"/>
      <c r="G103" s="116"/>
      <c r="H103" s="84" t="s">
        <v>5</v>
      </c>
      <c r="I103" s="83">
        <f t="shared" si="19"/>
        <v>0</v>
      </c>
      <c r="J103" s="20"/>
      <c r="K103" s="20"/>
      <c r="L103" s="20"/>
      <c r="M103" s="20"/>
      <c r="N103" s="20"/>
      <c r="O103" s="20"/>
      <c r="P103" s="78"/>
    </row>
    <row r="104" spans="2:16" s="21" customFormat="1" ht="42.75" outlineLevel="1" x14ac:dyDescent="0.2">
      <c r="B104" s="114" t="s">
        <v>139</v>
      </c>
      <c r="C104" s="114" t="s">
        <v>119</v>
      </c>
      <c r="D104" s="114" t="s">
        <v>32</v>
      </c>
      <c r="E104" s="114">
        <v>2023</v>
      </c>
      <c r="F104" s="114" t="s">
        <v>133</v>
      </c>
      <c r="G104" s="114" t="s">
        <v>115</v>
      </c>
      <c r="H104" s="19" t="s">
        <v>3</v>
      </c>
      <c r="I104" s="83">
        <f t="shared" si="19"/>
        <v>61</v>
      </c>
      <c r="J104" s="20">
        <v>0</v>
      </c>
      <c r="K104" s="20">
        <v>0</v>
      </c>
      <c r="L104" s="20">
        <v>0</v>
      </c>
      <c r="M104" s="20">
        <v>61</v>
      </c>
      <c r="N104" s="20"/>
      <c r="O104" s="20">
        <v>0</v>
      </c>
      <c r="P104" s="114">
        <v>91</v>
      </c>
    </row>
    <row r="105" spans="2:16" s="21" customFormat="1" outlineLevel="1" x14ac:dyDescent="0.2">
      <c r="B105" s="115"/>
      <c r="C105" s="137"/>
      <c r="D105" s="115"/>
      <c r="E105" s="115"/>
      <c r="F105" s="115"/>
      <c r="G105" s="115"/>
      <c r="H105" s="19" t="s">
        <v>4</v>
      </c>
      <c r="I105" s="83">
        <f t="shared" si="19"/>
        <v>60.4</v>
      </c>
      <c r="J105" s="20"/>
      <c r="K105" s="20"/>
      <c r="L105" s="20"/>
      <c r="M105" s="20">
        <v>60.4</v>
      </c>
      <c r="N105" s="20"/>
      <c r="O105" s="20"/>
      <c r="P105" s="115"/>
    </row>
    <row r="106" spans="2:16" s="21" customFormat="1" outlineLevel="1" x14ac:dyDescent="0.2">
      <c r="B106" s="115"/>
      <c r="C106" s="137"/>
      <c r="D106" s="115"/>
      <c r="E106" s="115"/>
      <c r="F106" s="115"/>
      <c r="G106" s="115"/>
      <c r="H106" s="19" t="s">
        <v>6</v>
      </c>
      <c r="I106" s="83">
        <f t="shared" si="19"/>
        <v>0.6</v>
      </c>
      <c r="J106" s="20"/>
      <c r="K106" s="20"/>
      <c r="L106" s="20"/>
      <c r="M106" s="20">
        <v>0.6</v>
      </c>
      <c r="N106" s="20"/>
      <c r="O106" s="20"/>
      <c r="P106" s="115"/>
    </row>
    <row r="107" spans="2:16" s="21" customFormat="1" outlineLevel="1" x14ac:dyDescent="0.2">
      <c r="B107" s="116"/>
      <c r="C107" s="138"/>
      <c r="D107" s="116"/>
      <c r="E107" s="116"/>
      <c r="F107" s="116"/>
      <c r="G107" s="116"/>
      <c r="H107" s="19" t="s">
        <v>5</v>
      </c>
      <c r="I107" s="83">
        <f t="shared" si="19"/>
        <v>0</v>
      </c>
      <c r="J107" s="20"/>
      <c r="K107" s="20"/>
      <c r="L107" s="20"/>
      <c r="M107" s="20"/>
      <c r="N107" s="20"/>
      <c r="O107" s="20"/>
      <c r="P107" s="116"/>
    </row>
    <row r="108" spans="2:16" ht="42.75" customHeight="1" outlineLevel="1" x14ac:dyDescent="0.2">
      <c r="B108" s="114" t="s">
        <v>140</v>
      </c>
      <c r="C108" s="114" t="s">
        <v>119</v>
      </c>
      <c r="D108" s="114" t="s">
        <v>32</v>
      </c>
      <c r="E108" s="114">
        <v>2022</v>
      </c>
      <c r="F108" s="114">
        <v>1.2</v>
      </c>
      <c r="G108" s="114" t="s">
        <v>63</v>
      </c>
      <c r="H108" s="84" t="s">
        <v>3</v>
      </c>
      <c r="I108" s="83">
        <f t="shared" si="19"/>
        <v>23</v>
      </c>
      <c r="J108" s="20">
        <f t="shared" ref="J108:O108" si="26">SUM(J109:J111)</f>
        <v>0</v>
      </c>
      <c r="K108" s="20"/>
      <c r="L108" s="20">
        <v>23</v>
      </c>
      <c r="M108" s="20">
        <f t="shared" si="26"/>
        <v>0</v>
      </c>
      <c r="N108" s="20">
        <f t="shared" si="26"/>
        <v>0</v>
      </c>
      <c r="O108" s="20">
        <f t="shared" si="26"/>
        <v>0</v>
      </c>
      <c r="P108" s="114">
        <v>834</v>
      </c>
    </row>
    <row r="109" spans="2:16" outlineLevel="1" x14ac:dyDescent="0.2">
      <c r="B109" s="115"/>
      <c r="C109" s="137"/>
      <c r="D109" s="115"/>
      <c r="E109" s="115"/>
      <c r="F109" s="115"/>
      <c r="G109" s="115"/>
      <c r="H109" s="84" t="s">
        <v>4</v>
      </c>
      <c r="I109" s="83">
        <f t="shared" ref="I109:I155" si="27">SUM(J109:O109)</f>
        <v>21.8</v>
      </c>
      <c r="J109" s="20"/>
      <c r="K109" s="20"/>
      <c r="L109" s="20">
        <v>21.8</v>
      </c>
      <c r="M109" s="20"/>
      <c r="N109" s="20"/>
      <c r="O109" s="20"/>
      <c r="P109" s="115"/>
    </row>
    <row r="110" spans="2:16" outlineLevel="1" x14ac:dyDescent="0.2">
      <c r="B110" s="115"/>
      <c r="C110" s="137"/>
      <c r="D110" s="115"/>
      <c r="E110" s="115"/>
      <c r="F110" s="115"/>
      <c r="G110" s="115"/>
      <c r="H110" s="84" t="s">
        <v>6</v>
      </c>
      <c r="I110" s="83">
        <f t="shared" si="27"/>
        <v>1.2</v>
      </c>
      <c r="J110" s="20"/>
      <c r="K110" s="20"/>
      <c r="L110" s="20">
        <v>1.2</v>
      </c>
      <c r="M110" s="20"/>
      <c r="N110" s="20"/>
      <c r="O110" s="20"/>
      <c r="P110" s="115"/>
    </row>
    <row r="111" spans="2:16" outlineLevel="1" x14ac:dyDescent="0.2">
      <c r="B111" s="116"/>
      <c r="C111" s="138"/>
      <c r="D111" s="116"/>
      <c r="E111" s="116"/>
      <c r="F111" s="116"/>
      <c r="G111" s="116"/>
      <c r="H111" s="84" t="s">
        <v>5</v>
      </c>
      <c r="I111" s="83">
        <f t="shared" si="27"/>
        <v>0</v>
      </c>
      <c r="J111" s="20"/>
      <c r="K111" s="20"/>
      <c r="L111" s="20"/>
      <c r="M111" s="20"/>
      <c r="N111" s="20"/>
      <c r="O111" s="20"/>
      <c r="P111" s="116"/>
    </row>
    <row r="112" spans="2:16" ht="42.75" outlineLevel="1" x14ac:dyDescent="0.2">
      <c r="B112" s="114" t="s">
        <v>141</v>
      </c>
      <c r="C112" s="114" t="s">
        <v>119</v>
      </c>
      <c r="D112" s="114" t="s">
        <v>142</v>
      </c>
      <c r="E112" s="114">
        <v>2023</v>
      </c>
      <c r="F112" s="114">
        <v>4.3</v>
      </c>
      <c r="G112" s="114" t="s">
        <v>138</v>
      </c>
      <c r="H112" s="84" t="s">
        <v>3</v>
      </c>
      <c r="I112" s="83">
        <f t="shared" si="27"/>
        <v>108</v>
      </c>
      <c r="J112" s="20">
        <f t="shared" ref="J112:O112" si="28">SUM(J113:J115)</f>
        <v>0</v>
      </c>
      <c r="K112" s="20"/>
      <c r="L112" s="20">
        <f t="shared" si="28"/>
        <v>0</v>
      </c>
      <c r="M112" s="20">
        <f t="shared" si="28"/>
        <v>108</v>
      </c>
      <c r="N112" s="20">
        <f t="shared" si="28"/>
        <v>0</v>
      </c>
      <c r="O112" s="20">
        <f t="shared" si="28"/>
        <v>0</v>
      </c>
      <c r="P112" s="114">
        <v>5218</v>
      </c>
    </row>
    <row r="113" spans="2:16" outlineLevel="1" x14ac:dyDescent="0.2">
      <c r="B113" s="115"/>
      <c r="C113" s="137"/>
      <c r="D113" s="115"/>
      <c r="E113" s="115"/>
      <c r="F113" s="115"/>
      <c r="G113" s="115"/>
      <c r="H113" s="84" t="s">
        <v>4</v>
      </c>
      <c r="I113" s="83">
        <f t="shared" si="27"/>
        <v>106.92</v>
      </c>
      <c r="J113" s="20"/>
      <c r="K113" s="20"/>
      <c r="L113" s="20"/>
      <c r="M113" s="20">
        <v>106.92</v>
      </c>
      <c r="N113" s="20"/>
      <c r="O113" s="20"/>
      <c r="P113" s="115"/>
    </row>
    <row r="114" spans="2:16" outlineLevel="1" x14ac:dyDescent="0.2">
      <c r="B114" s="115"/>
      <c r="C114" s="137"/>
      <c r="D114" s="115"/>
      <c r="E114" s="115"/>
      <c r="F114" s="115"/>
      <c r="G114" s="115"/>
      <c r="H114" s="84" t="s">
        <v>6</v>
      </c>
      <c r="I114" s="83">
        <f t="shared" si="27"/>
        <v>1.08</v>
      </c>
      <c r="J114" s="20"/>
      <c r="K114" s="23"/>
      <c r="L114" s="23"/>
      <c r="M114" s="23">
        <v>1.08</v>
      </c>
      <c r="N114" s="20"/>
      <c r="O114" s="20"/>
      <c r="P114" s="115"/>
    </row>
    <row r="115" spans="2:16" outlineLevel="1" x14ac:dyDescent="0.2">
      <c r="B115" s="116"/>
      <c r="C115" s="138"/>
      <c r="D115" s="116"/>
      <c r="E115" s="116"/>
      <c r="F115" s="116"/>
      <c r="G115" s="116"/>
      <c r="H115" s="84" t="s">
        <v>5</v>
      </c>
      <c r="I115" s="83">
        <f t="shared" si="27"/>
        <v>0</v>
      </c>
      <c r="J115" s="20"/>
      <c r="K115" s="20"/>
      <c r="L115" s="20"/>
      <c r="M115" s="20"/>
      <c r="N115" s="20"/>
      <c r="O115" s="20"/>
      <c r="P115" s="116"/>
    </row>
    <row r="116" spans="2:16" ht="42.75" customHeight="1" outlineLevel="1" x14ac:dyDescent="0.2">
      <c r="B116" s="114" t="s">
        <v>143</v>
      </c>
      <c r="C116" s="114" t="s">
        <v>119</v>
      </c>
      <c r="D116" s="114" t="s">
        <v>144</v>
      </c>
      <c r="E116" s="114">
        <v>2023</v>
      </c>
      <c r="F116" s="114">
        <v>15.1</v>
      </c>
      <c r="G116" s="114" t="s">
        <v>138</v>
      </c>
      <c r="H116" s="84" t="s">
        <v>3</v>
      </c>
      <c r="I116" s="83">
        <f t="shared" si="27"/>
        <v>286.89999999999998</v>
      </c>
      <c r="J116" s="20">
        <f t="shared" ref="J116:O116" si="29">SUM(J117:J119)</f>
        <v>0</v>
      </c>
      <c r="K116" s="20">
        <f t="shared" si="29"/>
        <v>0</v>
      </c>
      <c r="L116" s="20"/>
      <c r="M116" s="20">
        <f t="shared" si="29"/>
        <v>286.89999999999998</v>
      </c>
      <c r="N116" s="20">
        <f t="shared" si="29"/>
        <v>0</v>
      </c>
      <c r="O116" s="20">
        <f t="shared" si="29"/>
        <v>0</v>
      </c>
      <c r="P116" s="114">
        <v>5349</v>
      </c>
    </row>
    <row r="117" spans="2:16" outlineLevel="1" x14ac:dyDescent="0.2">
      <c r="B117" s="115"/>
      <c r="C117" s="137"/>
      <c r="D117" s="115"/>
      <c r="E117" s="115"/>
      <c r="F117" s="115"/>
      <c r="G117" s="115"/>
      <c r="H117" s="84" t="s">
        <v>4</v>
      </c>
      <c r="I117" s="83">
        <f t="shared" si="27"/>
        <v>284</v>
      </c>
      <c r="J117" s="20"/>
      <c r="K117" s="20"/>
      <c r="L117" s="20"/>
      <c r="M117" s="20">
        <v>284</v>
      </c>
      <c r="N117" s="20"/>
      <c r="O117" s="20"/>
      <c r="P117" s="115"/>
    </row>
    <row r="118" spans="2:16" outlineLevel="1" x14ac:dyDescent="0.2">
      <c r="B118" s="115"/>
      <c r="C118" s="137"/>
      <c r="D118" s="115"/>
      <c r="E118" s="115"/>
      <c r="F118" s="115"/>
      <c r="G118" s="115"/>
      <c r="H118" s="84" t="s">
        <v>6</v>
      </c>
      <c r="I118" s="83">
        <f t="shared" si="27"/>
        <v>2.9</v>
      </c>
      <c r="J118" s="20"/>
      <c r="K118" s="20"/>
      <c r="L118" s="20"/>
      <c r="M118" s="20">
        <v>2.9</v>
      </c>
      <c r="N118" s="20"/>
      <c r="O118" s="20"/>
      <c r="P118" s="115"/>
    </row>
    <row r="119" spans="2:16" outlineLevel="1" x14ac:dyDescent="0.2">
      <c r="B119" s="116"/>
      <c r="C119" s="138"/>
      <c r="D119" s="116"/>
      <c r="E119" s="116"/>
      <c r="F119" s="116"/>
      <c r="G119" s="116"/>
      <c r="H119" s="84" t="s">
        <v>5</v>
      </c>
      <c r="I119" s="83">
        <f t="shared" si="27"/>
        <v>0</v>
      </c>
      <c r="J119" s="20"/>
      <c r="K119" s="20"/>
      <c r="L119" s="20"/>
      <c r="M119" s="20"/>
      <c r="N119" s="20"/>
      <c r="O119" s="20"/>
      <c r="P119" s="116"/>
    </row>
    <row r="120" spans="2:16" ht="42.75" outlineLevel="1" x14ac:dyDescent="0.2">
      <c r="B120" s="114" t="s">
        <v>145</v>
      </c>
      <c r="C120" s="114" t="s">
        <v>119</v>
      </c>
      <c r="D120" s="114" t="s">
        <v>32</v>
      </c>
      <c r="E120" s="114">
        <v>2020</v>
      </c>
      <c r="F120" s="114" t="s">
        <v>146</v>
      </c>
      <c r="G120" s="114" t="s">
        <v>115</v>
      </c>
      <c r="H120" s="84" t="s">
        <v>3</v>
      </c>
      <c r="I120" s="83">
        <f t="shared" si="27"/>
        <v>48.8</v>
      </c>
      <c r="J120" s="83">
        <f t="shared" ref="J120:O120" si="30">J121+J122+J123</f>
        <v>48.8</v>
      </c>
      <c r="K120" s="83">
        <f t="shared" si="30"/>
        <v>0</v>
      </c>
      <c r="L120" s="83">
        <f t="shared" si="30"/>
        <v>0</v>
      </c>
      <c r="M120" s="83">
        <f t="shared" si="30"/>
        <v>0</v>
      </c>
      <c r="N120" s="83">
        <f t="shared" si="30"/>
        <v>0</v>
      </c>
      <c r="O120" s="83">
        <f t="shared" si="30"/>
        <v>0</v>
      </c>
      <c r="P120" s="114">
        <v>487</v>
      </c>
    </row>
    <row r="121" spans="2:16" outlineLevel="1" x14ac:dyDescent="0.2">
      <c r="B121" s="115"/>
      <c r="C121" s="137"/>
      <c r="D121" s="115"/>
      <c r="E121" s="115"/>
      <c r="F121" s="115"/>
      <c r="G121" s="115"/>
      <c r="H121" s="84" t="s">
        <v>4</v>
      </c>
      <c r="I121" s="83">
        <f t="shared" si="27"/>
        <v>0</v>
      </c>
      <c r="J121" s="83"/>
      <c r="K121" s="83"/>
      <c r="L121" s="83"/>
      <c r="M121" s="83"/>
      <c r="N121" s="83"/>
      <c r="O121" s="83"/>
      <c r="P121" s="115"/>
    </row>
    <row r="122" spans="2:16" outlineLevel="1" x14ac:dyDescent="0.2">
      <c r="B122" s="115"/>
      <c r="C122" s="137"/>
      <c r="D122" s="115"/>
      <c r="E122" s="115"/>
      <c r="F122" s="115"/>
      <c r="G122" s="115"/>
      <c r="H122" s="84" t="s">
        <v>6</v>
      </c>
      <c r="I122" s="83">
        <f t="shared" si="27"/>
        <v>48.8</v>
      </c>
      <c r="J122" s="83">
        <v>48.8</v>
      </c>
      <c r="K122" s="83"/>
      <c r="L122" s="83"/>
      <c r="M122" s="83"/>
      <c r="N122" s="83"/>
      <c r="O122" s="83"/>
      <c r="P122" s="115"/>
    </row>
    <row r="123" spans="2:16" outlineLevel="1" x14ac:dyDescent="0.2">
      <c r="B123" s="116"/>
      <c r="C123" s="138"/>
      <c r="D123" s="116"/>
      <c r="E123" s="116"/>
      <c r="F123" s="116"/>
      <c r="G123" s="116"/>
      <c r="H123" s="84" t="s">
        <v>5</v>
      </c>
      <c r="I123" s="83">
        <f t="shared" si="27"/>
        <v>0</v>
      </c>
      <c r="J123" s="83"/>
      <c r="K123" s="83"/>
      <c r="L123" s="83"/>
      <c r="M123" s="83"/>
      <c r="N123" s="83"/>
      <c r="O123" s="83"/>
      <c r="P123" s="116"/>
    </row>
    <row r="124" spans="2:16" s="21" customFormat="1" ht="42.75" customHeight="1" outlineLevel="1" x14ac:dyDescent="0.2">
      <c r="B124" s="114" t="s">
        <v>147</v>
      </c>
      <c r="C124" s="114"/>
      <c r="D124" s="114" t="s">
        <v>32</v>
      </c>
      <c r="E124" s="114">
        <v>2023</v>
      </c>
      <c r="F124" s="114" t="s">
        <v>148</v>
      </c>
      <c r="G124" s="114" t="s">
        <v>138</v>
      </c>
      <c r="H124" s="19" t="s">
        <v>3</v>
      </c>
      <c r="I124" s="83">
        <f t="shared" si="27"/>
        <v>19</v>
      </c>
      <c r="J124" s="83"/>
      <c r="K124" s="83"/>
      <c r="L124" s="83"/>
      <c r="M124" s="83">
        <v>19</v>
      </c>
      <c r="N124" s="83"/>
      <c r="O124" s="83"/>
      <c r="P124" s="114">
        <v>550</v>
      </c>
    </row>
    <row r="125" spans="2:16" s="21" customFormat="1" outlineLevel="1" x14ac:dyDescent="0.2">
      <c r="B125" s="115"/>
      <c r="C125" s="137"/>
      <c r="D125" s="115"/>
      <c r="E125" s="115"/>
      <c r="F125" s="115"/>
      <c r="G125" s="115"/>
      <c r="H125" s="19" t="s">
        <v>4</v>
      </c>
      <c r="I125" s="83">
        <f t="shared" si="27"/>
        <v>0</v>
      </c>
      <c r="J125" s="83"/>
      <c r="K125" s="83"/>
      <c r="L125" s="83"/>
      <c r="M125" s="83"/>
      <c r="N125" s="83"/>
      <c r="O125" s="83"/>
      <c r="P125" s="115"/>
    </row>
    <row r="126" spans="2:16" s="21" customFormat="1" outlineLevel="1" x14ac:dyDescent="0.2">
      <c r="B126" s="115"/>
      <c r="C126" s="137"/>
      <c r="D126" s="115"/>
      <c r="E126" s="115"/>
      <c r="F126" s="115"/>
      <c r="G126" s="115"/>
      <c r="H126" s="19" t="s">
        <v>6</v>
      </c>
      <c r="I126" s="83">
        <f t="shared" si="27"/>
        <v>19</v>
      </c>
      <c r="J126" s="83"/>
      <c r="K126" s="83"/>
      <c r="L126" s="83"/>
      <c r="M126" s="83">
        <v>19</v>
      </c>
      <c r="N126" s="83"/>
      <c r="O126" s="83"/>
      <c r="P126" s="115"/>
    </row>
    <row r="127" spans="2:16" s="21" customFormat="1" outlineLevel="1" x14ac:dyDescent="0.2">
      <c r="B127" s="116"/>
      <c r="C127" s="138"/>
      <c r="D127" s="116"/>
      <c r="E127" s="116"/>
      <c r="F127" s="116"/>
      <c r="G127" s="116"/>
      <c r="H127" s="19" t="s">
        <v>5</v>
      </c>
      <c r="I127" s="83">
        <f t="shared" si="27"/>
        <v>0</v>
      </c>
      <c r="J127" s="83"/>
      <c r="K127" s="83"/>
      <c r="L127" s="83"/>
      <c r="M127" s="83"/>
      <c r="N127" s="83"/>
      <c r="O127" s="83"/>
      <c r="P127" s="116"/>
    </row>
    <row r="128" spans="2:16" s="21" customFormat="1" ht="42.75" outlineLevel="1" x14ac:dyDescent="0.2">
      <c r="B128" s="114" t="s">
        <v>149</v>
      </c>
      <c r="C128" s="114"/>
      <c r="D128" s="114" t="s">
        <v>32</v>
      </c>
      <c r="E128" s="114">
        <v>2024</v>
      </c>
      <c r="F128" s="114" t="s">
        <v>150</v>
      </c>
      <c r="G128" s="114" t="s">
        <v>138</v>
      </c>
      <c r="H128" s="19" t="s">
        <v>3</v>
      </c>
      <c r="I128" s="83">
        <f t="shared" si="27"/>
        <v>5</v>
      </c>
      <c r="J128" s="83"/>
      <c r="K128" s="83"/>
      <c r="L128" s="83"/>
      <c r="M128" s="83"/>
      <c r="N128" s="83">
        <v>5</v>
      </c>
      <c r="O128" s="83"/>
      <c r="P128" s="114">
        <v>879</v>
      </c>
    </row>
    <row r="129" spans="2:16" s="21" customFormat="1" outlineLevel="1" x14ac:dyDescent="0.2">
      <c r="B129" s="115"/>
      <c r="C129" s="137"/>
      <c r="D129" s="115"/>
      <c r="E129" s="115"/>
      <c r="F129" s="115"/>
      <c r="G129" s="115"/>
      <c r="H129" s="19" t="s">
        <v>4</v>
      </c>
      <c r="I129" s="83">
        <f t="shared" si="27"/>
        <v>0</v>
      </c>
      <c r="J129" s="83"/>
      <c r="K129" s="83"/>
      <c r="L129" s="83"/>
      <c r="M129" s="83"/>
      <c r="N129" s="83"/>
      <c r="O129" s="83"/>
      <c r="P129" s="115"/>
    </row>
    <row r="130" spans="2:16" s="21" customFormat="1" outlineLevel="1" x14ac:dyDescent="0.2">
      <c r="B130" s="115"/>
      <c r="C130" s="137"/>
      <c r="D130" s="115"/>
      <c r="E130" s="115"/>
      <c r="F130" s="115"/>
      <c r="G130" s="115"/>
      <c r="H130" s="19" t="s">
        <v>6</v>
      </c>
      <c r="I130" s="83">
        <f t="shared" si="27"/>
        <v>5</v>
      </c>
      <c r="J130" s="83"/>
      <c r="K130" s="83"/>
      <c r="L130" s="83"/>
      <c r="M130" s="83"/>
      <c r="N130" s="83">
        <v>5</v>
      </c>
      <c r="O130" s="83"/>
      <c r="P130" s="115"/>
    </row>
    <row r="131" spans="2:16" s="21" customFormat="1" outlineLevel="1" x14ac:dyDescent="0.2">
      <c r="B131" s="116"/>
      <c r="C131" s="138"/>
      <c r="D131" s="116"/>
      <c r="E131" s="116"/>
      <c r="F131" s="116"/>
      <c r="G131" s="116"/>
      <c r="H131" s="19" t="s">
        <v>5</v>
      </c>
      <c r="I131" s="83">
        <f t="shared" si="27"/>
        <v>0</v>
      </c>
      <c r="J131" s="83"/>
      <c r="K131" s="83"/>
      <c r="L131" s="83"/>
      <c r="M131" s="83"/>
      <c r="N131" s="83"/>
      <c r="O131" s="83"/>
      <c r="P131" s="116"/>
    </row>
    <row r="132" spans="2:16" s="21" customFormat="1" ht="42.75" customHeight="1" outlineLevel="1" x14ac:dyDescent="0.2">
      <c r="B132" s="114" t="s">
        <v>151</v>
      </c>
      <c r="C132" s="114" t="s">
        <v>119</v>
      </c>
      <c r="D132" s="114" t="s">
        <v>32</v>
      </c>
      <c r="E132" s="114">
        <v>2023</v>
      </c>
      <c r="F132" s="114" t="s">
        <v>87</v>
      </c>
      <c r="G132" s="114" t="s">
        <v>138</v>
      </c>
      <c r="H132" s="19" t="s">
        <v>3</v>
      </c>
      <c r="I132" s="83">
        <f t="shared" si="27"/>
        <v>25</v>
      </c>
      <c r="J132" s="83"/>
      <c r="K132" s="83"/>
      <c r="L132" s="83"/>
      <c r="M132" s="83">
        <f>SUM(M133:M135)</f>
        <v>25</v>
      </c>
      <c r="N132" s="83"/>
      <c r="O132" s="83"/>
      <c r="P132" s="114">
        <v>361</v>
      </c>
    </row>
    <row r="133" spans="2:16" s="21" customFormat="1" outlineLevel="1" x14ac:dyDescent="0.2">
      <c r="B133" s="115"/>
      <c r="C133" s="137"/>
      <c r="D133" s="115"/>
      <c r="E133" s="115"/>
      <c r="F133" s="115"/>
      <c r="G133" s="115"/>
      <c r="H133" s="19" t="s">
        <v>4</v>
      </c>
      <c r="I133" s="83">
        <f t="shared" si="27"/>
        <v>0</v>
      </c>
      <c r="J133" s="83"/>
      <c r="K133" s="83"/>
      <c r="L133" s="83"/>
      <c r="M133" s="83"/>
      <c r="N133" s="83"/>
      <c r="O133" s="83"/>
      <c r="P133" s="115"/>
    </row>
    <row r="134" spans="2:16" s="21" customFormat="1" outlineLevel="1" x14ac:dyDescent="0.2">
      <c r="B134" s="115"/>
      <c r="C134" s="137"/>
      <c r="D134" s="115"/>
      <c r="E134" s="115"/>
      <c r="F134" s="115"/>
      <c r="G134" s="115"/>
      <c r="H134" s="19" t="s">
        <v>6</v>
      </c>
      <c r="I134" s="83">
        <f t="shared" si="27"/>
        <v>25</v>
      </c>
      <c r="J134" s="83"/>
      <c r="K134" s="83"/>
      <c r="L134" s="83"/>
      <c r="M134" s="83">
        <v>25</v>
      </c>
      <c r="N134" s="83"/>
      <c r="O134" s="83"/>
      <c r="P134" s="115"/>
    </row>
    <row r="135" spans="2:16" s="21" customFormat="1" outlineLevel="1" x14ac:dyDescent="0.2">
      <c r="B135" s="116"/>
      <c r="C135" s="138"/>
      <c r="D135" s="116"/>
      <c r="E135" s="116"/>
      <c r="F135" s="116"/>
      <c r="G135" s="116"/>
      <c r="H135" s="19" t="s">
        <v>5</v>
      </c>
      <c r="I135" s="83">
        <f t="shared" si="27"/>
        <v>0</v>
      </c>
      <c r="J135" s="83"/>
      <c r="K135" s="83"/>
      <c r="L135" s="83"/>
      <c r="M135" s="83"/>
      <c r="N135" s="83"/>
      <c r="O135" s="83"/>
      <c r="P135" s="116"/>
    </row>
    <row r="136" spans="2:16" s="21" customFormat="1" ht="42.75" outlineLevel="1" x14ac:dyDescent="0.2">
      <c r="B136" s="114" t="s">
        <v>152</v>
      </c>
      <c r="C136" s="114"/>
      <c r="D136" s="114" t="s">
        <v>32</v>
      </c>
      <c r="E136" s="114">
        <v>2023</v>
      </c>
      <c r="F136" s="114">
        <v>0.97</v>
      </c>
      <c r="G136" s="114" t="s">
        <v>138</v>
      </c>
      <c r="H136" s="19" t="s">
        <v>3</v>
      </c>
      <c r="I136" s="83">
        <f t="shared" si="27"/>
        <v>20</v>
      </c>
      <c r="J136" s="83"/>
      <c r="K136" s="83"/>
      <c r="L136" s="83"/>
      <c r="M136" s="83">
        <f>SUM(M137:M139)</f>
        <v>20</v>
      </c>
      <c r="N136" s="83"/>
      <c r="O136" s="83"/>
      <c r="P136" s="114">
        <v>5218</v>
      </c>
    </row>
    <row r="137" spans="2:16" s="21" customFormat="1" outlineLevel="1" x14ac:dyDescent="0.2">
      <c r="B137" s="115"/>
      <c r="C137" s="137"/>
      <c r="D137" s="115"/>
      <c r="E137" s="115"/>
      <c r="F137" s="115"/>
      <c r="G137" s="115"/>
      <c r="H137" s="19" t="s">
        <v>4</v>
      </c>
      <c r="I137" s="83">
        <f t="shared" si="27"/>
        <v>0</v>
      </c>
      <c r="J137" s="83"/>
      <c r="K137" s="83"/>
      <c r="L137" s="83"/>
      <c r="M137" s="83"/>
      <c r="N137" s="83"/>
      <c r="O137" s="83"/>
      <c r="P137" s="115"/>
    </row>
    <row r="138" spans="2:16" s="21" customFormat="1" outlineLevel="1" x14ac:dyDescent="0.2">
      <c r="B138" s="115"/>
      <c r="C138" s="137"/>
      <c r="D138" s="115"/>
      <c r="E138" s="115"/>
      <c r="F138" s="115"/>
      <c r="G138" s="115"/>
      <c r="H138" s="19" t="s">
        <v>6</v>
      </c>
      <c r="I138" s="83">
        <f t="shared" si="27"/>
        <v>20</v>
      </c>
      <c r="J138" s="83"/>
      <c r="K138" s="83"/>
      <c r="L138" s="83"/>
      <c r="M138" s="83">
        <v>20</v>
      </c>
      <c r="N138" s="83"/>
      <c r="O138" s="83"/>
      <c r="P138" s="115"/>
    </row>
    <row r="139" spans="2:16" s="21" customFormat="1" outlineLevel="1" x14ac:dyDescent="0.2">
      <c r="B139" s="116"/>
      <c r="C139" s="138"/>
      <c r="D139" s="116"/>
      <c r="E139" s="116"/>
      <c r="F139" s="116"/>
      <c r="G139" s="116"/>
      <c r="H139" s="19" t="s">
        <v>5</v>
      </c>
      <c r="I139" s="83">
        <f t="shared" si="27"/>
        <v>0</v>
      </c>
      <c r="J139" s="83"/>
      <c r="K139" s="83"/>
      <c r="L139" s="83"/>
      <c r="M139" s="83"/>
      <c r="N139" s="83"/>
      <c r="O139" s="83"/>
      <c r="P139" s="116"/>
    </row>
    <row r="140" spans="2:16" s="21" customFormat="1" ht="42.75" customHeight="1" outlineLevel="1" x14ac:dyDescent="0.2">
      <c r="B140" s="114" t="s">
        <v>153</v>
      </c>
      <c r="C140" s="114"/>
      <c r="D140" s="114" t="s">
        <v>32</v>
      </c>
      <c r="E140" s="114">
        <v>2023</v>
      </c>
      <c r="F140" s="114" t="s">
        <v>87</v>
      </c>
      <c r="G140" s="114" t="s">
        <v>67</v>
      </c>
      <c r="H140" s="19" t="s">
        <v>3</v>
      </c>
      <c r="I140" s="83">
        <f t="shared" si="27"/>
        <v>28</v>
      </c>
      <c r="J140" s="83"/>
      <c r="K140" s="83"/>
      <c r="L140" s="83"/>
      <c r="M140" s="83">
        <f>SUM(M141:M143)</f>
        <v>28</v>
      </c>
      <c r="N140" s="83"/>
      <c r="O140" s="83"/>
      <c r="P140" s="114">
        <v>986</v>
      </c>
    </row>
    <row r="141" spans="2:16" s="21" customFormat="1" outlineLevel="1" x14ac:dyDescent="0.2">
      <c r="B141" s="115"/>
      <c r="C141" s="137"/>
      <c r="D141" s="115"/>
      <c r="E141" s="115"/>
      <c r="F141" s="115"/>
      <c r="G141" s="115"/>
      <c r="H141" s="19" t="s">
        <v>4</v>
      </c>
      <c r="I141" s="83">
        <f t="shared" si="27"/>
        <v>0</v>
      </c>
      <c r="J141" s="83"/>
      <c r="K141" s="83"/>
      <c r="L141" s="83"/>
      <c r="M141" s="83"/>
      <c r="N141" s="83"/>
      <c r="O141" s="83"/>
      <c r="P141" s="115"/>
    </row>
    <row r="142" spans="2:16" s="21" customFormat="1" outlineLevel="1" x14ac:dyDescent="0.2">
      <c r="B142" s="115"/>
      <c r="C142" s="137"/>
      <c r="D142" s="115"/>
      <c r="E142" s="115"/>
      <c r="F142" s="115"/>
      <c r="G142" s="115"/>
      <c r="H142" s="19" t="s">
        <v>6</v>
      </c>
      <c r="I142" s="83">
        <f t="shared" si="27"/>
        <v>28</v>
      </c>
      <c r="J142" s="83"/>
      <c r="K142" s="83"/>
      <c r="L142" s="83"/>
      <c r="M142" s="83">
        <v>28</v>
      </c>
      <c r="N142" s="83"/>
      <c r="O142" s="83"/>
      <c r="P142" s="115"/>
    </row>
    <row r="143" spans="2:16" s="21" customFormat="1" outlineLevel="1" x14ac:dyDescent="0.2">
      <c r="B143" s="116"/>
      <c r="C143" s="138"/>
      <c r="D143" s="116"/>
      <c r="E143" s="116"/>
      <c r="F143" s="116"/>
      <c r="G143" s="116"/>
      <c r="H143" s="19" t="s">
        <v>5</v>
      </c>
      <c r="I143" s="83">
        <f t="shared" si="27"/>
        <v>0</v>
      </c>
      <c r="J143" s="83"/>
      <c r="K143" s="83"/>
      <c r="L143" s="83"/>
      <c r="M143" s="83"/>
      <c r="N143" s="83"/>
      <c r="O143" s="83"/>
      <c r="P143" s="116"/>
    </row>
    <row r="144" spans="2:16" s="21" customFormat="1" ht="42.75" customHeight="1" outlineLevel="1" x14ac:dyDescent="0.2">
      <c r="B144" s="114" t="s">
        <v>154</v>
      </c>
      <c r="C144" s="114"/>
      <c r="D144" s="114" t="s">
        <v>32</v>
      </c>
      <c r="E144" s="114">
        <v>2023</v>
      </c>
      <c r="F144" s="114">
        <v>2.9</v>
      </c>
      <c r="G144" s="114" t="s">
        <v>67</v>
      </c>
      <c r="H144" s="19" t="s">
        <v>3</v>
      </c>
      <c r="I144" s="83">
        <f t="shared" si="27"/>
        <v>60.7</v>
      </c>
      <c r="J144" s="83"/>
      <c r="K144" s="83"/>
      <c r="L144" s="83"/>
      <c r="M144" s="83">
        <v>60.7</v>
      </c>
      <c r="N144" s="83"/>
      <c r="O144" s="83"/>
      <c r="P144" s="114">
        <v>1102</v>
      </c>
    </row>
    <row r="145" spans="2:17" s="21" customFormat="1" outlineLevel="1" x14ac:dyDescent="0.2">
      <c r="B145" s="115"/>
      <c r="C145" s="137"/>
      <c r="D145" s="115"/>
      <c r="E145" s="115"/>
      <c r="F145" s="115"/>
      <c r="G145" s="115"/>
      <c r="H145" s="19" t="s">
        <v>4</v>
      </c>
      <c r="I145" s="83">
        <f t="shared" si="27"/>
        <v>0</v>
      </c>
      <c r="J145" s="83"/>
      <c r="K145" s="83"/>
      <c r="L145" s="83"/>
      <c r="M145" s="83"/>
      <c r="N145" s="83"/>
      <c r="O145" s="83"/>
      <c r="P145" s="115"/>
    </row>
    <row r="146" spans="2:17" s="21" customFormat="1" outlineLevel="1" x14ac:dyDescent="0.2">
      <c r="B146" s="115"/>
      <c r="C146" s="137"/>
      <c r="D146" s="115"/>
      <c r="E146" s="115"/>
      <c r="F146" s="115"/>
      <c r="G146" s="115"/>
      <c r="H146" s="19" t="s">
        <v>6</v>
      </c>
      <c r="I146" s="83">
        <f t="shared" si="27"/>
        <v>60.7</v>
      </c>
      <c r="J146" s="83"/>
      <c r="K146" s="83"/>
      <c r="L146" s="83"/>
      <c r="M146" s="83">
        <v>60.7</v>
      </c>
      <c r="N146" s="83"/>
      <c r="O146" s="83"/>
      <c r="P146" s="115"/>
    </row>
    <row r="147" spans="2:17" s="21" customFormat="1" outlineLevel="1" x14ac:dyDescent="0.2">
      <c r="B147" s="116"/>
      <c r="C147" s="138"/>
      <c r="D147" s="116"/>
      <c r="E147" s="116"/>
      <c r="F147" s="116"/>
      <c r="G147" s="116"/>
      <c r="H147" s="19" t="s">
        <v>5</v>
      </c>
      <c r="I147" s="83">
        <f t="shared" si="27"/>
        <v>0</v>
      </c>
      <c r="J147" s="83"/>
      <c r="K147" s="83"/>
      <c r="L147" s="83"/>
      <c r="M147" s="83"/>
      <c r="N147" s="83"/>
      <c r="O147" s="83"/>
      <c r="P147" s="116"/>
    </row>
    <row r="148" spans="2:17" s="21" customFormat="1" ht="42.75" outlineLevel="1" x14ac:dyDescent="0.2">
      <c r="B148" s="114" t="s">
        <v>155</v>
      </c>
      <c r="C148" s="114"/>
      <c r="D148" s="114" t="s">
        <v>32</v>
      </c>
      <c r="E148" s="114">
        <v>2025</v>
      </c>
      <c r="F148" s="114" t="s">
        <v>156</v>
      </c>
      <c r="G148" s="114" t="s">
        <v>67</v>
      </c>
      <c r="H148" s="19" t="s">
        <v>3</v>
      </c>
      <c r="I148" s="83">
        <f t="shared" si="27"/>
        <v>15.6</v>
      </c>
      <c r="J148" s="83"/>
      <c r="K148" s="83"/>
      <c r="L148" s="83"/>
      <c r="M148" s="83"/>
      <c r="N148" s="83"/>
      <c r="O148" s="83">
        <v>15.6</v>
      </c>
      <c r="P148" s="114">
        <v>431</v>
      </c>
    </row>
    <row r="149" spans="2:17" s="21" customFormat="1" outlineLevel="1" x14ac:dyDescent="0.2">
      <c r="B149" s="115"/>
      <c r="C149" s="137"/>
      <c r="D149" s="115"/>
      <c r="E149" s="115"/>
      <c r="F149" s="115"/>
      <c r="G149" s="115"/>
      <c r="H149" s="19" t="s">
        <v>4</v>
      </c>
      <c r="I149" s="83">
        <f t="shared" si="27"/>
        <v>0</v>
      </c>
      <c r="J149" s="83"/>
      <c r="K149" s="83"/>
      <c r="L149" s="83"/>
      <c r="M149" s="83"/>
      <c r="N149" s="83"/>
      <c r="O149" s="83"/>
      <c r="P149" s="115"/>
    </row>
    <row r="150" spans="2:17" s="21" customFormat="1" outlineLevel="1" x14ac:dyDescent="0.2">
      <c r="B150" s="115"/>
      <c r="C150" s="137"/>
      <c r="D150" s="115"/>
      <c r="E150" s="115"/>
      <c r="F150" s="115"/>
      <c r="G150" s="115"/>
      <c r="H150" s="19" t="s">
        <v>6</v>
      </c>
      <c r="I150" s="83">
        <f t="shared" si="27"/>
        <v>15.6</v>
      </c>
      <c r="J150" s="83"/>
      <c r="K150" s="83"/>
      <c r="L150" s="83"/>
      <c r="M150" s="83"/>
      <c r="N150" s="83"/>
      <c r="O150" s="83">
        <v>15.6</v>
      </c>
      <c r="P150" s="115"/>
    </row>
    <row r="151" spans="2:17" s="21" customFormat="1" outlineLevel="1" x14ac:dyDescent="0.2">
      <c r="B151" s="116"/>
      <c r="C151" s="138"/>
      <c r="D151" s="116"/>
      <c r="E151" s="116"/>
      <c r="F151" s="116"/>
      <c r="G151" s="116"/>
      <c r="H151" s="19" t="s">
        <v>5</v>
      </c>
      <c r="I151" s="83">
        <f t="shared" si="27"/>
        <v>0</v>
      </c>
      <c r="J151" s="83"/>
      <c r="K151" s="83"/>
      <c r="L151" s="83"/>
      <c r="M151" s="83"/>
      <c r="N151" s="83"/>
      <c r="O151" s="83"/>
      <c r="P151" s="116"/>
    </row>
    <row r="152" spans="2:17" s="21" customFormat="1" ht="42.75" outlineLevel="1" x14ac:dyDescent="0.2">
      <c r="B152" s="114" t="s">
        <v>157</v>
      </c>
      <c r="C152" s="114"/>
      <c r="D152" s="114" t="s">
        <v>32</v>
      </c>
      <c r="E152" s="114">
        <v>2023</v>
      </c>
      <c r="F152" s="114" t="s">
        <v>158</v>
      </c>
      <c r="G152" s="114" t="s">
        <v>67</v>
      </c>
      <c r="H152" s="19" t="s">
        <v>3</v>
      </c>
      <c r="I152" s="83">
        <f t="shared" si="27"/>
        <v>34.6</v>
      </c>
      <c r="J152" s="83"/>
      <c r="K152" s="83"/>
      <c r="L152" s="83"/>
      <c r="M152" s="83">
        <v>34.6</v>
      </c>
      <c r="N152" s="83"/>
      <c r="O152" s="83"/>
      <c r="P152" s="78"/>
    </row>
    <row r="153" spans="2:17" s="21" customFormat="1" outlineLevel="1" x14ac:dyDescent="0.2">
      <c r="B153" s="115"/>
      <c r="C153" s="137"/>
      <c r="D153" s="115"/>
      <c r="E153" s="115"/>
      <c r="F153" s="115"/>
      <c r="G153" s="115"/>
      <c r="H153" s="19" t="s">
        <v>4</v>
      </c>
      <c r="I153" s="83">
        <f t="shared" si="27"/>
        <v>0</v>
      </c>
      <c r="J153" s="83"/>
      <c r="K153" s="83"/>
      <c r="L153" s="83"/>
      <c r="M153" s="83"/>
      <c r="N153" s="83"/>
      <c r="O153" s="83"/>
      <c r="P153" s="78"/>
    </row>
    <row r="154" spans="2:17" s="21" customFormat="1" outlineLevel="1" x14ac:dyDescent="0.2">
      <c r="B154" s="115"/>
      <c r="C154" s="137"/>
      <c r="D154" s="115"/>
      <c r="E154" s="115"/>
      <c r="F154" s="115"/>
      <c r="G154" s="115"/>
      <c r="H154" s="19" t="s">
        <v>6</v>
      </c>
      <c r="I154" s="83">
        <f t="shared" si="27"/>
        <v>34.6</v>
      </c>
      <c r="J154" s="83"/>
      <c r="K154" s="83"/>
      <c r="L154" s="83"/>
      <c r="M154" s="83">
        <v>34.6</v>
      </c>
      <c r="N154" s="83"/>
      <c r="O154" s="83"/>
      <c r="P154" s="78"/>
    </row>
    <row r="155" spans="2:17" s="21" customFormat="1" outlineLevel="1" x14ac:dyDescent="0.2">
      <c r="B155" s="116"/>
      <c r="C155" s="138"/>
      <c r="D155" s="116"/>
      <c r="E155" s="116"/>
      <c r="F155" s="116"/>
      <c r="G155" s="116"/>
      <c r="H155" s="19" t="s">
        <v>5</v>
      </c>
      <c r="I155" s="83">
        <f t="shared" si="27"/>
        <v>0</v>
      </c>
      <c r="J155" s="83"/>
      <c r="K155" s="83"/>
      <c r="L155" s="83"/>
      <c r="M155" s="83"/>
      <c r="N155" s="83"/>
      <c r="O155" s="83"/>
      <c r="P155" s="78"/>
    </row>
    <row r="156" spans="2:17" ht="42.75" x14ac:dyDescent="0.2">
      <c r="B156" s="128" t="s">
        <v>37</v>
      </c>
      <c r="C156" s="128" t="s">
        <v>38</v>
      </c>
      <c r="D156" s="128" t="s">
        <v>38</v>
      </c>
      <c r="E156" s="128" t="s">
        <v>38</v>
      </c>
      <c r="F156" s="128" t="s">
        <v>38</v>
      </c>
      <c r="G156" s="128" t="s">
        <v>38</v>
      </c>
      <c r="H156" s="84" t="s">
        <v>3</v>
      </c>
      <c r="I156" s="14">
        <f t="shared" ref="I156:O156" si="31">SUMIF($H$56:$H$155,"Объем*",I$56:I$155)</f>
        <v>1166.7899999999997</v>
      </c>
      <c r="J156" s="14">
        <f t="shared" si="31"/>
        <v>104.44</v>
      </c>
      <c r="K156" s="14">
        <f t="shared" si="31"/>
        <v>108.8</v>
      </c>
      <c r="L156" s="14">
        <f t="shared" si="31"/>
        <v>238.75</v>
      </c>
      <c r="M156" s="14">
        <f t="shared" si="31"/>
        <v>694.2</v>
      </c>
      <c r="N156" s="14">
        <f t="shared" si="31"/>
        <v>5</v>
      </c>
      <c r="O156" s="14">
        <f t="shared" si="31"/>
        <v>15.6</v>
      </c>
      <c r="P156" s="128"/>
      <c r="Q156" s="7"/>
    </row>
    <row r="157" spans="2:17" ht="15.75" x14ac:dyDescent="0.2">
      <c r="B157" s="129"/>
      <c r="C157" s="129"/>
      <c r="D157" s="129"/>
      <c r="E157" s="129"/>
      <c r="F157" s="129"/>
      <c r="G157" s="129"/>
      <c r="H157" s="84" t="s">
        <v>4</v>
      </c>
      <c r="I157" s="14">
        <f t="shared" ref="I157:O157" si="32">SUMIF($H$56:$H$155,"фед*",I$56:I$155)</f>
        <v>615.79</v>
      </c>
      <c r="J157" s="14">
        <f t="shared" si="32"/>
        <v>17.7</v>
      </c>
      <c r="K157" s="14">
        <f t="shared" si="32"/>
        <v>80.37</v>
      </c>
      <c r="L157" s="14">
        <f t="shared" si="32"/>
        <v>66.400000000000006</v>
      </c>
      <c r="M157" s="14">
        <f t="shared" si="32"/>
        <v>451.32</v>
      </c>
      <c r="N157" s="14">
        <f t="shared" si="32"/>
        <v>0</v>
      </c>
      <c r="O157" s="14">
        <f t="shared" si="32"/>
        <v>0</v>
      </c>
      <c r="P157" s="129"/>
    </row>
    <row r="158" spans="2:17" ht="15.75" x14ac:dyDescent="0.2">
      <c r="B158" s="129"/>
      <c r="C158" s="129"/>
      <c r="D158" s="129"/>
      <c r="E158" s="129"/>
      <c r="F158" s="129"/>
      <c r="G158" s="129"/>
      <c r="H158" s="84" t="s">
        <v>6</v>
      </c>
      <c r="I158" s="14">
        <f t="shared" ref="I158:O158" si="33">SUMIF($H$56:$H$155,"конс*",I$56:I$155)</f>
        <v>551</v>
      </c>
      <c r="J158" s="14">
        <f t="shared" si="33"/>
        <v>86.74</v>
      </c>
      <c r="K158" s="14">
        <f t="shared" si="33"/>
        <v>28.43</v>
      </c>
      <c r="L158" s="14">
        <f t="shared" si="33"/>
        <v>172.35</v>
      </c>
      <c r="M158" s="14">
        <f t="shared" si="33"/>
        <v>242.87999999999997</v>
      </c>
      <c r="N158" s="14">
        <f t="shared" si="33"/>
        <v>5</v>
      </c>
      <c r="O158" s="14">
        <f t="shared" si="33"/>
        <v>15.6</v>
      </c>
      <c r="P158" s="129"/>
    </row>
    <row r="159" spans="2:17" ht="15.75" x14ac:dyDescent="0.2">
      <c r="B159" s="130"/>
      <c r="C159" s="130"/>
      <c r="D159" s="130"/>
      <c r="E159" s="130"/>
      <c r="F159" s="130"/>
      <c r="G159" s="130"/>
      <c r="H159" s="84" t="s">
        <v>5</v>
      </c>
      <c r="I159" s="14">
        <f t="shared" ref="I159:O159" si="34">SUMIF($H$56:$H$155,"вне*",I$56:I$155)</f>
        <v>0</v>
      </c>
      <c r="J159" s="14">
        <f t="shared" si="34"/>
        <v>0</v>
      </c>
      <c r="K159" s="14">
        <f t="shared" si="34"/>
        <v>0</v>
      </c>
      <c r="L159" s="14">
        <f t="shared" si="34"/>
        <v>0</v>
      </c>
      <c r="M159" s="14">
        <f t="shared" si="34"/>
        <v>0</v>
      </c>
      <c r="N159" s="14">
        <f t="shared" si="34"/>
        <v>0</v>
      </c>
      <c r="O159" s="14">
        <f t="shared" si="34"/>
        <v>0</v>
      </c>
      <c r="P159" s="130"/>
    </row>
    <row r="160" spans="2:17" ht="25.5" customHeight="1" x14ac:dyDescent="0.2">
      <c r="B160" s="111" t="s">
        <v>159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3"/>
    </row>
    <row r="161" spans="2:16" s="21" customFormat="1" ht="52.5" customHeight="1" outlineLevel="1" x14ac:dyDescent="0.2">
      <c r="B161" s="139" t="s">
        <v>160</v>
      </c>
      <c r="C161" s="139"/>
      <c r="D161" s="139" t="s">
        <v>159</v>
      </c>
      <c r="E161" s="139">
        <v>2022</v>
      </c>
      <c r="F161" s="139" t="s">
        <v>161</v>
      </c>
      <c r="G161" s="139" t="s">
        <v>83</v>
      </c>
      <c r="H161" s="19" t="s">
        <v>3</v>
      </c>
      <c r="I161" s="20">
        <f>SUM(J161:O161)</f>
        <v>23.6</v>
      </c>
      <c r="J161" s="20">
        <f t="shared" ref="J161:O161" si="35">J162+J163+J164</f>
        <v>0</v>
      </c>
      <c r="K161" s="20">
        <f t="shared" si="35"/>
        <v>0</v>
      </c>
      <c r="L161" s="20">
        <f t="shared" si="35"/>
        <v>23.6</v>
      </c>
      <c r="M161" s="20">
        <f t="shared" si="35"/>
        <v>0</v>
      </c>
      <c r="N161" s="20">
        <f t="shared" si="35"/>
        <v>0</v>
      </c>
      <c r="O161" s="20">
        <f t="shared" si="35"/>
        <v>0</v>
      </c>
      <c r="P161" s="139"/>
    </row>
    <row r="162" spans="2:16" s="21" customFormat="1" outlineLevel="1" x14ac:dyDescent="0.2">
      <c r="B162" s="140"/>
      <c r="C162" s="132"/>
      <c r="D162" s="140"/>
      <c r="E162" s="140"/>
      <c r="F162" s="140"/>
      <c r="G162" s="140"/>
      <c r="H162" s="19" t="s">
        <v>4</v>
      </c>
      <c r="I162" s="20">
        <f t="shared" ref="I162:I184" si="36">SUM(J162:O162)</f>
        <v>0</v>
      </c>
      <c r="J162" s="20"/>
      <c r="K162" s="20"/>
      <c r="L162" s="20"/>
      <c r="M162" s="20"/>
      <c r="N162" s="20"/>
      <c r="O162" s="20"/>
      <c r="P162" s="140"/>
    </row>
    <row r="163" spans="2:16" s="21" customFormat="1" outlineLevel="1" x14ac:dyDescent="0.2">
      <c r="B163" s="140"/>
      <c r="C163" s="132"/>
      <c r="D163" s="140"/>
      <c r="E163" s="140"/>
      <c r="F163" s="140"/>
      <c r="G163" s="140"/>
      <c r="H163" s="19" t="s">
        <v>6</v>
      </c>
      <c r="I163" s="20">
        <f t="shared" si="36"/>
        <v>23.6</v>
      </c>
      <c r="J163" s="20">
        <v>0</v>
      </c>
      <c r="K163" s="20">
        <v>0</v>
      </c>
      <c r="L163" s="20">
        <v>23.6</v>
      </c>
      <c r="M163" s="20">
        <v>0</v>
      </c>
      <c r="N163" s="20">
        <v>0</v>
      </c>
      <c r="O163" s="20">
        <v>0</v>
      </c>
      <c r="P163" s="140"/>
    </row>
    <row r="164" spans="2:16" s="21" customFormat="1" ht="24" customHeight="1" outlineLevel="1" x14ac:dyDescent="0.2">
      <c r="B164" s="141"/>
      <c r="C164" s="133"/>
      <c r="D164" s="141"/>
      <c r="E164" s="141"/>
      <c r="F164" s="141"/>
      <c r="G164" s="141"/>
      <c r="H164" s="19" t="s">
        <v>5</v>
      </c>
      <c r="I164" s="20">
        <f t="shared" si="36"/>
        <v>0</v>
      </c>
      <c r="J164" s="20"/>
      <c r="K164" s="20"/>
      <c r="L164" s="20"/>
      <c r="M164" s="20"/>
      <c r="N164" s="20"/>
      <c r="O164" s="20"/>
      <c r="P164" s="141"/>
    </row>
    <row r="165" spans="2:16" s="21" customFormat="1" ht="42.75" outlineLevel="1" x14ac:dyDescent="0.2">
      <c r="B165" s="139" t="s">
        <v>162</v>
      </c>
      <c r="C165" s="139"/>
      <c r="D165" s="139" t="s">
        <v>159</v>
      </c>
      <c r="E165" s="139">
        <v>2023</v>
      </c>
      <c r="F165" s="139" t="s">
        <v>163</v>
      </c>
      <c r="G165" s="139" t="s">
        <v>83</v>
      </c>
      <c r="H165" s="19" t="s">
        <v>3</v>
      </c>
      <c r="I165" s="20">
        <f t="shared" si="36"/>
        <v>7.84</v>
      </c>
      <c r="J165" s="23">
        <f t="shared" ref="J165:O165" si="37">J166+J167+J168</f>
        <v>0</v>
      </c>
      <c r="K165" s="23">
        <f t="shared" si="37"/>
        <v>0</v>
      </c>
      <c r="L165" s="23">
        <f t="shared" si="37"/>
        <v>0</v>
      </c>
      <c r="M165" s="23">
        <f t="shared" si="37"/>
        <v>7.84</v>
      </c>
      <c r="N165" s="23">
        <f t="shared" si="37"/>
        <v>0</v>
      </c>
      <c r="O165" s="23">
        <f t="shared" si="37"/>
        <v>0</v>
      </c>
      <c r="P165" s="139"/>
    </row>
    <row r="166" spans="2:16" s="21" customFormat="1" outlineLevel="1" x14ac:dyDescent="0.2">
      <c r="B166" s="140"/>
      <c r="C166" s="132"/>
      <c r="D166" s="140"/>
      <c r="E166" s="140"/>
      <c r="F166" s="140"/>
      <c r="G166" s="140"/>
      <c r="H166" s="19" t="s">
        <v>4</v>
      </c>
      <c r="I166" s="20">
        <f t="shared" si="36"/>
        <v>0</v>
      </c>
      <c r="J166" s="23"/>
      <c r="K166" s="23"/>
      <c r="L166" s="23"/>
      <c r="M166" s="23"/>
      <c r="N166" s="23"/>
      <c r="O166" s="23"/>
      <c r="P166" s="140"/>
    </row>
    <row r="167" spans="2:16" s="21" customFormat="1" outlineLevel="1" x14ac:dyDescent="0.2">
      <c r="B167" s="140"/>
      <c r="C167" s="132"/>
      <c r="D167" s="140"/>
      <c r="E167" s="140"/>
      <c r="F167" s="140"/>
      <c r="G167" s="140"/>
      <c r="H167" s="19" t="s">
        <v>6</v>
      </c>
      <c r="I167" s="20">
        <f t="shared" si="36"/>
        <v>7.84</v>
      </c>
      <c r="J167" s="23">
        <v>0</v>
      </c>
      <c r="K167" s="23">
        <v>0</v>
      </c>
      <c r="L167" s="23">
        <v>0</v>
      </c>
      <c r="M167" s="23">
        <v>7.84</v>
      </c>
      <c r="N167" s="23">
        <v>0</v>
      </c>
      <c r="O167" s="23">
        <v>0</v>
      </c>
      <c r="P167" s="140"/>
    </row>
    <row r="168" spans="2:16" s="21" customFormat="1" ht="23.25" customHeight="1" outlineLevel="1" x14ac:dyDescent="0.2">
      <c r="B168" s="141"/>
      <c r="C168" s="133"/>
      <c r="D168" s="141"/>
      <c r="E168" s="141"/>
      <c r="F168" s="141"/>
      <c r="G168" s="141"/>
      <c r="H168" s="19" t="s">
        <v>5</v>
      </c>
      <c r="I168" s="20">
        <f t="shared" si="36"/>
        <v>0</v>
      </c>
      <c r="J168" s="20"/>
      <c r="K168" s="20"/>
      <c r="L168" s="20"/>
      <c r="M168" s="20"/>
      <c r="N168" s="20"/>
      <c r="O168" s="20"/>
      <c r="P168" s="141"/>
    </row>
    <row r="169" spans="2:16" s="21" customFormat="1" ht="42.75" outlineLevel="1" x14ac:dyDescent="0.2">
      <c r="B169" s="139" t="s">
        <v>164</v>
      </c>
      <c r="C169" s="139"/>
      <c r="D169" s="139" t="s">
        <v>165</v>
      </c>
      <c r="E169" s="139">
        <v>2024</v>
      </c>
      <c r="F169" s="139" t="s">
        <v>166</v>
      </c>
      <c r="G169" s="139" t="s">
        <v>83</v>
      </c>
      <c r="H169" s="19" t="s">
        <v>3</v>
      </c>
      <c r="I169" s="20">
        <f t="shared" si="36"/>
        <v>23.58</v>
      </c>
      <c r="J169" s="23">
        <f t="shared" ref="J169:O169" si="38">J170+J171+J172</f>
        <v>0</v>
      </c>
      <c r="K169" s="23">
        <f t="shared" si="38"/>
        <v>0</v>
      </c>
      <c r="L169" s="23">
        <f t="shared" si="38"/>
        <v>0</v>
      </c>
      <c r="M169" s="23">
        <f t="shared" si="38"/>
        <v>0</v>
      </c>
      <c r="N169" s="23">
        <f t="shared" si="38"/>
        <v>23.58</v>
      </c>
      <c r="O169" s="23">
        <f t="shared" si="38"/>
        <v>0</v>
      </c>
      <c r="P169" s="139"/>
    </row>
    <row r="170" spans="2:16" s="21" customFormat="1" outlineLevel="1" x14ac:dyDescent="0.2">
      <c r="B170" s="140"/>
      <c r="C170" s="132"/>
      <c r="D170" s="140"/>
      <c r="E170" s="140"/>
      <c r="F170" s="140"/>
      <c r="G170" s="140"/>
      <c r="H170" s="19" t="s">
        <v>4</v>
      </c>
      <c r="I170" s="20">
        <f t="shared" si="36"/>
        <v>0</v>
      </c>
      <c r="J170" s="23"/>
      <c r="K170" s="23"/>
      <c r="L170" s="23"/>
      <c r="M170" s="23"/>
      <c r="N170" s="23"/>
      <c r="O170" s="23"/>
      <c r="P170" s="140"/>
    </row>
    <row r="171" spans="2:16" s="21" customFormat="1" outlineLevel="1" x14ac:dyDescent="0.2">
      <c r="B171" s="140"/>
      <c r="C171" s="132"/>
      <c r="D171" s="140"/>
      <c r="E171" s="140"/>
      <c r="F171" s="140"/>
      <c r="G171" s="140"/>
      <c r="H171" s="19" t="s">
        <v>6</v>
      </c>
      <c r="I171" s="20">
        <f t="shared" si="36"/>
        <v>23.58</v>
      </c>
      <c r="J171" s="23">
        <v>0</v>
      </c>
      <c r="K171" s="23">
        <v>0</v>
      </c>
      <c r="L171" s="23">
        <v>0</v>
      </c>
      <c r="M171" s="23">
        <v>0</v>
      </c>
      <c r="N171" s="23">
        <v>23.58</v>
      </c>
      <c r="O171" s="23">
        <v>0</v>
      </c>
      <c r="P171" s="140"/>
    </row>
    <row r="172" spans="2:16" s="21" customFormat="1" outlineLevel="1" x14ac:dyDescent="0.2">
      <c r="B172" s="141"/>
      <c r="C172" s="133"/>
      <c r="D172" s="141"/>
      <c r="E172" s="141"/>
      <c r="F172" s="141"/>
      <c r="G172" s="141"/>
      <c r="H172" s="19" t="s">
        <v>5</v>
      </c>
      <c r="I172" s="20">
        <f t="shared" si="36"/>
        <v>0</v>
      </c>
      <c r="J172" s="20"/>
      <c r="K172" s="20"/>
      <c r="L172" s="20"/>
      <c r="M172" s="20"/>
      <c r="N172" s="20"/>
      <c r="O172" s="20"/>
      <c r="P172" s="141"/>
    </row>
    <row r="173" spans="2:16" s="21" customFormat="1" ht="42.75" outlineLevel="1" x14ac:dyDescent="0.2">
      <c r="B173" s="139" t="s">
        <v>167</v>
      </c>
      <c r="C173" s="139"/>
      <c r="D173" s="139" t="s">
        <v>159</v>
      </c>
      <c r="E173" s="139">
        <v>2023</v>
      </c>
      <c r="F173" s="139" t="s">
        <v>168</v>
      </c>
      <c r="G173" s="139" t="s">
        <v>83</v>
      </c>
      <c r="H173" s="19" t="s">
        <v>3</v>
      </c>
      <c r="I173" s="20">
        <f t="shared" si="36"/>
        <v>15</v>
      </c>
      <c r="J173" s="20">
        <f t="shared" ref="J173:O173" si="39">J174+J175+J176</f>
        <v>0</v>
      </c>
      <c r="K173" s="20">
        <f t="shared" si="39"/>
        <v>0</v>
      </c>
      <c r="L173" s="20">
        <f t="shared" si="39"/>
        <v>0</v>
      </c>
      <c r="M173" s="20">
        <f t="shared" si="39"/>
        <v>15</v>
      </c>
      <c r="N173" s="20">
        <f t="shared" si="39"/>
        <v>0</v>
      </c>
      <c r="O173" s="20">
        <f t="shared" si="39"/>
        <v>0</v>
      </c>
      <c r="P173" s="139"/>
    </row>
    <row r="174" spans="2:16" s="21" customFormat="1" ht="21.75" customHeight="1" outlineLevel="1" x14ac:dyDescent="0.2">
      <c r="B174" s="140"/>
      <c r="C174" s="132"/>
      <c r="D174" s="140"/>
      <c r="E174" s="140"/>
      <c r="F174" s="140"/>
      <c r="G174" s="140"/>
      <c r="H174" s="19" t="s">
        <v>4</v>
      </c>
      <c r="I174" s="20">
        <f t="shared" si="36"/>
        <v>0</v>
      </c>
      <c r="J174" s="20"/>
      <c r="K174" s="20"/>
      <c r="L174" s="20"/>
      <c r="M174" s="20"/>
      <c r="N174" s="20"/>
      <c r="O174" s="20"/>
      <c r="P174" s="140"/>
    </row>
    <row r="175" spans="2:16" s="21" customFormat="1" ht="23.25" customHeight="1" outlineLevel="1" x14ac:dyDescent="0.2">
      <c r="B175" s="140"/>
      <c r="C175" s="132"/>
      <c r="D175" s="140"/>
      <c r="E175" s="140"/>
      <c r="F175" s="140"/>
      <c r="G175" s="140"/>
      <c r="H175" s="19" t="s">
        <v>6</v>
      </c>
      <c r="I175" s="20">
        <f t="shared" si="36"/>
        <v>15</v>
      </c>
      <c r="J175" s="20">
        <v>0</v>
      </c>
      <c r="K175" s="20">
        <v>0</v>
      </c>
      <c r="L175" s="20">
        <v>0</v>
      </c>
      <c r="M175" s="20">
        <v>15</v>
      </c>
      <c r="N175" s="20">
        <v>0</v>
      </c>
      <c r="O175" s="20">
        <v>0</v>
      </c>
      <c r="P175" s="140"/>
    </row>
    <row r="176" spans="2:16" s="21" customFormat="1" ht="20.25" customHeight="1" outlineLevel="1" x14ac:dyDescent="0.2">
      <c r="B176" s="141"/>
      <c r="C176" s="133"/>
      <c r="D176" s="141"/>
      <c r="E176" s="141"/>
      <c r="F176" s="141"/>
      <c r="G176" s="141"/>
      <c r="H176" s="19" t="s">
        <v>5</v>
      </c>
      <c r="I176" s="20">
        <f t="shared" si="36"/>
        <v>0</v>
      </c>
      <c r="J176" s="20"/>
      <c r="K176" s="20"/>
      <c r="L176" s="20"/>
      <c r="M176" s="20"/>
      <c r="N176" s="20"/>
      <c r="O176" s="20"/>
      <c r="P176" s="141"/>
    </row>
    <row r="177" spans="2:16" s="21" customFormat="1" ht="42.75" outlineLevel="1" x14ac:dyDescent="0.2">
      <c r="B177" s="142" t="s">
        <v>169</v>
      </c>
      <c r="C177" s="139"/>
      <c r="D177" s="139" t="s">
        <v>159</v>
      </c>
      <c r="E177" s="139">
        <v>2020</v>
      </c>
      <c r="F177" s="139" t="s">
        <v>135</v>
      </c>
      <c r="G177" s="139" t="s">
        <v>63</v>
      </c>
      <c r="H177" s="19" t="s">
        <v>3</v>
      </c>
      <c r="I177" s="20">
        <f t="shared" si="36"/>
        <v>8.9499999999999993</v>
      </c>
      <c r="J177" s="23">
        <f t="shared" ref="J177:O177" si="40">J178+J179+J180</f>
        <v>8.9499999999999993</v>
      </c>
      <c r="K177" s="20">
        <f t="shared" si="40"/>
        <v>0</v>
      </c>
      <c r="L177" s="20">
        <f t="shared" si="40"/>
        <v>0</v>
      </c>
      <c r="M177" s="20">
        <f t="shared" si="40"/>
        <v>0</v>
      </c>
      <c r="N177" s="20">
        <f t="shared" si="40"/>
        <v>0</v>
      </c>
      <c r="O177" s="20">
        <f t="shared" si="40"/>
        <v>0</v>
      </c>
      <c r="P177" s="139"/>
    </row>
    <row r="178" spans="2:16" s="21" customFormat="1" outlineLevel="1" x14ac:dyDescent="0.2">
      <c r="B178" s="142"/>
      <c r="C178" s="132"/>
      <c r="D178" s="140"/>
      <c r="E178" s="140"/>
      <c r="F178" s="140"/>
      <c r="G178" s="140"/>
      <c r="H178" s="19" t="s">
        <v>4</v>
      </c>
      <c r="I178" s="20">
        <f t="shared" si="36"/>
        <v>0</v>
      </c>
      <c r="J178" s="23"/>
      <c r="K178" s="20"/>
      <c r="L178" s="20"/>
      <c r="M178" s="20"/>
      <c r="N178" s="20"/>
      <c r="O178" s="20"/>
      <c r="P178" s="140"/>
    </row>
    <row r="179" spans="2:16" s="21" customFormat="1" outlineLevel="1" x14ac:dyDescent="0.2">
      <c r="B179" s="142"/>
      <c r="C179" s="132"/>
      <c r="D179" s="140"/>
      <c r="E179" s="140"/>
      <c r="F179" s="140"/>
      <c r="G179" s="140"/>
      <c r="H179" s="19" t="s">
        <v>6</v>
      </c>
      <c r="I179" s="20">
        <f t="shared" si="36"/>
        <v>8.9499999999999993</v>
      </c>
      <c r="J179" s="23">
        <v>8.9499999999999993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140"/>
    </row>
    <row r="180" spans="2:16" s="21" customFormat="1" outlineLevel="1" x14ac:dyDescent="0.2">
      <c r="B180" s="142"/>
      <c r="C180" s="132"/>
      <c r="D180" s="140"/>
      <c r="E180" s="140"/>
      <c r="F180" s="140"/>
      <c r="G180" s="140"/>
      <c r="H180" s="80" t="s">
        <v>5</v>
      </c>
      <c r="I180" s="20">
        <f t="shared" si="36"/>
        <v>0</v>
      </c>
      <c r="J180" s="24"/>
      <c r="K180" s="24"/>
      <c r="L180" s="24"/>
      <c r="M180" s="24"/>
      <c r="N180" s="24"/>
      <c r="O180" s="24"/>
      <c r="P180" s="140"/>
    </row>
    <row r="181" spans="2:16" s="21" customFormat="1" ht="42.75" outlineLevel="1" x14ac:dyDescent="0.2">
      <c r="B181" s="142" t="s">
        <v>170</v>
      </c>
      <c r="C181" s="142"/>
      <c r="D181" s="142" t="s">
        <v>159</v>
      </c>
      <c r="E181" s="117" t="s">
        <v>171</v>
      </c>
      <c r="F181" s="117" t="s">
        <v>172</v>
      </c>
      <c r="G181" s="117" t="s">
        <v>101</v>
      </c>
      <c r="H181" s="19" t="s">
        <v>3</v>
      </c>
      <c r="I181" s="20">
        <f t="shared" si="36"/>
        <v>125.69999999999999</v>
      </c>
      <c r="J181" s="20">
        <f t="shared" ref="J181:O181" si="41">J182+J183+J184</f>
        <v>0</v>
      </c>
      <c r="K181" s="20">
        <f t="shared" si="41"/>
        <v>0</v>
      </c>
      <c r="L181" s="20">
        <f t="shared" si="41"/>
        <v>0</v>
      </c>
      <c r="M181" s="20">
        <f t="shared" si="41"/>
        <v>29.9</v>
      </c>
      <c r="N181" s="20">
        <f t="shared" si="41"/>
        <v>39.799999999999997</v>
      </c>
      <c r="O181" s="20">
        <f t="shared" si="41"/>
        <v>56</v>
      </c>
      <c r="P181" s="142"/>
    </row>
    <row r="182" spans="2:16" s="21" customFormat="1" outlineLevel="1" x14ac:dyDescent="0.2">
      <c r="B182" s="142"/>
      <c r="C182" s="143"/>
      <c r="D182" s="142"/>
      <c r="E182" s="118"/>
      <c r="F182" s="118"/>
      <c r="G182" s="118"/>
      <c r="H182" s="19" t="s">
        <v>4</v>
      </c>
      <c r="I182" s="20">
        <f t="shared" si="36"/>
        <v>0</v>
      </c>
      <c r="J182" s="20"/>
      <c r="K182" s="20"/>
      <c r="L182" s="20"/>
      <c r="M182" s="20"/>
      <c r="N182" s="20"/>
      <c r="O182" s="20"/>
      <c r="P182" s="142"/>
    </row>
    <row r="183" spans="2:16" s="21" customFormat="1" outlineLevel="1" x14ac:dyDescent="0.2">
      <c r="B183" s="142"/>
      <c r="C183" s="143"/>
      <c r="D183" s="142"/>
      <c r="E183" s="118"/>
      <c r="F183" s="118"/>
      <c r="G183" s="118"/>
      <c r="H183" s="19" t="s">
        <v>6</v>
      </c>
      <c r="I183" s="20">
        <f t="shared" si="36"/>
        <v>125.69999999999999</v>
      </c>
      <c r="J183" s="20"/>
      <c r="K183" s="20"/>
      <c r="L183" s="20"/>
      <c r="M183" s="20">
        <v>29.9</v>
      </c>
      <c r="N183" s="20">
        <v>39.799999999999997</v>
      </c>
      <c r="O183" s="20">
        <v>56</v>
      </c>
      <c r="P183" s="142"/>
    </row>
    <row r="184" spans="2:16" s="21" customFormat="1" outlineLevel="1" x14ac:dyDescent="0.2">
      <c r="B184" s="142"/>
      <c r="C184" s="143"/>
      <c r="D184" s="142"/>
      <c r="E184" s="119"/>
      <c r="F184" s="119"/>
      <c r="G184" s="119"/>
      <c r="H184" s="19" t="s">
        <v>5</v>
      </c>
      <c r="I184" s="20">
        <f t="shared" si="36"/>
        <v>0</v>
      </c>
      <c r="J184" s="20"/>
      <c r="K184" s="20"/>
      <c r="L184" s="20"/>
      <c r="M184" s="20"/>
      <c r="N184" s="20"/>
      <c r="O184" s="20"/>
      <c r="P184" s="142"/>
    </row>
    <row r="185" spans="2:16" ht="42.75" x14ac:dyDescent="0.2">
      <c r="B185" s="128" t="s">
        <v>173</v>
      </c>
      <c r="C185" s="128" t="s">
        <v>38</v>
      </c>
      <c r="D185" s="128" t="s">
        <v>38</v>
      </c>
      <c r="E185" s="128" t="s">
        <v>38</v>
      </c>
      <c r="F185" s="128" t="s">
        <v>38</v>
      </c>
      <c r="G185" s="128" t="s">
        <v>38</v>
      </c>
      <c r="H185" s="84" t="s">
        <v>3</v>
      </c>
      <c r="I185" s="25">
        <f t="shared" ref="I185:O185" si="42">SUMIF($H$161:$H$184,"Объем*",I$161:I$184)</f>
        <v>204.67</v>
      </c>
      <c r="J185" s="25">
        <f t="shared" si="42"/>
        <v>8.9499999999999993</v>
      </c>
      <c r="K185" s="25">
        <f t="shared" si="42"/>
        <v>0</v>
      </c>
      <c r="L185" s="25">
        <f t="shared" si="42"/>
        <v>23.6</v>
      </c>
      <c r="M185" s="25">
        <f t="shared" si="42"/>
        <v>52.739999999999995</v>
      </c>
      <c r="N185" s="25">
        <f t="shared" si="42"/>
        <v>63.379999999999995</v>
      </c>
      <c r="O185" s="25">
        <f t="shared" si="42"/>
        <v>56</v>
      </c>
      <c r="P185" s="128"/>
    </row>
    <row r="186" spans="2:16" ht="15.75" x14ac:dyDescent="0.2">
      <c r="B186" s="129"/>
      <c r="C186" s="129"/>
      <c r="D186" s="129"/>
      <c r="E186" s="129"/>
      <c r="F186" s="129"/>
      <c r="G186" s="129"/>
      <c r="H186" s="84" t="s">
        <v>4</v>
      </c>
      <c r="I186" s="25">
        <f t="shared" ref="I186:O186" si="43">SUMIF($H$161:$H$184,"фед*",I$161:I$184)</f>
        <v>0</v>
      </c>
      <c r="J186" s="25">
        <f t="shared" si="43"/>
        <v>0</v>
      </c>
      <c r="K186" s="25">
        <f t="shared" si="43"/>
        <v>0</v>
      </c>
      <c r="L186" s="25">
        <f t="shared" si="43"/>
        <v>0</v>
      </c>
      <c r="M186" s="25">
        <f t="shared" si="43"/>
        <v>0</v>
      </c>
      <c r="N186" s="25">
        <f t="shared" si="43"/>
        <v>0</v>
      </c>
      <c r="O186" s="25">
        <f t="shared" si="43"/>
        <v>0</v>
      </c>
      <c r="P186" s="129"/>
    </row>
    <row r="187" spans="2:16" ht="15.75" x14ac:dyDescent="0.2">
      <c r="B187" s="129"/>
      <c r="C187" s="129"/>
      <c r="D187" s="129"/>
      <c r="E187" s="129"/>
      <c r="F187" s="129"/>
      <c r="G187" s="129"/>
      <c r="H187" s="84" t="s">
        <v>6</v>
      </c>
      <c r="I187" s="25">
        <f t="shared" ref="I187:O187" si="44">SUMIF($H$161:$H$184,"конс*",I$161:I$184)</f>
        <v>204.67</v>
      </c>
      <c r="J187" s="25">
        <f t="shared" si="44"/>
        <v>8.9499999999999993</v>
      </c>
      <c r="K187" s="25">
        <f t="shared" si="44"/>
        <v>0</v>
      </c>
      <c r="L187" s="25">
        <f t="shared" si="44"/>
        <v>23.6</v>
      </c>
      <c r="M187" s="25">
        <f t="shared" si="44"/>
        <v>52.739999999999995</v>
      </c>
      <c r="N187" s="25">
        <f t="shared" si="44"/>
        <v>63.379999999999995</v>
      </c>
      <c r="O187" s="25">
        <f t="shared" si="44"/>
        <v>56</v>
      </c>
      <c r="P187" s="129"/>
    </row>
    <row r="188" spans="2:16" ht="15.75" x14ac:dyDescent="0.2">
      <c r="B188" s="130"/>
      <c r="C188" s="130"/>
      <c r="D188" s="130"/>
      <c r="E188" s="130"/>
      <c r="F188" s="130"/>
      <c r="G188" s="130"/>
      <c r="H188" s="84" t="s">
        <v>5</v>
      </c>
      <c r="I188" s="26">
        <f t="shared" ref="I188:O188" si="45">SUMIF($H$161:$H$184,"вне*",I$161:I$184)</f>
        <v>0</v>
      </c>
      <c r="J188" s="26">
        <f t="shared" si="45"/>
        <v>0</v>
      </c>
      <c r="K188" s="26">
        <f t="shared" si="45"/>
        <v>0</v>
      </c>
      <c r="L188" s="26">
        <f t="shared" si="45"/>
        <v>0</v>
      </c>
      <c r="M188" s="26">
        <f t="shared" si="45"/>
        <v>0</v>
      </c>
      <c r="N188" s="26">
        <f t="shared" si="45"/>
        <v>0</v>
      </c>
      <c r="O188" s="26">
        <f t="shared" si="45"/>
        <v>0</v>
      </c>
      <c r="P188" s="130"/>
    </row>
    <row r="189" spans="2:16" ht="25.5" customHeight="1" x14ac:dyDescent="0.2">
      <c r="B189" s="111" t="s">
        <v>174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3"/>
    </row>
    <row r="190" spans="2:16" ht="42.75" outlineLevel="1" x14ac:dyDescent="0.2">
      <c r="B190" s="117" t="s">
        <v>175</v>
      </c>
      <c r="C190" s="117"/>
      <c r="D190" s="117" t="s">
        <v>174</v>
      </c>
      <c r="E190" s="117">
        <v>2020</v>
      </c>
      <c r="F190" s="117" t="s">
        <v>176</v>
      </c>
      <c r="G190" s="117" t="s">
        <v>83</v>
      </c>
      <c r="H190" s="84" t="s">
        <v>3</v>
      </c>
      <c r="I190" s="27">
        <f>SUM(J190:O190)</f>
        <v>9</v>
      </c>
      <c r="J190" s="27">
        <f t="shared" ref="J190:O190" si="46">J191+J192+J193</f>
        <v>9</v>
      </c>
      <c r="K190" s="27">
        <f t="shared" si="46"/>
        <v>0</v>
      </c>
      <c r="L190" s="27">
        <f t="shared" si="46"/>
        <v>0</v>
      </c>
      <c r="M190" s="27">
        <f t="shared" si="46"/>
        <v>0</v>
      </c>
      <c r="N190" s="27">
        <f t="shared" si="46"/>
        <v>0</v>
      </c>
      <c r="O190" s="27">
        <f t="shared" si="46"/>
        <v>0</v>
      </c>
      <c r="P190" s="117"/>
    </row>
    <row r="191" spans="2:16" outlineLevel="1" x14ac:dyDescent="0.2">
      <c r="B191" s="118"/>
      <c r="C191" s="132"/>
      <c r="D191" s="118"/>
      <c r="E191" s="118"/>
      <c r="F191" s="118"/>
      <c r="G191" s="118"/>
      <c r="H191" s="84" t="s">
        <v>4</v>
      </c>
      <c r="I191" s="27"/>
      <c r="J191" s="27"/>
      <c r="K191" s="27"/>
      <c r="L191" s="27"/>
      <c r="M191" s="27"/>
      <c r="N191" s="27"/>
      <c r="O191" s="27"/>
      <c r="P191" s="118"/>
    </row>
    <row r="192" spans="2:16" outlineLevel="1" x14ac:dyDescent="0.2">
      <c r="B192" s="118"/>
      <c r="C192" s="132"/>
      <c r="D192" s="118"/>
      <c r="E192" s="118"/>
      <c r="F192" s="118"/>
      <c r="G192" s="118"/>
      <c r="H192" s="84" t="s">
        <v>6</v>
      </c>
      <c r="I192" s="27">
        <f>SUM(J192:O192)</f>
        <v>9</v>
      </c>
      <c r="J192" s="27">
        <v>9</v>
      </c>
      <c r="K192" s="27"/>
      <c r="L192" s="27"/>
      <c r="M192" s="27"/>
      <c r="N192" s="27"/>
      <c r="O192" s="27"/>
      <c r="P192" s="118"/>
    </row>
    <row r="193" spans="2:16" outlineLevel="1" x14ac:dyDescent="0.2">
      <c r="B193" s="119"/>
      <c r="C193" s="133"/>
      <c r="D193" s="119"/>
      <c r="E193" s="119"/>
      <c r="F193" s="119"/>
      <c r="G193" s="119"/>
      <c r="H193" s="84" t="s">
        <v>5</v>
      </c>
      <c r="I193" s="27"/>
      <c r="J193" s="27"/>
      <c r="K193" s="27"/>
      <c r="L193" s="27"/>
      <c r="M193" s="27"/>
      <c r="N193" s="27"/>
      <c r="O193" s="27"/>
      <c r="P193" s="119"/>
    </row>
    <row r="194" spans="2:16" ht="42.75" outlineLevel="1" x14ac:dyDescent="0.2">
      <c r="B194" s="117" t="s">
        <v>177</v>
      </c>
      <c r="C194" s="117"/>
      <c r="D194" s="117" t="s">
        <v>174</v>
      </c>
      <c r="E194" s="117" t="s">
        <v>50</v>
      </c>
      <c r="F194" s="117" t="s">
        <v>178</v>
      </c>
      <c r="G194" s="117" t="s">
        <v>83</v>
      </c>
      <c r="H194" s="84" t="s">
        <v>3</v>
      </c>
      <c r="I194" s="27">
        <f>SUM(J194:O194)</f>
        <v>23.799999999999997</v>
      </c>
      <c r="J194" s="27">
        <f t="shared" ref="J194:O194" si="47">J195+J196+J197</f>
        <v>0</v>
      </c>
      <c r="K194" s="27">
        <f t="shared" si="47"/>
        <v>9.3149999999999995</v>
      </c>
      <c r="L194" s="27">
        <f t="shared" si="47"/>
        <v>14.484999999999999</v>
      </c>
      <c r="M194" s="27">
        <f t="shared" si="47"/>
        <v>0</v>
      </c>
      <c r="N194" s="27">
        <f t="shared" si="47"/>
        <v>0</v>
      </c>
      <c r="O194" s="27">
        <f t="shared" si="47"/>
        <v>0</v>
      </c>
      <c r="P194" s="117"/>
    </row>
    <row r="195" spans="2:16" outlineLevel="1" x14ac:dyDescent="0.2">
      <c r="B195" s="118"/>
      <c r="C195" s="132"/>
      <c r="D195" s="118"/>
      <c r="E195" s="118"/>
      <c r="F195" s="118"/>
      <c r="G195" s="118"/>
      <c r="H195" s="84" t="s">
        <v>4</v>
      </c>
      <c r="I195" s="27"/>
      <c r="J195" s="27"/>
      <c r="K195" s="27"/>
      <c r="L195" s="27"/>
      <c r="M195" s="27"/>
      <c r="N195" s="27"/>
      <c r="O195" s="27"/>
      <c r="P195" s="118"/>
    </row>
    <row r="196" spans="2:16" outlineLevel="1" x14ac:dyDescent="0.2">
      <c r="B196" s="118"/>
      <c r="C196" s="132"/>
      <c r="D196" s="118"/>
      <c r="E196" s="118"/>
      <c r="F196" s="118"/>
      <c r="G196" s="118"/>
      <c r="H196" s="84" t="s">
        <v>6</v>
      </c>
      <c r="I196" s="27">
        <f>SUM(J196:O196)</f>
        <v>23.799999999999997</v>
      </c>
      <c r="J196" s="27"/>
      <c r="K196" s="27">
        <v>9.3149999999999995</v>
      </c>
      <c r="L196" s="27">
        <v>14.484999999999999</v>
      </c>
      <c r="M196" s="27"/>
      <c r="N196" s="27"/>
      <c r="O196" s="27"/>
      <c r="P196" s="118"/>
    </row>
    <row r="197" spans="2:16" outlineLevel="1" x14ac:dyDescent="0.2">
      <c r="B197" s="119"/>
      <c r="C197" s="133"/>
      <c r="D197" s="119"/>
      <c r="E197" s="119"/>
      <c r="F197" s="119"/>
      <c r="G197" s="119"/>
      <c r="H197" s="84" t="s">
        <v>5</v>
      </c>
      <c r="I197" s="27"/>
      <c r="J197" s="27"/>
      <c r="K197" s="27"/>
      <c r="L197" s="27"/>
      <c r="M197" s="27"/>
      <c r="N197" s="27"/>
      <c r="O197" s="27"/>
      <c r="P197" s="119"/>
    </row>
    <row r="198" spans="2:16" ht="57.75" customHeight="1" outlineLevel="1" x14ac:dyDescent="0.2">
      <c r="B198" s="117" t="s">
        <v>179</v>
      </c>
      <c r="C198" s="117"/>
      <c r="D198" s="117" t="s">
        <v>174</v>
      </c>
      <c r="E198" s="117">
        <v>2026</v>
      </c>
      <c r="F198" s="117" t="s">
        <v>180</v>
      </c>
      <c r="G198" s="117" t="s">
        <v>83</v>
      </c>
      <c r="H198" s="84" t="s">
        <v>3</v>
      </c>
      <c r="I198" s="27">
        <f>SUM(J198:O198)</f>
        <v>13.5</v>
      </c>
      <c r="J198" s="27">
        <f t="shared" ref="J198:O198" si="48">J199+J200+J201</f>
        <v>0</v>
      </c>
      <c r="K198" s="27">
        <f t="shared" si="48"/>
        <v>0</v>
      </c>
      <c r="L198" s="27">
        <f t="shared" si="48"/>
        <v>0</v>
      </c>
      <c r="M198" s="27">
        <f t="shared" si="48"/>
        <v>13.5</v>
      </c>
      <c r="N198" s="27">
        <f t="shared" si="48"/>
        <v>0</v>
      </c>
      <c r="O198" s="27">
        <f t="shared" si="48"/>
        <v>0</v>
      </c>
      <c r="P198" s="117"/>
    </row>
    <row r="199" spans="2:16" outlineLevel="1" x14ac:dyDescent="0.2">
      <c r="B199" s="118"/>
      <c r="C199" s="132"/>
      <c r="D199" s="118"/>
      <c r="E199" s="118"/>
      <c r="F199" s="118"/>
      <c r="G199" s="118"/>
      <c r="H199" s="84" t="s">
        <v>4</v>
      </c>
      <c r="I199" s="27"/>
      <c r="J199" s="27"/>
      <c r="K199" s="27"/>
      <c r="L199" s="27"/>
      <c r="M199" s="27"/>
      <c r="N199" s="27"/>
      <c r="O199" s="27"/>
      <c r="P199" s="118"/>
    </row>
    <row r="200" spans="2:16" outlineLevel="1" x14ac:dyDescent="0.2">
      <c r="B200" s="118"/>
      <c r="C200" s="132"/>
      <c r="D200" s="118"/>
      <c r="E200" s="118"/>
      <c r="F200" s="118"/>
      <c r="G200" s="118"/>
      <c r="H200" s="84" t="s">
        <v>6</v>
      </c>
      <c r="I200" s="27">
        <f>SUM(J200:O200)</f>
        <v>13.5</v>
      </c>
      <c r="J200" s="27"/>
      <c r="K200" s="27"/>
      <c r="L200" s="27"/>
      <c r="M200" s="27">
        <v>13.5</v>
      </c>
      <c r="N200" s="27"/>
      <c r="O200" s="27"/>
      <c r="P200" s="118"/>
    </row>
    <row r="201" spans="2:16" outlineLevel="1" x14ac:dyDescent="0.2">
      <c r="B201" s="119"/>
      <c r="C201" s="133"/>
      <c r="D201" s="119"/>
      <c r="E201" s="119"/>
      <c r="F201" s="119"/>
      <c r="G201" s="119"/>
      <c r="H201" s="84" t="s">
        <v>5</v>
      </c>
      <c r="I201" s="27"/>
      <c r="J201" s="27"/>
      <c r="K201" s="27"/>
      <c r="L201" s="27"/>
      <c r="M201" s="27"/>
      <c r="N201" s="27"/>
      <c r="O201" s="27"/>
      <c r="P201" s="119"/>
    </row>
    <row r="202" spans="2:16" ht="42.75" outlineLevel="1" x14ac:dyDescent="0.2">
      <c r="B202" s="117" t="s">
        <v>181</v>
      </c>
      <c r="C202" s="117"/>
      <c r="D202" s="117" t="s">
        <v>174</v>
      </c>
      <c r="E202" s="117">
        <v>2020</v>
      </c>
      <c r="F202" s="117" t="s">
        <v>182</v>
      </c>
      <c r="G202" s="117" t="s">
        <v>101</v>
      </c>
      <c r="H202" s="84" t="s">
        <v>3</v>
      </c>
      <c r="I202" s="27">
        <f>SUM(J202:O202)</f>
        <v>2.5</v>
      </c>
      <c r="J202" s="27">
        <f t="shared" ref="J202:O202" si="49">J203+J204+J205</f>
        <v>2.5</v>
      </c>
      <c r="K202" s="27">
        <f t="shared" si="49"/>
        <v>0</v>
      </c>
      <c r="L202" s="27">
        <f t="shared" si="49"/>
        <v>0</v>
      </c>
      <c r="M202" s="27">
        <f t="shared" si="49"/>
        <v>0</v>
      </c>
      <c r="N202" s="27">
        <f t="shared" si="49"/>
        <v>0</v>
      </c>
      <c r="O202" s="27">
        <f t="shared" si="49"/>
        <v>0</v>
      </c>
      <c r="P202" s="117">
        <v>1000</v>
      </c>
    </row>
    <row r="203" spans="2:16" outlineLevel="1" x14ac:dyDescent="0.2">
      <c r="B203" s="118"/>
      <c r="C203" s="132"/>
      <c r="D203" s="118"/>
      <c r="E203" s="118"/>
      <c r="F203" s="118"/>
      <c r="G203" s="118"/>
      <c r="H203" s="84" t="s">
        <v>4</v>
      </c>
      <c r="I203" s="27"/>
      <c r="J203" s="27"/>
      <c r="K203" s="27"/>
      <c r="L203" s="27"/>
      <c r="M203" s="27"/>
      <c r="N203" s="27"/>
      <c r="O203" s="27"/>
      <c r="P203" s="118"/>
    </row>
    <row r="204" spans="2:16" outlineLevel="1" x14ac:dyDescent="0.2">
      <c r="B204" s="118"/>
      <c r="C204" s="132"/>
      <c r="D204" s="118"/>
      <c r="E204" s="118"/>
      <c r="F204" s="118"/>
      <c r="G204" s="118"/>
      <c r="H204" s="84" t="s">
        <v>6</v>
      </c>
      <c r="I204" s="27">
        <f>SUM(J204:O204)</f>
        <v>2.5</v>
      </c>
      <c r="J204" s="27">
        <v>2.5</v>
      </c>
      <c r="K204" s="27"/>
      <c r="L204" s="27"/>
      <c r="M204" s="27"/>
      <c r="N204" s="27"/>
      <c r="O204" s="27"/>
      <c r="P204" s="118"/>
    </row>
    <row r="205" spans="2:16" outlineLevel="1" x14ac:dyDescent="0.2">
      <c r="B205" s="119"/>
      <c r="C205" s="133"/>
      <c r="D205" s="119"/>
      <c r="E205" s="119"/>
      <c r="F205" s="119"/>
      <c r="G205" s="119"/>
      <c r="H205" s="84" t="s">
        <v>5</v>
      </c>
      <c r="I205" s="27"/>
      <c r="J205" s="27"/>
      <c r="K205" s="27"/>
      <c r="L205" s="27"/>
      <c r="M205" s="27"/>
      <c r="N205" s="27"/>
      <c r="O205" s="27"/>
      <c r="P205" s="119"/>
    </row>
    <row r="206" spans="2:16" ht="42.75" outlineLevel="1" x14ac:dyDescent="0.2">
      <c r="B206" s="117" t="s">
        <v>183</v>
      </c>
      <c r="C206" s="117"/>
      <c r="D206" s="117" t="s">
        <v>174</v>
      </c>
      <c r="E206" s="117">
        <v>2020</v>
      </c>
      <c r="F206" s="117" t="s">
        <v>150</v>
      </c>
      <c r="G206" s="117" t="s">
        <v>101</v>
      </c>
      <c r="H206" s="84" t="s">
        <v>3</v>
      </c>
      <c r="I206" s="27">
        <f>SUM(J206:O206)</f>
        <v>0.8</v>
      </c>
      <c r="J206" s="27">
        <v>0.8</v>
      </c>
      <c r="K206" s="27">
        <f t="shared" ref="K206:O206" si="50">K207+K208+K209</f>
        <v>0</v>
      </c>
      <c r="L206" s="27">
        <v>0</v>
      </c>
      <c r="M206" s="27">
        <f t="shared" si="50"/>
        <v>0</v>
      </c>
      <c r="N206" s="27">
        <f t="shared" si="50"/>
        <v>0</v>
      </c>
      <c r="O206" s="27">
        <f t="shared" si="50"/>
        <v>0</v>
      </c>
      <c r="P206" s="117">
        <v>250</v>
      </c>
    </row>
    <row r="207" spans="2:16" outlineLevel="1" x14ac:dyDescent="0.2">
      <c r="B207" s="118"/>
      <c r="C207" s="132"/>
      <c r="D207" s="118"/>
      <c r="E207" s="118"/>
      <c r="F207" s="118"/>
      <c r="G207" s="118"/>
      <c r="H207" s="84" t="s">
        <v>4</v>
      </c>
      <c r="I207" s="27"/>
      <c r="J207" s="27"/>
      <c r="K207" s="27"/>
      <c r="L207" s="27"/>
      <c r="M207" s="27"/>
      <c r="N207" s="27"/>
      <c r="O207" s="27"/>
      <c r="P207" s="118"/>
    </row>
    <row r="208" spans="2:16" outlineLevel="1" x14ac:dyDescent="0.2">
      <c r="B208" s="118"/>
      <c r="C208" s="132"/>
      <c r="D208" s="118"/>
      <c r="E208" s="118"/>
      <c r="F208" s="118"/>
      <c r="G208" s="118"/>
      <c r="H208" s="84" t="s">
        <v>6</v>
      </c>
      <c r="I208" s="27">
        <f>SUM(J208:O208)</f>
        <v>0.8</v>
      </c>
      <c r="J208" s="27">
        <v>0.8</v>
      </c>
      <c r="K208" s="27"/>
      <c r="L208" s="27"/>
      <c r="M208" s="27"/>
      <c r="N208" s="27"/>
      <c r="O208" s="27"/>
      <c r="P208" s="118"/>
    </row>
    <row r="209" spans="2:16" outlineLevel="1" x14ac:dyDescent="0.2">
      <c r="B209" s="119"/>
      <c r="C209" s="133"/>
      <c r="D209" s="119"/>
      <c r="E209" s="119"/>
      <c r="F209" s="119"/>
      <c r="G209" s="119"/>
      <c r="H209" s="84" t="s">
        <v>5</v>
      </c>
      <c r="I209" s="27"/>
      <c r="J209" s="27"/>
      <c r="K209" s="27"/>
      <c r="L209" s="27"/>
      <c r="M209" s="27"/>
      <c r="N209" s="27"/>
      <c r="O209" s="27"/>
      <c r="P209" s="119"/>
    </row>
    <row r="210" spans="2:16" ht="42.75" outlineLevel="1" x14ac:dyDescent="0.2">
      <c r="B210" s="117" t="s">
        <v>184</v>
      </c>
      <c r="C210" s="117"/>
      <c r="D210" s="117" t="s">
        <v>174</v>
      </c>
      <c r="E210" s="117">
        <v>2021</v>
      </c>
      <c r="F210" s="117" t="s">
        <v>185</v>
      </c>
      <c r="G210" s="117" t="s">
        <v>101</v>
      </c>
      <c r="H210" s="84" t="s">
        <v>3</v>
      </c>
      <c r="I210" s="27">
        <f>SUM(J210:O210)</f>
        <v>5</v>
      </c>
      <c r="J210" s="27">
        <f t="shared" ref="J210:O210" si="51">J211+J212+J213</f>
        <v>0</v>
      </c>
      <c r="K210" s="27">
        <v>5</v>
      </c>
      <c r="L210" s="27">
        <f t="shared" si="51"/>
        <v>0</v>
      </c>
      <c r="M210" s="27">
        <v>0</v>
      </c>
      <c r="N210" s="27">
        <f t="shared" si="51"/>
        <v>0</v>
      </c>
      <c r="O210" s="27">
        <f t="shared" si="51"/>
        <v>0</v>
      </c>
      <c r="P210" s="117">
        <v>500</v>
      </c>
    </row>
    <row r="211" spans="2:16" outlineLevel="1" x14ac:dyDescent="0.2">
      <c r="B211" s="118"/>
      <c r="C211" s="132"/>
      <c r="D211" s="118"/>
      <c r="E211" s="118"/>
      <c r="F211" s="118"/>
      <c r="G211" s="118"/>
      <c r="H211" s="84" t="s">
        <v>4</v>
      </c>
      <c r="I211" s="27"/>
      <c r="J211" s="27"/>
      <c r="K211" s="27"/>
      <c r="L211" s="27"/>
      <c r="M211" s="27"/>
      <c r="N211" s="27"/>
      <c r="O211" s="27"/>
      <c r="P211" s="118"/>
    </row>
    <row r="212" spans="2:16" outlineLevel="1" x14ac:dyDescent="0.2">
      <c r="B212" s="118"/>
      <c r="C212" s="132"/>
      <c r="D212" s="118"/>
      <c r="E212" s="118"/>
      <c r="F212" s="118"/>
      <c r="G212" s="118"/>
      <c r="H212" s="84" t="s">
        <v>6</v>
      </c>
      <c r="I212" s="27">
        <f>SUM(J212:O212)</f>
        <v>5</v>
      </c>
      <c r="J212" s="27"/>
      <c r="K212" s="27">
        <v>5</v>
      </c>
      <c r="L212" s="27"/>
      <c r="M212" s="27"/>
      <c r="N212" s="27"/>
      <c r="O212" s="27"/>
      <c r="P212" s="118"/>
    </row>
    <row r="213" spans="2:16" outlineLevel="1" x14ac:dyDescent="0.2">
      <c r="B213" s="119"/>
      <c r="C213" s="133"/>
      <c r="D213" s="119"/>
      <c r="E213" s="119"/>
      <c r="F213" s="119"/>
      <c r="G213" s="119"/>
      <c r="H213" s="84" t="s">
        <v>5</v>
      </c>
      <c r="I213" s="27"/>
      <c r="J213" s="27"/>
      <c r="K213" s="27"/>
      <c r="L213" s="27"/>
      <c r="M213" s="27"/>
      <c r="N213" s="27"/>
      <c r="O213" s="27"/>
      <c r="P213" s="119"/>
    </row>
    <row r="214" spans="2:16" ht="42.75" outlineLevel="1" x14ac:dyDescent="0.2">
      <c r="B214" s="117" t="s">
        <v>186</v>
      </c>
      <c r="C214" s="117"/>
      <c r="D214" s="117" t="s">
        <v>174</v>
      </c>
      <c r="E214" s="117">
        <v>2022</v>
      </c>
      <c r="F214" s="117" t="s">
        <v>187</v>
      </c>
      <c r="G214" s="117" t="s">
        <v>101</v>
      </c>
      <c r="H214" s="84" t="s">
        <v>3</v>
      </c>
      <c r="I214" s="27">
        <f>SUM(J214:O214)</f>
        <v>11</v>
      </c>
      <c r="J214" s="27">
        <v>0</v>
      </c>
      <c r="K214" s="27">
        <f t="shared" ref="K214:O214" si="52">K215+K216+K217</f>
        <v>0</v>
      </c>
      <c r="L214" s="27">
        <v>11</v>
      </c>
      <c r="M214" s="27">
        <f t="shared" si="52"/>
        <v>0</v>
      </c>
      <c r="N214" s="27">
        <f t="shared" si="52"/>
        <v>0</v>
      </c>
      <c r="O214" s="27">
        <f t="shared" si="52"/>
        <v>0</v>
      </c>
      <c r="P214" s="117">
        <v>200</v>
      </c>
    </row>
    <row r="215" spans="2:16" outlineLevel="1" x14ac:dyDescent="0.2">
      <c r="B215" s="118"/>
      <c r="C215" s="132"/>
      <c r="D215" s="118"/>
      <c r="E215" s="118"/>
      <c r="F215" s="118"/>
      <c r="G215" s="118"/>
      <c r="H215" s="84" t="s">
        <v>4</v>
      </c>
      <c r="I215" s="27"/>
      <c r="J215" s="27"/>
      <c r="K215" s="27"/>
      <c r="L215" s="27"/>
      <c r="M215" s="27"/>
      <c r="N215" s="27"/>
      <c r="O215" s="27"/>
      <c r="P215" s="118"/>
    </row>
    <row r="216" spans="2:16" outlineLevel="1" x14ac:dyDescent="0.2">
      <c r="B216" s="118"/>
      <c r="C216" s="132"/>
      <c r="D216" s="118"/>
      <c r="E216" s="118"/>
      <c r="F216" s="118"/>
      <c r="G216" s="118"/>
      <c r="H216" s="84" t="s">
        <v>6</v>
      </c>
      <c r="I216" s="27">
        <f>SUM(J216:O216)</f>
        <v>11</v>
      </c>
      <c r="J216" s="27"/>
      <c r="K216" s="27"/>
      <c r="L216" s="27">
        <v>11</v>
      </c>
      <c r="M216" s="27"/>
      <c r="N216" s="27"/>
      <c r="O216" s="27"/>
      <c r="P216" s="118"/>
    </row>
    <row r="217" spans="2:16" outlineLevel="1" x14ac:dyDescent="0.2">
      <c r="B217" s="119"/>
      <c r="C217" s="133"/>
      <c r="D217" s="119"/>
      <c r="E217" s="119"/>
      <c r="F217" s="119"/>
      <c r="G217" s="119"/>
      <c r="H217" s="84" t="s">
        <v>5</v>
      </c>
      <c r="I217" s="27">
        <f t="shared" ref="I217:I237" si="53">SUM(J217:O217)</f>
        <v>0</v>
      </c>
      <c r="J217" s="27"/>
      <c r="K217" s="27"/>
      <c r="L217" s="27"/>
      <c r="M217" s="27"/>
      <c r="N217" s="27"/>
      <c r="O217" s="27"/>
      <c r="P217" s="119"/>
    </row>
    <row r="218" spans="2:16" s="21" customFormat="1" ht="42.75" outlineLevel="1" x14ac:dyDescent="0.2">
      <c r="B218" s="139" t="s">
        <v>188</v>
      </c>
      <c r="C218" s="139"/>
      <c r="D218" s="139" t="s">
        <v>174</v>
      </c>
      <c r="E218" s="117">
        <v>2023</v>
      </c>
      <c r="F218" s="139" t="s">
        <v>189</v>
      </c>
      <c r="G218" s="139" t="s">
        <v>101</v>
      </c>
      <c r="H218" s="19" t="s">
        <v>3</v>
      </c>
      <c r="I218" s="27">
        <f t="shared" si="53"/>
        <v>4.5</v>
      </c>
      <c r="J218" s="28">
        <f>J219+J220+J221</f>
        <v>0</v>
      </c>
      <c r="K218" s="28">
        <f>K219+K220+K221</f>
        <v>0</v>
      </c>
      <c r="L218" s="28">
        <v>0</v>
      </c>
      <c r="M218" s="28">
        <f>M219+M220+M221</f>
        <v>4.5</v>
      </c>
      <c r="N218" s="28">
        <f>N219+N220+N221</f>
        <v>0</v>
      </c>
      <c r="O218" s="28">
        <f>O219+O220+O221</f>
        <v>0</v>
      </c>
      <c r="P218" s="139">
        <v>150</v>
      </c>
    </row>
    <row r="219" spans="2:16" s="21" customFormat="1" outlineLevel="1" x14ac:dyDescent="0.2">
      <c r="B219" s="140"/>
      <c r="C219" s="132"/>
      <c r="D219" s="140"/>
      <c r="E219" s="118"/>
      <c r="F219" s="140"/>
      <c r="G219" s="140"/>
      <c r="H219" s="19" t="s">
        <v>4</v>
      </c>
      <c r="I219" s="27">
        <f t="shared" si="53"/>
        <v>0</v>
      </c>
      <c r="J219" s="28"/>
      <c r="K219" s="28"/>
      <c r="L219" s="28"/>
      <c r="M219" s="28"/>
      <c r="N219" s="28"/>
      <c r="O219" s="28"/>
      <c r="P219" s="140"/>
    </row>
    <row r="220" spans="2:16" s="21" customFormat="1" outlineLevel="1" x14ac:dyDescent="0.2">
      <c r="B220" s="140"/>
      <c r="C220" s="132"/>
      <c r="D220" s="140"/>
      <c r="E220" s="118"/>
      <c r="F220" s="140"/>
      <c r="G220" s="140"/>
      <c r="H220" s="19" t="s">
        <v>6</v>
      </c>
      <c r="I220" s="27">
        <f t="shared" si="53"/>
        <v>4.5</v>
      </c>
      <c r="J220" s="28"/>
      <c r="K220" s="28"/>
      <c r="L220" s="28"/>
      <c r="M220" s="28">
        <v>4.5</v>
      </c>
      <c r="N220" s="28"/>
      <c r="O220" s="28"/>
      <c r="P220" s="140"/>
    </row>
    <row r="221" spans="2:16" s="21" customFormat="1" outlineLevel="1" x14ac:dyDescent="0.2">
      <c r="B221" s="141"/>
      <c r="C221" s="133"/>
      <c r="D221" s="141"/>
      <c r="E221" s="119"/>
      <c r="F221" s="141"/>
      <c r="G221" s="141"/>
      <c r="H221" s="19" t="s">
        <v>5</v>
      </c>
      <c r="I221" s="27">
        <f t="shared" si="53"/>
        <v>0</v>
      </c>
      <c r="J221" s="28"/>
      <c r="K221" s="28"/>
      <c r="L221" s="28"/>
      <c r="M221" s="28"/>
      <c r="N221" s="28"/>
      <c r="O221" s="28"/>
      <c r="P221" s="141"/>
    </row>
    <row r="222" spans="2:16" s="21" customFormat="1" ht="42.75" outlineLevel="1" x14ac:dyDescent="0.2">
      <c r="B222" s="139" t="s">
        <v>190</v>
      </c>
      <c r="C222" s="139"/>
      <c r="D222" s="139" t="s">
        <v>174</v>
      </c>
      <c r="E222" s="117">
        <v>2024</v>
      </c>
      <c r="F222" s="139" t="s">
        <v>191</v>
      </c>
      <c r="G222" s="139" t="s">
        <v>101</v>
      </c>
      <c r="H222" s="19" t="s">
        <v>3</v>
      </c>
      <c r="I222" s="27">
        <f t="shared" si="53"/>
        <v>5</v>
      </c>
      <c r="J222" s="28">
        <f>J223+J224+J225</f>
        <v>0</v>
      </c>
      <c r="K222" s="28">
        <f>K223+K224+K225</f>
        <v>0</v>
      </c>
      <c r="L222" s="28">
        <f>L223+L224+L225</f>
        <v>0</v>
      </c>
      <c r="M222" s="28">
        <v>0</v>
      </c>
      <c r="N222" s="28">
        <f>N223+N224+N225</f>
        <v>5</v>
      </c>
      <c r="O222" s="28">
        <f>O223+O224+O225</f>
        <v>0</v>
      </c>
      <c r="P222" s="139">
        <v>1000</v>
      </c>
    </row>
    <row r="223" spans="2:16" s="21" customFormat="1" outlineLevel="1" x14ac:dyDescent="0.2">
      <c r="B223" s="140"/>
      <c r="C223" s="132"/>
      <c r="D223" s="140"/>
      <c r="E223" s="118"/>
      <c r="F223" s="140"/>
      <c r="G223" s="140"/>
      <c r="H223" s="19" t="s">
        <v>4</v>
      </c>
      <c r="I223" s="27">
        <f t="shared" si="53"/>
        <v>0</v>
      </c>
      <c r="J223" s="28"/>
      <c r="K223" s="28"/>
      <c r="L223" s="28"/>
      <c r="M223" s="28"/>
      <c r="N223" s="28"/>
      <c r="O223" s="28"/>
      <c r="P223" s="140"/>
    </row>
    <row r="224" spans="2:16" s="21" customFormat="1" outlineLevel="1" x14ac:dyDescent="0.2">
      <c r="B224" s="140"/>
      <c r="C224" s="132"/>
      <c r="D224" s="140"/>
      <c r="E224" s="118"/>
      <c r="F224" s="140"/>
      <c r="G224" s="140"/>
      <c r="H224" s="19" t="s">
        <v>6</v>
      </c>
      <c r="I224" s="27">
        <f t="shared" si="53"/>
        <v>5</v>
      </c>
      <c r="J224" s="28"/>
      <c r="K224" s="28"/>
      <c r="L224" s="28"/>
      <c r="M224" s="28"/>
      <c r="N224" s="28">
        <v>5</v>
      </c>
      <c r="O224" s="28"/>
      <c r="P224" s="140"/>
    </row>
    <row r="225" spans="2:17" s="21" customFormat="1" outlineLevel="1" x14ac:dyDescent="0.2">
      <c r="B225" s="141"/>
      <c r="C225" s="133"/>
      <c r="D225" s="141"/>
      <c r="E225" s="119"/>
      <c r="F225" s="141"/>
      <c r="G225" s="141"/>
      <c r="H225" s="19" t="s">
        <v>5</v>
      </c>
      <c r="I225" s="27">
        <f t="shared" si="53"/>
        <v>0</v>
      </c>
      <c r="J225" s="28"/>
      <c r="K225" s="28"/>
      <c r="L225" s="28"/>
      <c r="M225" s="28"/>
      <c r="N225" s="28"/>
      <c r="O225" s="28"/>
      <c r="P225" s="141"/>
    </row>
    <row r="226" spans="2:17" s="21" customFormat="1" ht="42.75" outlineLevel="1" x14ac:dyDescent="0.2">
      <c r="B226" s="139" t="s">
        <v>192</v>
      </c>
      <c r="C226" s="139"/>
      <c r="D226" s="139" t="s">
        <v>174</v>
      </c>
      <c r="E226" s="117">
        <v>2025</v>
      </c>
      <c r="F226" s="139" t="s">
        <v>191</v>
      </c>
      <c r="G226" s="139" t="s">
        <v>101</v>
      </c>
      <c r="H226" s="19" t="s">
        <v>3</v>
      </c>
      <c r="I226" s="27">
        <f t="shared" si="53"/>
        <v>5</v>
      </c>
      <c r="J226" s="28">
        <v>0</v>
      </c>
      <c r="K226" s="28">
        <f>K227+K228+K229</f>
        <v>0</v>
      </c>
      <c r="L226" s="28">
        <f>L227+L228+L229</f>
        <v>0</v>
      </c>
      <c r="M226" s="28">
        <f>M227+M228+M229</f>
        <v>0</v>
      </c>
      <c r="N226" s="28">
        <f>N227+N228+N229</f>
        <v>0</v>
      </c>
      <c r="O226" s="28">
        <f>O227+O228+O229</f>
        <v>5</v>
      </c>
      <c r="P226" s="139">
        <v>500</v>
      </c>
    </row>
    <row r="227" spans="2:17" s="21" customFormat="1" outlineLevel="1" x14ac:dyDescent="0.2">
      <c r="B227" s="140"/>
      <c r="C227" s="132"/>
      <c r="D227" s="140"/>
      <c r="E227" s="118"/>
      <c r="F227" s="140"/>
      <c r="G227" s="140"/>
      <c r="H227" s="19" t="s">
        <v>4</v>
      </c>
      <c r="I227" s="27">
        <f t="shared" si="53"/>
        <v>0</v>
      </c>
      <c r="J227" s="28"/>
      <c r="K227" s="28"/>
      <c r="L227" s="28"/>
      <c r="M227" s="28"/>
      <c r="N227" s="28"/>
      <c r="O227" s="28"/>
      <c r="P227" s="140"/>
    </row>
    <row r="228" spans="2:17" s="21" customFormat="1" outlineLevel="1" x14ac:dyDescent="0.2">
      <c r="B228" s="140"/>
      <c r="C228" s="132"/>
      <c r="D228" s="140"/>
      <c r="E228" s="118"/>
      <c r="F228" s="140"/>
      <c r="G228" s="140"/>
      <c r="H228" s="19" t="s">
        <v>6</v>
      </c>
      <c r="I228" s="27">
        <f t="shared" si="53"/>
        <v>5</v>
      </c>
      <c r="J228" s="28"/>
      <c r="K228" s="28"/>
      <c r="L228" s="28"/>
      <c r="M228" s="28"/>
      <c r="N228" s="28"/>
      <c r="O228" s="28">
        <v>5</v>
      </c>
      <c r="P228" s="140"/>
    </row>
    <row r="229" spans="2:17" s="21" customFormat="1" outlineLevel="1" x14ac:dyDescent="0.2">
      <c r="B229" s="141"/>
      <c r="C229" s="133"/>
      <c r="D229" s="141"/>
      <c r="E229" s="119"/>
      <c r="F229" s="141"/>
      <c r="G229" s="141"/>
      <c r="H229" s="19" t="s">
        <v>5</v>
      </c>
      <c r="I229" s="27">
        <f t="shared" si="53"/>
        <v>0</v>
      </c>
      <c r="J229" s="28"/>
      <c r="K229" s="28"/>
      <c r="L229" s="28"/>
      <c r="M229" s="28"/>
      <c r="N229" s="28"/>
      <c r="O229" s="28"/>
      <c r="P229" s="141"/>
    </row>
    <row r="230" spans="2:17" ht="42.75" outlineLevel="1" x14ac:dyDescent="0.2">
      <c r="B230" s="117" t="s">
        <v>193</v>
      </c>
      <c r="C230" s="117"/>
      <c r="D230" s="117" t="s">
        <v>174</v>
      </c>
      <c r="E230" s="117" t="s">
        <v>171</v>
      </c>
      <c r="F230" s="117" t="s">
        <v>194</v>
      </c>
      <c r="G230" s="117" t="s">
        <v>101</v>
      </c>
      <c r="H230" s="84" t="s">
        <v>3</v>
      </c>
      <c r="I230" s="27">
        <f t="shared" si="53"/>
        <v>32</v>
      </c>
      <c r="J230" s="17">
        <f t="shared" ref="J230:O230" si="54">J231+J232+J233</f>
        <v>5.2</v>
      </c>
      <c r="K230" s="17">
        <f t="shared" si="54"/>
        <v>5.2</v>
      </c>
      <c r="L230" s="17">
        <f t="shared" si="54"/>
        <v>9.4</v>
      </c>
      <c r="M230" s="17">
        <f t="shared" si="54"/>
        <v>4.2</v>
      </c>
      <c r="N230" s="17">
        <f t="shared" si="54"/>
        <v>4</v>
      </c>
      <c r="O230" s="17">
        <f t="shared" si="54"/>
        <v>4</v>
      </c>
      <c r="P230" s="117">
        <v>8000</v>
      </c>
    </row>
    <row r="231" spans="2:17" outlineLevel="1" x14ac:dyDescent="0.2">
      <c r="B231" s="118"/>
      <c r="C231" s="132"/>
      <c r="D231" s="118"/>
      <c r="E231" s="118"/>
      <c r="F231" s="118"/>
      <c r="G231" s="118"/>
      <c r="H231" s="84" t="s">
        <v>4</v>
      </c>
      <c r="I231" s="27">
        <f t="shared" si="53"/>
        <v>0</v>
      </c>
      <c r="J231" s="17"/>
      <c r="K231" s="17"/>
      <c r="L231" s="17"/>
      <c r="M231" s="17"/>
      <c r="N231" s="17"/>
      <c r="O231" s="17"/>
      <c r="P231" s="118"/>
    </row>
    <row r="232" spans="2:17" outlineLevel="1" x14ac:dyDescent="0.2">
      <c r="B232" s="118"/>
      <c r="C232" s="132"/>
      <c r="D232" s="118"/>
      <c r="E232" s="118"/>
      <c r="F232" s="118"/>
      <c r="G232" s="118"/>
      <c r="H232" s="84" t="s">
        <v>6</v>
      </c>
      <c r="I232" s="27">
        <f t="shared" si="53"/>
        <v>32</v>
      </c>
      <c r="J232" s="17">
        <v>5.2</v>
      </c>
      <c r="K232" s="17">
        <v>5.2</v>
      </c>
      <c r="L232" s="17">
        <v>9.4</v>
      </c>
      <c r="M232" s="17">
        <v>4.2</v>
      </c>
      <c r="N232" s="17">
        <v>4</v>
      </c>
      <c r="O232" s="17">
        <v>4</v>
      </c>
      <c r="P232" s="118"/>
    </row>
    <row r="233" spans="2:17" outlineLevel="1" x14ac:dyDescent="0.2">
      <c r="B233" s="119"/>
      <c r="C233" s="133"/>
      <c r="D233" s="119"/>
      <c r="E233" s="119"/>
      <c r="F233" s="119"/>
      <c r="G233" s="119"/>
      <c r="H233" s="84" t="s">
        <v>5</v>
      </c>
      <c r="I233" s="27">
        <f t="shared" si="53"/>
        <v>0</v>
      </c>
      <c r="J233" s="17"/>
      <c r="K233" s="17"/>
      <c r="L233" s="17"/>
      <c r="M233" s="17"/>
      <c r="N233" s="17"/>
      <c r="O233" s="17"/>
      <c r="P233" s="119"/>
    </row>
    <row r="234" spans="2:17" ht="42.75" outlineLevel="1" x14ac:dyDescent="0.2">
      <c r="B234" s="117" t="s">
        <v>195</v>
      </c>
      <c r="C234" s="117"/>
      <c r="D234" s="117" t="s">
        <v>174</v>
      </c>
      <c r="E234" s="117" t="s">
        <v>171</v>
      </c>
      <c r="F234" s="117" t="s">
        <v>196</v>
      </c>
      <c r="G234" s="117" t="s">
        <v>101</v>
      </c>
      <c r="H234" s="84" t="s">
        <v>3</v>
      </c>
      <c r="I234" s="27">
        <f t="shared" si="53"/>
        <v>7.08</v>
      </c>
      <c r="J234" s="17">
        <f t="shared" ref="J234:O234" si="55">J235+J236+J237</f>
        <v>1.36</v>
      </c>
      <c r="K234" s="17">
        <f t="shared" si="55"/>
        <v>1.36</v>
      </c>
      <c r="L234" s="17">
        <f t="shared" si="55"/>
        <v>1.36</v>
      </c>
      <c r="M234" s="17">
        <f t="shared" si="55"/>
        <v>1</v>
      </c>
      <c r="N234" s="17">
        <f t="shared" si="55"/>
        <v>1</v>
      </c>
      <c r="O234" s="17">
        <f t="shared" si="55"/>
        <v>1</v>
      </c>
      <c r="P234" s="117">
        <v>4500</v>
      </c>
    </row>
    <row r="235" spans="2:17" outlineLevel="1" x14ac:dyDescent="0.2">
      <c r="B235" s="118"/>
      <c r="C235" s="132"/>
      <c r="D235" s="118"/>
      <c r="E235" s="118"/>
      <c r="F235" s="118"/>
      <c r="G235" s="118"/>
      <c r="H235" s="84" t="s">
        <v>4</v>
      </c>
      <c r="I235" s="27">
        <f t="shared" si="53"/>
        <v>0</v>
      </c>
      <c r="J235" s="17"/>
      <c r="K235" s="17"/>
      <c r="L235" s="17"/>
      <c r="M235" s="17"/>
      <c r="N235" s="17"/>
      <c r="O235" s="17"/>
      <c r="P235" s="118"/>
    </row>
    <row r="236" spans="2:17" outlineLevel="1" x14ac:dyDescent="0.2">
      <c r="B236" s="118"/>
      <c r="C236" s="132"/>
      <c r="D236" s="118"/>
      <c r="E236" s="118"/>
      <c r="F236" s="118"/>
      <c r="G236" s="118"/>
      <c r="H236" s="84" t="s">
        <v>6</v>
      </c>
      <c r="I236" s="27">
        <f t="shared" si="53"/>
        <v>7.08</v>
      </c>
      <c r="J236" s="17">
        <v>1.36</v>
      </c>
      <c r="K236" s="17">
        <v>1.36</v>
      </c>
      <c r="L236" s="17">
        <v>1.36</v>
      </c>
      <c r="M236" s="17">
        <v>1</v>
      </c>
      <c r="N236" s="17">
        <v>1</v>
      </c>
      <c r="O236" s="17">
        <v>1</v>
      </c>
      <c r="P236" s="118"/>
    </row>
    <row r="237" spans="2:17" outlineLevel="1" x14ac:dyDescent="0.2">
      <c r="B237" s="119"/>
      <c r="C237" s="133"/>
      <c r="D237" s="119"/>
      <c r="E237" s="119"/>
      <c r="F237" s="119"/>
      <c r="G237" s="119"/>
      <c r="H237" s="84" t="s">
        <v>5</v>
      </c>
      <c r="I237" s="27">
        <f t="shared" si="53"/>
        <v>0</v>
      </c>
      <c r="J237" s="27"/>
      <c r="K237" s="27"/>
      <c r="L237" s="27"/>
      <c r="M237" s="27"/>
      <c r="N237" s="27"/>
      <c r="O237" s="27"/>
      <c r="P237" s="119"/>
    </row>
    <row r="238" spans="2:17" ht="42.75" x14ac:dyDescent="0.2">
      <c r="B238" s="128" t="s">
        <v>197</v>
      </c>
      <c r="C238" s="128" t="s">
        <v>38</v>
      </c>
      <c r="D238" s="128" t="s">
        <v>38</v>
      </c>
      <c r="E238" s="128" t="s">
        <v>38</v>
      </c>
      <c r="F238" s="128" t="s">
        <v>38</v>
      </c>
      <c r="G238" s="128" t="s">
        <v>38</v>
      </c>
      <c r="H238" s="84" t="s">
        <v>3</v>
      </c>
      <c r="I238" s="14">
        <f t="shared" ref="I238:O238" si="56">SUMIF($H$190:$H$237,"Объем*",I$190:I$237)</f>
        <v>119.17999999999999</v>
      </c>
      <c r="J238" s="14">
        <f t="shared" si="56"/>
        <v>18.86</v>
      </c>
      <c r="K238" s="14">
        <f t="shared" si="56"/>
        <v>20.875</v>
      </c>
      <c r="L238" s="14">
        <f t="shared" si="56"/>
        <v>36.244999999999997</v>
      </c>
      <c r="M238" s="14">
        <f t="shared" si="56"/>
        <v>23.2</v>
      </c>
      <c r="N238" s="14">
        <f t="shared" si="56"/>
        <v>10</v>
      </c>
      <c r="O238" s="14">
        <f t="shared" si="56"/>
        <v>10</v>
      </c>
      <c r="P238" s="128"/>
      <c r="Q238" s="7"/>
    </row>
    <row r="239" spans="2:17" ht="15.75" x14ac:dyDescent="0.2">
      <c r="B239" s="129"/>
      <c r="C239" s="129"/>
      <c r="D239" s="129"/>
      <c r="E239" s="129"/>
      <c r="F239" s="129"/>
      <c r="G239" s="129"/>
      <c r="H239" s="84" t="s">
        <v>4</v>
      </c>
      <c r="I239" s="14">
        <f t="shared" ref="I239:O239" si="57">SUMIF($H$190:$H$237,"фед*",I$190:I$237)</f>
        <v>0</v>
      </c>
      <c r="J239" s="14">
        <f t="shared" si="57"/>
        <v>0</v>
      </c>
      <c r="K239" s="14">
        <f t="shared" si="57"/>
        <v>0</v>
      </c>
      <c r="L239" s="14">
        <f t="shared" si="57"/>
        <v>0</v>
      </c>
      <c r="M239" s="14">
        <f t="shared" si="57"/>
        <v>0</v>
      </c>
      <c r="N239" s="14">
        <f t="shared" si="57"/>
        <v>0</v>
      </c>
      <c r="O239" s="14">
        <f t="shared" si="57"/>
        <v>0</v>
      </c>
      <c r="P239" s="129"/>
    </row>
    <row r="240" spans="2:17" ht="15.75" x14ac:dyDescent="0.2">
      <c r="B240" s="129"/>
      <c r="C240" s="129"/>
      <c r="D240" s="129"/>
      <c r="E240" s="129"/>
      <c r="F240" s="129"/>
      <c r="G240" s="129"/>
      <c r="H240" s="84" t="s">
        <v>6</v>
      </c>
      <c r="I240" s="14">
        <f t="shared" ref="I240:O240" si="58">SUMIF($H$190:$H$237,"конс*",I$190:I$237)</f>
        <v>119.17999999999999</v>
      </c>
      <c r="J240" s="14">
        <f t="shared" si="58"/>
        <v>18.86</v>
      </c>
      <c r="K240" s="14">
        <f t="shared" si="58"/>
        <v>20.875</v>
      </c>
      <c r="L240" s="14">
        <f t="shared" si="58"/>
        <v>36.244999999999997</v>
      </c>
      <c r="M240" s="14">
        <f t="shared" si="58"/>
        <v>23.2</v>
      </c>
      <c r="N240" s="14">
        <f t="shared" si="58"/>
        <v>10</v>
      </c>
      <c r="O240" s="14">
        <f t="shared" si="58"/>
        <v>10</v>
      </c>
      <c r="P240" s="129"/>
    </row>
    <row r="241" spans="2:16" ht="15.75" x14ac:dyDescent="0.2">
      <c r="B241" s="130"/>
      <c r="C241" s="130"/>
      <c r="D241" s="130"/>
      <c r="E241" s="130"/>
      <c r="F241" s="130"/>
      <c r="G241" s="130"/>
      <c r="H241" s="84" t="s">
        <v>5</v>
      </c>
      <c r="I241" s="14">
        <f t="shared" ref="I241:O241" si="59">SUMIF($H$190:$H$237,"вне*",I$190:I$237)</f>
        <v>0</v>
      </c>
      <c r="J241" s="14">
        <f t="shared" si="59"/>
        <v>0</v>
      </c>
      <c r="K241" s="14">
        <f t="shared" si="59"/>
        <v>0</v>
      </c>
      <c r="L241" s="14">
        <f t="shared" si="59"/>
        <v>0</v>
      </c>
      <c r="M241" s="14">
        <f t="shared" si="59"/>
        <v>0</v>
      </c>
      <c r="N241" s="14">
        <f t="shared" si="59"/>
        <v>0</v>
      </c>
      <c r="O241" s="14">
        <f t="shared" si="59"/>
        <v>0</v>
      </c>
      <c r="P241" s="130"/>
    </row>
    <row r="242" spans="2:16" ht="25.5" customHeight="1" x14ac:dyDescent="0.2">
      <c r="B242" s="111" t="s">
        <v>39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3"/>
    </row>
    <row r="243" spans="2:16" s="21" customFormat="1" ht="42.75" customHeight="1" outlineLevel="1" x14ac:dyDescent="0.2">
      <c r="B243" s="139" t="s">
        <v>198</v>
      </c>
      <c r="C243" s="139"/>
      <c r="D243" s="139" t="s">
        <v>39</v>
      </c>
      <c r="E243" s="117">
        <v>2024</v>
      </c>
      <c r="F243" s="139" t="s">
        <v>199</v>
      </c>
      <c r="G243" s="139" t="s">
        <v>83</v>
      </c>
      <c r="H243" s="19" t="s">
        <v>3</v>
      </c>
      <c r="I243" s="23">
        <f>SUM(J243:O243)</f>
        <v>7.07</v>
      </c>
      <c r="J243" s="83">
        <f t="shared" ref="J243:O243" si="60">J244+J245+J246</f>
        <v>0</v>
      </c>
      <c r="K243" s="83">
        <f t="shared" si="60"/>
        <v>0</v>
      </c>
      <c r="L243" s="83">
        <f t="shared" si="60"/>
        <v>0</v>
      </c>
      <c r="M243" s="83">
        <f t="shared" si="60"/>
        <v>0</v>
      </c>
      <c r="N243" s="83">
        <f t="shared" si="60"/>
        <v>7.07</v>
      </c>
      <c r="O243" s="83">
        <f t="shared" si="60"/>
        <v>0</v>
      </c>
      <c r="P243" s="139"/>
    </row>
    <row r="244" spans="2:16" s="21" customFormat="1" outlineLevel="1" x14ac:dyDescent="0.2">
      <c r="B244" s="140"/>
      <c r="C244" s="132"/>
      <c r="D244" s="140"/>
      <c r="E244" s="118"/>
      <c r="F244" s="140"/>
      <c r="G244" s="140"/>
      <c r="H244" s="19" t="s">
        <v>4</v>
      </c>
      <c r="I244" s="23">
        <f t="shared" ref="I244:I294" si="61">SUM(J244:O244)</f>
        <v>0</v>
      </c>
      <c r="J244" s="83"/>
      <c r="K244" s="83"/>
      <c r="L244" s="83"/>
      <c r="M244" s="83"/>
      <c r="N244" s="83"/>
      <c r="O244" s="83"/>
      <c r="P244" s="140"/>
    </row>
    <row r="245" spans="2:16" s="21" customFormat="1" outlineLevel="1" x14ac:dyDescent="0.2">
      <c r="B245" s="140"/>
      <c r="C245" s="132"/>
      <c r="D245" s="140"/>
      <c r="E245" s="118"/>
      <c r="F245" s="140"/>
      <c r="G245" s="140"/>
      <c r="H245" s="19" t="s">
        <v>6</v>
      </c>
      <c r="I245" s="23">
        <f t="shared" si="61"/>
        <v>7.07</v>
      </c>
      <c r="J245" s="83"/>
      <c r="K245" s="83"/>
      <c r="L245" s="83"/>
      <c r="M245" s="83"/>
      <c r="N245" s="83">
        <v>7.07</v>
      </c>
      <c r="O245" s="83"/>
      <c r="P245" s="140"/>
    </row>
    <row r="246" spans="2:16" s="21" customFormat="1" ht="35.25" customHeight="1" outlineLevel="1" x14ac:dyDescent="0.2">
      <c r="B246" s="141"/>
      <c r="C246" s="133"/>
      <c r="D246" s="141"/>
      <c r="E246" s="119"/>
      <c r="F246" s="141"/>
      <c r="G246" s="141"/>
      <c r="H246" s="19" t="s">
        <v>5</v>
      </c>
      <c r="I246" s="23">
        <f t="shared" si="61"/>
        <v>0</v>
      </c>
      <c r="J246" s="83"/>
      <c r="K246" s="83"/>
      <c r="L246" s="83"/>
      <c r="M246" s="83"/>
      <c r="N246" s="83"/>
      <c r="O246" s="83"/>
      <c r="P246" s="141"/>
    </row>
    <row r="247" spans="2:16" s="21" customFormat="1" ht="42.75" customHeight="1" outlineLevel="1" x14ac:dyDescent="0.2">
      <c r="B247" s="139" t="s">
        <v>200</v>
      </c>
      <c r="C247" s="139"/>
      <c r="D247" s="139" t="s">
        <v>39</v>
      </c>
      <c r="E247" s="117">
        <v>2025</v>
      </c>
      <c r="F247" s="139" t="s">
        <v>201</v>
      </c>
      <c r="G247" s="139" t="s">
        <v>83</v>
      </c>
      <c r="H247" s="19" t="s">
        <v>3</v>
      </c>
      <c r="I247" s="23">
        <f t="shared" si="61"/>
        <v>2.9</v>
      </c>
      <c r="J247" s="83">
        <f t="shared" ref="J247:O247" si="62">J248+J249+J250</f>
        <v>0</v>
      </c>
      <c r="K247" s="83">
        <f t="shared" si="62"/>
        <v>0</v>
      </c>
      <c r="L247" s="83">
        <f t="shared" si="62"/>
        <v>0</v>
      </c>
      <c r="M247" s="83">
        <f t="shared" si="62"/>
        <v>0</v>
      </c>
      <c r="N247" s="83">
        <f t="shared" si="62"/>
        <v>0</v>
      </c>
      <c r="O247" s="83">
        <f t="shared" si="62"/>
        <v>2.9</v>
      </c>
      <c r="P247" s="139"/>
    </row>
    <row r="248" spans="2:16" s="21" customFormat="1" ht="25.5" customHeight="1" outlineLevel="1" x14ac:dyDescent="0.2">
      <c r="B248" s="140"/>
      <c r="C248" s="132"/>
      <c r="D248" s="140"/>
      <c r="E248" s="118"/>
      <c r="F248" s="140"/>
      <c r="G248" s="140"/>
      <c r="H248" s="19" t="s">
        <v>4</v>
      </c>
      <c r="I248" s="23">
        <f t="shared" si="61"/>
        <v>0</v>
      </c>
      <c r="J248" s="83"/>
      <c r="K248" s="83"/>
      <c r="L248" s="83"/>
      <c r="M248" s="83"/>
      <c r="N248" s="83"/>
      <c r="O248" s="83"/>
      <c r="P248" s="140"/>
    </row>
    <row r="249" spans="2:16" s="21" customFormat="1" ht="25.5" customHeight="1" outlineLevel="1" x14ac:dyDescent="0.2">
      <c r="B249" s="140"/>
      <c r="C249" s="132"/>
      <c r="D249" s="140"/>
      <c r="E249" s="118"/>
      <c r="F249" s="140"/>
      <c r="G249" s="140"/>
      <c r="H249" s="19" t="s">
        <v>6</v>
      </c>
      <c r="I249" s="23">
        <f t="shared" si="61"/>
        <v>2.9</v>
      </c>
      <c r="J249" s="83"/>
      <c r="K249" s="83"/>
      <c r="L249" s="83"/>
      <c r="M249" s="83"/>
      <c r="N249" s="83"/>
      <c r="O249" s="83">
        <v>2.9</v>
      </c>
      <c r="P249" s="140"/>
    </row>
    <row r="250" spans="2:16" s="21" customFormat="1" ht="25.5" customHeight="1" outlineLevel="1" x14ac:dyDescent="0.2">
      <c r="B250" s="141"/>
      <c r="C250" s="133"/>
      <c r="D250" s="141"/>
      <c r="E250" s="119"/>
      <c r="F250" s="141"/>
      <c r="G250" s="141"/>
      <c r="H250" s="19" t="s">
        <v>5</v>
      </c>
      <c r="I250" s="23">
        <f t="shared" si="61"/>
        <v>0</v>
      </c>
      <c r="J250" s="83"/>
      <c r="K250" s="83"/>
      <c r="L250" s="83"/>
      <c r="M250" s="83"/>
      <c r="N250" s="83"/>
      <c r="O250" s="83"/>
      <c r="P250" s="141"/>
    </row>
    <row r="251" spans="2:16" s="21" customFormat="1" ht="42.75" customHeight="1" outlineLevel="1" x14ac:dyDescent="0.2">
      <c r="B251" s="139" t="s">
        <v>202</v>
      </c>
      <c r="C251" s="139"/>
      <c r="D251" s="139" t="s">
        <v>39</v>
      </c>
      <c r="E251" s="117" t="s">
        <v>203</v>
      </c>
      <c r="F251" s="139" t="s">
        <v>204</v>
      </c>
      <c r="G251" s="139" t="s">
        <v>205</v>
      </c>
      <c r="H251" s="19" t="s">
        <v>3</v>
      </c>
      <c r="I251" s="23">
        <f t="shared" si="61"/>
        <v>47.8</v>
      </c>
      <c r="J251" s="83">
        <f t="shared" ref="J251:O251" si="63">J252+J253+J254</f>
        <v>0</v>
      </c>
      <c r="K251" s="83">
        <f t="shared" si="63"/>
        <v>47.8</v>
      </c>
      <c r="L251" s="83">
        <f t="shared" si="63"/>
        <v>0</v>
      </c>
      <c r="M251" s="83">
        <f t="shared" si="63"/>
        <v>0</v>
      </c>
      <c r="N251" s="83">
        <f t="shared" si="63"/>
        <v>0</v>
      </c>
      <c r="O251" s="83">
        <f t="shared" si="63"/>
        <v>0</v>
      </c>
      <c r="P251" s="139">
        <v>250</v>
      </c>
    </row>
    <row r="252" spans="2:16" s="21" customFormat="1" outlineLevel="1" x14ac:dyDescent="0.2">
      <c r="B252" s="140"/>
      <c r="C252" s="132"/>
      <c r="D252" s="140"/>
      <c r="E252" s="118"/>
      <c r="F252" s="140"/>
      <c r="G252" s="140"/>
      <c r="H252" s="19" t="s">
        <v>4</v>
      </c>
      <c r="I252" s="23">
        <f t="shared" si="61"/>
        <v>0</v>
      </c>
      <c r="J252" s="83"/>
      <c r="K252" s="83"/>
      <c r="L252" s="83"/>
      <c r="M252" s="83"/>
      <c r="N252" s="83"/>
      <c r="O252" s="83"/>
      <c r="P252" s="140"/>
    </row>
    <row r="253" spans="2:16" s="21" customFormat="1" outlineLevel="1" x14ac:dyDescent="0.2">
      <c r="B253" s="140"/>
      <c r="C253" s="132"/>
      <c r="D253" s="140"/>
      <c r="E253" s="118"/>
      <c r="F253" s="140"/>
      <c r="G253" s="140"/>
      <c r="H253" s="19" t="s">
        <v>6</v>
      </c>
      <c r="I253" s="23">
        <f t="shared" si="61"/>
        <v>47.8</v>
      </c>
      <c r="J253" s="83"/>
      <c r="K253" s="83">
        <v>47.8</v>
      </c>
      <c r="L253" s="83"/>
      <c r="M253" s="83"/>
      <c r="N253" s="83"/>
      <c r="O253" s="83"/>
      <c r="P253" s="140"/>
    </row>
    <row r="254" spans="2:16" s="21" customFormat="1" outlineLevel="1" x14ac:dyDescent="0.2">
      <c r="B254" s="141"/>
      <c r="C254" s="133"/>
      <c r="D254" s="141"/>
      <c r="E254" s="119"/>
      <c r="F254" s="141"/>
      <c r="G254" s="141"/>
      <c r="H254" s="19" t="s">
        <v>5</v>
      </c>
      <c r="I254" s="23">
        <f t="shared" si="61"/>
        <v>0</v>
      </c>
      <c r="J254" s="83"/>
      <c r="K254" s="83"/>
      <c r="L254" s="83"/>
      <c r="M254" s="83"/>
      <c r="N254" s="83"/>
      <c r="O254" s="83"/>
      <c r="P254" s="141"/>
    </row>
    <row r="255" spans="2:16" s="21" customFormat="1" ht="42.75" customHeight="1" outlineLevel="1" x14ac:dyDescent="0.2">
      <c r="B255" s="139" t="s">
        <v>206</v>
      </c>
      <c r="C255" s="139"/>
      <c r="D255" s="139" t="s">
        <v>39</v>
      </c>
      <c r="E255" s="117">
        <v>2023</v>
      </c>
      <c r="F255" s="139" t="s">
        <v>207</v>
      </c>
      <c r="G255" s="139" t="s">
        <v>101</v>
      </c>
      <c r="H255" s="19" t="s">
        <v>3</v>
      </c>
      <c r="I255" s="23">
        <f t="shared" si="61"/>
        <v>48</v>
      </c>
      <c r="J255" s="83">
        <f t="shared" ref="J255:O255" si="64">J256+J257+J258</f>
        <v>0</v>
      </c>
      <c r="K255" s="83">
        <f t="shared" si="64"/>
        <v>0</v>
      </c>
      <c r="L255" s="83">
        <f t="shared" si="64"/>
        <v>0</v>
      </c>
      <c r="M255" s="83">
        <f t="shared" si="64"/>
        <v>48</v>
      </c>
      <c r="N255" s="83">
        <f t="shared" si="64"/>
        <v>0</v>
      </c>
      <c r="O255" s="83">
        <f t="shared" si="64"/>
        <v>0</v>
      </c>
      <c r="P255" s="139">
        <v>420</v>
      </c>
    </row>
    <row r="256" spans="2:16" s="21" customFormat="1" outlineLevel="1" x14ac:dyDescent="0.2">
      <c r="B256" s="140"/>
      <c r="C256" s="132"/>
      <c r="D256" s="140"/>
      <c r="E256" s="118"/>
      <c r="F256" s="140"/>
      <c r="G256" s="140"/>
      <c r="H256" s="19" t="s">
        <v>4</v>
      </c>
      <c r="I256" s="23">
        <f t="shared" si="61"/>
        <v>0</v>
      </c>
      <c r="J256" s="83"/>
      <c r="K256" s="83"/>
      <c r="L256" s="83"/>
      <c r="M256" s="83"/>
      <c r="N256" s="83"/>
      <c r="O256" s="83"/>
      <c r="P256" s="140"/>
    </row>
    <row r="257" spans="2:16" s="21" customFormat="1" outlineLevel="1" x14ac:dyDescent="0.2">
      <c r="B257" s="140"/>
      <c r="C257" s="132"/>
      <c r="D257" s="140"/>
      <c r="E257" s="118"/>
      <c r="F257" s="140"/>
      <c r="G257" s="140"/>
      <c r="H257" s="19" t="s">
        <v>6</v>
      </c>
      <c r="I257" s="23">
        <f t="shared" si="61"/>
        <v>48</v>
      </c>
      <c r="J257" s="83"/>
      <c r="K257" s="83"/>
      <c r="L257" s="27"/>
      <c r="M257" s="83">
        <v>48</v>
      </c>
      <c r="N257" s="83"/>
      <c r="O257" s="83"/>
      <c r="P257" s="140"/>
    </row>
    <row r="258" spans="2:16" s="21" customFormat="1" outlineLevel="1" x14ac:dyDescent="0.2">
      <c r="B258" s="141"/>
      <c r="C258" s="133"/>
      <c r="D258" s="141"/>
      <c r="E258" s="119"/>
      <c r="F258" s="141"/>
      <c r="G258" s="141"/>
      <c r="H258" s="19" t="s">
        <v>5</v>
      </c>
      <c r="I258" s="23">
        <f t="shared" si="61"/>
        <v>0</v>
      </c>
      <c r="J258" s="83"/>
      <c r="K258" s="83"/>
      <c r="L258" s="83"/>
      <c r="M258" s="83"/>
      <c r="N258" s="83"/>
      <c r="O258" s="83"/>
      <c r="P258" s="141"/>
    </row>
    <row r="259" spans="2:16" s="21" customFormat="1" ht="42.75" customHeight="1" outlineLevel="1" x14ac:dyDescent="0.2">
      <c r="B259" s="139" t="s">
        <v>208</v>
      </c>
      <c r="C259" s="139"/>
      <c r="D259" s="139" t="s">
        <v>39</v>
      </c>
      <c r="E259" s="117" t="s">
        <v>209</v>
      </c>
      <c r="F259" s="139" t="s">
        <v>210</v>
      </c>
      <c r="G259" s="139" t="s">
        <v>101</v>
      </c>
      <c r="H259" s="19" t="s">
        <v>3</v>
      </c>
      <c r="I259" s="23">
        <f t="shared" si="61"/>
        <v>16.899999999999999</v>
      </c>
      <c r="J259" s="83">
        <f t="shared" ref="J259:O259" si="65">J260+J261+J262</f>
        <v>0</v>
      </c>
      <c r="K259" s="83">
        <f t="shared" si="65"/>
        <v>0</v>
      </c>
      <c r="L259" s="83">
        <f t="shared" si="65"/>
        <v>0</v>
      </c>
      <c r="M259" s="83">
        <f t="shared" si="65"/>
        <v>0</v>
      </c>
      <c r="N259" s="83">
        <f t="shared" si="65"/>
        <v>16.899999999999999</v>
      </c>
      <c r="O259" s="83">
        <f t="shared" si="65"/>
        <v>0</v>
      </c>
      <c r="P259" s="139"/>
    </row>
    <row r="260" spans="2:16" s="21" customFormat="1" outlineLevel="1" x14ac:dyDescent="0.2">
      <c r="B260" s="140"/>
      <c r="C260" s="132"/>
      <c r="D260" s="140"/>
      <c r="E260" s="118"/>
      <c r="F260" s="140"/>
      <c r="G260" s="140"/>
      <c r="H260" s="19" t="s">
        <v>4</v>
      </c>
      <c r="I260" s="23">
        <f t="shared" si="61"/>
        <v>0</v>
      </c>
      <c r="J260" s="83"/>
      <c r="K260" s="83"/>
      <c r="L260" s="83"/>
      <c r="M260" s="83"/>
      <c r="N260" s="83"/>
      <c r="O260" s="83"/>
      <c r="P260" s="140"/>
    </row>
    <row r="261" spans="2:16" s="21" customFormat="1" outlineLevel="1" x14ac:dyDescent="0.2">
      <c r="B261" s="140"/>
      <c r="C261" s="132"/>
      <c r="D261" s="140"/>
      <c r="E261" s="118"/>
      <c r="F261" s="140"/>
      <c r="G261" s="140"/>
      <c r="H261" s="19" t="s">
        <v>6</v>
      </c>
      <c r="I261" s="23">
        <f t="shared" si="61"/>
        <v>16.899999999999999</v>
      </c>
      <c r="J261" s="83"/>
      <c r="K261" s="83"/>
      <c r="L261" s="83">
        <v>0</v>
      </c>
      <c r="M261" s="83"/>
      <c r="N261" s="83">
        <v>16.899999999999999</v>
      </c>
      <c r="O261" s="83"/>
      <c r="P261" s="140"/>
    </row>
    <row r="262" spans="2:16" s="21" customFormat="1" outlineLevel="1" x14ac:dyDescent="0.2">
      <c r="B262" s="141"/>
      <c r="C262" s="133"/>
      <c r="D262" s="141"/>
      <c r="E262" s="119"/>
      <c r="F262" s="141"/>
      <c r="G262" s="141"/>
      <c r="H262" s="19" t="s">
        <v>5</v>
      </c>
      <c r="I262" s="23">
        <f t="shared" si="61"/>
        <v>0</v>
      </c>
      <c r="J262" s="83"/>
      <c r="K262" s="83"/>
      <c r="L262" s="83"/>
      <c r="M262" s="83"/>
      <c r="N262" s="83"/>
      <c r="O262" s="83"/>
      <c r="P262" s="141"/>
    </row>
    <row r="263" spans="2:16" s="21" customFormat="1" ht="42.75" customHeight="1" outlineLevel="1" x14ac:dyDescent="0.2">
      <c r="B263" s="139" t="s">
        <v>211</v>
      </c>
      <c r="C263" s="139"/>
      <c r="D263" s="139" t="s">
        <v>39</v>
      </c>
      <c r="E263" s="117">
        <v>2023</v>
      </c>
      <c r="F263" s="139" t="s">
        <v>212</v>
      </c>
      <c r="G263" s="139" t="s">
        <v>101</v>
      </c>
      <c r="H263" s="19" t="s">
        <v>3</v>
      </c>
      <c r="I263" s="23">
        <f t="shared" si="61"/>
        <v>16.399999999999999</v>
      </c>
      <c r="J263" s="83">
        <f t="shared" ref="J263:O263" si="66">J264+J265+J266</f>
        <v>0</v>
      </c>
      <c r="K263" s="83">
        <f t="shared" si="66"/>
        <v>0</v>
      </c>
      <c r="L263" s="83">
        <f t="shared" si="66"/>
        <v>0</v>
      </c>
      <c r="M263" s="83">
        <f t="shared" si="66"/>
        <v>16.399999999999999</v>
      </c>
      <c r="N263" s="83">
        <f t="shared" si="66"/>
        <v>0</v>
      </c>
      <c r="O263" s="83">
        <f t="shared" si="66"/>
        <v>0</v>
      </c>
      <c r="P263" s="139"/>
    </row>
    <row r="264" spans="2:16" s="21" customFormat="1" outlineLevel="1" x14ac:dyDescent="0.2">
      <c r="B264" s="140"/>
      <c r="C264" s="132"/>
      <c r="D264" s="140"/>
      <c r="E264" s="118"/>
      <c r="F264" s="140"/>
      <c r="G264" s="140"/>
      <c r="H264" s="19" t="s">
        <v>4</v>
      </c>
      <c r="I264" s="23">
        <f t="shared" si="61"/>
        <v>0</v>
      </c>
      <c r="J264" s="83"/>
      <c r="K264" s="83"/>
      <c r="L264" s="13"/>
      <c r="M264" s="83"/>
      <c r="N264" s="83"/>
      <c r="O264" s="83"/>
      <c r="P264" s="140"/>
    </row>
    <row r="265" spans="2:16" s="21" customFormat="1" outlineLevel="1" x14ac:dyDescent="0.2">
      <c r="B265" s="140"/>
      <c r="C265" s="132"/>
      <c r="D265" s="140"/>
      <c r="E265" s="118"/>
      <c r="F265" s="140"/>
      <c r="G265" s="140"/>
      <c r="H265" s="19" t="s">
        <v>6</v>
      </c>
      <c r="I265" s="23">
        <f t="shared" si="61"/>
        <v>16.399999999999999</v>
      </c>
      <c r="J265" s="83"/>
      <c r="K265" s="83"/>
      <c r="L265" s="13"/>
      <c r="M265" s="83">
        <v>16.399999999999999</v>
      </c>
      <c r="N265" s="83"/>
      <c r="O265" s="83"/>
      <c r="P265" s="140"/>
    </row>
    <row r="266" spans="2:16" s="21" customFormat="1" outlineLevel="1" x14ac:dyDescent="0.2">
      <c r="B266" s="141"/>
      <c r="C266" s="133"/>
      <c r="D266" s="141"/>
      <c r="E266" s="119"/>
      <c r="F266" s="141"/>
      <c r="G266" s="141"/>
      <c r="H266" s="19" t="s">
        <v>5</v>
      </c>
      <c r="I266" s="23">
        <f t="shared" si="61"/>
        <v>0</v>
      </c>
      <c r="J266" s="83"/>
      <c r="K266" s="83"/>
      <c r="L266" s="13"/>
      <c r="M266" s="83"/>
      <c r="N266" s="83"/>
      <c r="O266" s="83"/>
      <c r="P266" s="141"/>
    </row>
    <row r="267" spans="2:16" s="21" customFormat="1" ht="42.75" customHeight="1" outlineLevel="1" x14ac:dyDescent="0.2">
      <c r="B267" s="139" t="s">
        <v>213</v>
      </c>
      <c r="C267" s="139"/>
      <c r="D267" s="139" t="s">
        <v>39</v>
      </c>
      <c r="E267" s="117" t="s">
        <v>209</v>
      </c>
      <c r="F267" s="139" t="s">
        <v>214</v>
      </c>
      <c r="G267" s="139" t="s">
        <v>101</v>
      </c>
      <c r="H267" s="19" t="s">
        <v>3</v>
      </c>
      <c r="I267" s="23">
        <f t="shared" si="61"/>
        <v>3.4</v>
      </c>
      <c r="J267" s="83">
        <f t="shared" ref="J267:O267" si="67">J268+J269+J270</f>
        <v>0</v>
      </c>
      <c r="K267" s="83">
        <f t="shared" si="67"/>
        <v>0</v>
      </c>
      <c r="L267" s="83">
        <f t="shared" si="67"/>
        <v>0</v>
      </c>
      <c r="M267" s="83">
        <f t="shared" si="67"/>
        <v>0</v>
      </c>
      <c r="N267" s="83">
        <f t="shared" si="67"/>
        <v>3.4</v>
      </c>
      <c r="O267" s="83">
        <f t="shared" si="67"/>
        <v>0</v>
      </c>
      <c r="P267" s="139"/>
    </row>
    <row r="268" spans="2:16" s="21" customFormat="1" outlineLevel="1" x14ac:dyDescent="0.2">
      <c r="B268" s="140"/>
      <c r="C268" s="132"/>
      <c r="D268" s="140"/>
      <c r="E268" s="118"/>
      <c r="F268" s="140"/>
      <c r="G268" s="140"/>
      <c r="H268" s="19" t="s">
        <v>4</v>
      </c>
      <c r="I268" s="23">
        <f t="shared" si="61"/>
        <v>0</v>
      </c>
      <c r="J268" s="83"/>
      <c r="K268" s="83"/>
      <c r="L268" s="83"/>
      <c r="M268" s="83"/>
      <c r="N268" s="83"/>
      <c r="O268" s="83"/>
      <c r="P268" s="140"/>
    </row>
    <row r="269" spans="2:16" s="21" customFormat="1" outlineLevel="1" x14ac:dyDescent="0.2">
      <c r="B269" s="140"/>
      <c r="C269" s="132"/>
      <c r="D269" s="140"/>
      <c r="E269" s="118"/>
      <c r="F269" s="140"/>
      <c r="G269" s="140"/>
      <c r="H269" s="19" t="s">
        <v>6</v>
      </c>
      <c r="I269" s="23">
        <f t="shared" si="61"/>
        <v>3.4</v>
      </c>
      <c r="J269" s="83"/>
      <c r="K269" s="83"/>
      <c r="L269" s="83">
        <v>0</v>
      </c>
      <c r="M269" s="83"/>
      <c r="N269" s="83">
        <v>3.4</v>
      </c>
      <c r="O269" s="83"/>
      <c r="P269" s="140"/>
    </row>
    <row r="270" spans="2:16" s="21" customFormat="1" outlineLevel="1" x14ac:dyDescent="0.2">
      <c r="B270" s="141"/>
      <c r="C270" s="133"/>
      <c r="D270" s="141"/>
      <c r="E270" s="119"/>
      <c r="F270" s="141"/>
      <c r="G270" s="141"/>
      <c r="H270" s="19" t="s">
        <v>5</v>
      </c>
      <c r="I270" s="23">
        <f t="shared" si="61"/>
        <v>0</v>
      </c>
      <c r="J270" s="83"/>
      <c r="K270" s="83"/>
      <c r="L270" s="83"/>
      <c r="M270" s="83"/>
      <c r="N270" s="83"/>
      <c r="O270" s="83"/>
      <c r="P270" s="141"/>
    </row>
    <row r="271" spans="2:16" s="21" customFormat="1" ht="42.75" customHeight="1" outlineLevel="1" x14ac:dyDescent="0.2">
      <c r="B271" s="139" t="s">
        <v>215</v>
      </c>
      <c r="C271" s="139"/>
      <c r="D271" s="139" t="s">
        <v>39</v>
      </c>
      <c r="E271" s="117" t="s">
        <v>61</v>
      </c>
      <c r="F271" s="139" t="s">
        <v>216</v>
      </c>
      <c r="G271" s="139" t="s">
        <v>101</v>
      </c>
      <c r="H271" s="19" t="s">
        <v>3</v>
      </c>
      <c r="I271" s="23">
        <f t="shared" si="61"/>
        <v>9.0500000000000007</v>
      </c>
      <c r="J271" s="83">
        <f t="shared" ref="J271:O271" si="68">J272+J273+J274</f>
        <v>0</v>
      </c>
      <c r="K271" s="83">
        <f t="shared" si="68"/>
        <v>0</v>
      </c>
      <c r="L271" s="83">
        <f t="shared" si="68"/>
        <v>0</v>
      </c>
      <c r="M271" s="83">
        <f t="shared" si="68"/>
        <v>9.0500000000000007</v>
      </c>
      <c r="N271" s="83">
        <f t="shared" si="68"/>
        <v>0</v>
      </c>
      <c r="O271" s="83">
        <f t="shared" si="68"/>
        <v>0</v>
      </c>
      <c r="P271" s="139"/>
    </row>
    <row r="272" spans="2:16" s="21" customFormat="1" outlineLevel="1" x14ac:dyDescent="0.2">
      <c r="B272" s="140"/>
      <c r="C272" s="132"/>
      <c r="D272" s="140"/>
      <c r="E272" s="118"/>
      <c r="F272" s="140"/>
      <c r="G272" s="140"/>
      <c r="H272" s="19" t="s">
        <v>4</v>
      </c>
      <c r="I272" s="23">
        <f t="shared" si="61"/>
        <v>0</v>
      </c>
      <c r="J272" s="83"/>
      <c r="K272" s="83"/>
      <c r="L272" s="83"/>
      <c r="M272" s="83"/>
      <c r="N272" s="83"/>
      <c r="O272" s="83"/>
      <c r="P272" s="140"/>
    </row>
    <row r="273" spans="2:16" s="21" customFormat="1" outlineLevel="1" x14ac:dyDescent="0.2">
      <c r="B273" s="140"/>
      <c r="C273" s="132"/>
      <c r="D273" s="140"/>
      <c r="E273" s="118"/>
      <c r="F273" s="140"/>
      <c r="G273" s="140"/>
      <c r="H273" s="19" t="s">
        <v>6</v>
      </c>
      <c r="I273" s="23">
        <f t="shared" si="61"/>
        <v>9.0500000000000007</v>
      </c>
      <c r="J273" s="83"/>
      <c r="K273" s="83"/>
      <c r="L273" s="83">
        <v>0</v>
      </c>
      <c r="M273" s="83">
        <v>9.0500000000000007</v>
      </c>
      <c r="N273" s="83"/>
      <c r="O273" s="83"/>
      <c r="P273" s="140"/>
    </row>
    <row r="274" spans="2:16" s="21" customFormat="1" outlineLevel="1" x14ac:dyDescent="0.2">
      <c r="B274" s="141"/>
      <c r="C274" s="133"/>
      <c r="D274" s="141"/>
      <c r="E274" s="119"/>
      <c r="F274" s="141"/>
      <c r="G274" s="141"/>
      <c r="H274" s="19" t="s">
        <v>5</v>
      </c>
      <c r="I274" s="23">
        <f t="shared" si="61"/>
        <v>0</v>
      </c>
      <c r="J274" s="83"/>
      <c r="K274" s="83"/>
      <c r="L274" s="83"/>
      <c r="M274" s="83"/>
      <c r="N274" s="83"/>
      <c r="O274" s="83"/>
      <c r="P274" s="141"/>
    </row>
    <row r="275" spans="2:16" s="21" customFormat="1" ht="42.75" customHeight="1" outlineLevel="1" x14ac:dyDescent="0.2">
      <c r="B275" s="139" t="s">
        <v>1857</v>
      </c>
      <c r="C275" s="139"/>
      <c r="D275" s="139" t="s">
        <v>39</v>
      </c>
      <c r="E275" s="117">
        <v>2023</v>
      </c>
      <c r="F275" s="139" t="s">
        <v>1858</v>
      </c>
      <c r="G275" s="139" t="s">
        <v>101</v>
      </c>
      <c r="H275" s="19" t="s">
        <v>3</v>
      </c>
      <c r="I275" s="23">
        <f t="shared" si="61"/>
        <v>116.76</v>
      </c>
      <c r="J275" s="83">
        <f t="shared" ref="J275:O275" si="69">J276+J277+J278</f>
        <v>0</v>
      </c>
      <c r="K275" s="83">
        <f t="shared" si="69"/>
        <v>0</v>
      </c>
      <c r="L275" s="83">
        <f t="shared" si="69"/>
        <v>0</v>
      </c>
      <c r="M275" s="83">
        <f t="shared" si="69"/>
        <v>116.76</v>
      </c>
      <c r="N275" s="83">
        <f t="shared" si="69"/>
        <v>0</v>
      </c>
      <c r="O275" s="83">
        <f t="shared" si="69"/>
        <v>0</v>
      </c>
      <c r="P275" s="139"/>
    </row>
    <row r="276" spans="2:16" s="21" customFormat="1" outlineLevel="1" x14ac:dyDescent="0.2">
      <c r="B276" s="140"/>
      <c r="C276" s="132"/>
      <c r="D276" s="140"/>
      <c r="E276" s="118"/>
      <c r="F276" s="140"/>
      <c r="G276" s="140"/>
      <c r="H276" s="19" t="s">
        <v>4</v>
      </c>
      <c r="I276" s="23">
        <f t="shared" si="61"/>
        <v>115.59</v>
      </c>
      <c r="J276" s="83"/>
      <c r="K276" s="83"/>
      <c r="L276" s="83"/>
      <c r="M276" s="83">
        <v>115.59</v>
      </c>
      <c r="N276" s="83"/>
      <c r="O276" s="83"/>
      <c r="P276" s="140"/>
    </row>
    <row r="277" spans="2:16" s="21" customFormat="1" outlineLevel="1" x14ac:dyDescent="0.2">
      <c r="B277" s="140"/>
      <c r="C277" s="132"/>
      <c r="D277" s="140"/>
      <c r="E277" s="118"/>
      <c r="F277" s="140"/>
      <c r="G277" s="140"/>
      <c r="H277" s="19" t="s">
        <v>6</v>
      </c>
      <c r="I277" s="23">
        <f t="shared" si="61"/>
        <v>1.17</v>
      </c>
      <c r="J277" s="83"/>
      <c r="K277" s="83"/>
      <c r="L277" s="83"/>
      <c r="M277" s="83">
        <v>1.17</v>
      </c>
      <c r="N277" s="83"/>
      <c r="O277" s="83"/>
      <c r="P277" s="140"/>
    </row>
    <row r="278" spans="2:16" s="21" customFormat="1" outlineLevel="1" x14ac:dyDescent="0.2">
      <c r="B278" s="141"/>
      <c r="C278" s="133"/>
      <c r="D278" s="141"/>
      <c r="E278" s="119"/>
      <c r="F278" s="141"/>
      <c r="G278" s="141"/>
      <c r="H278" s="19" t="s">
        <v>5</v>
      </c>
      <c r="I278" s="23">
        <f t="shared" si="61"/>
        <v>0</v>
      </c>
      <c r="J278" s="83"/>
      <c r="K278" s="83"/>
      <c r="L278" s="83"/>
      <c r="M278" s="83"/>
      <c r="N278" s="83"/>
      <c r="O278" s="83"/>
      <c r="P278" s="141"/>
    </row>
    <row r="279" spans="2:16" s="21" customFormat="1" ht="42.75" customHeight="1" outlineLevel="1" x14ac:dyDescent="0.2">
      <c r="B279" s="139" t="s">
        <v>217</v>
      </c>
      <c r="C279" s="139"/>
      <c r="D279" s="139" t="s">
        <v>39</v>
      </c>
      <c r="E279" s="117">
        <v>2021</v>
      </c>
      <c r="F279" s="139" t="s">
        <v>218</v>
      </c>
      <c r="G279" s="139" t="s">
        <v>101</v>
      </c>
      <c r="H279" s="19" t="s">
        <v>3</v>
      </c>
      <c r="I279" s="23">
        <f t="shared" si="61"/>
        <v>4.8940000000000001</v>
      </c>
      <c r="J279" s="83">
        <f t="shared" ref="J279:O279" si="70">J280+J281+J282</f>
        <v>0</v>
      </c>
      <c r="K279" s="83">
        <f t="shared" si="70"/>
        <v>4.8940000000000001</v>
      </c>
      <c r="L279" s="83">
        <f t="shared" si="70"/>
        <v>0</v>
      </c>
      <c r="M279" s="83">
        <f t="shared" si="70"/>
        <v>0</v>
      </c>
      <c r="N279" s="83">
        <f t="shared" si="70"/>
        <v>0</v>
      </c>
      <c r="O279" s="83">
        <f t="shared" si="70"/>
        <v>0</v>
      </c>
      <c r="P279" s="139"/>
    </row>
    <row r="280" spans="2:16" s="21" customFormat="1" outlineLevel="1" x14ac:dyDescent="0.2">
      <c r="B280" s="140"/>
      <c r="C280" s="132"/>
      <c r="D280" s="140"/>
      <c r="E280" s="118"/>
      <c r="F280" s="140"/>
      <c r="G280" s="140"/>
      <c r="H280" s="19" t="s">
        <v>4</v>
      </c>
      <c r="I280" s="23">
        <f t="shared" si="61"/>
        <v>0</v>
      </c>
      <c r="J280" s="83"/>
      <c r="K280" s="83"/>
      <c r="L280" s="83"/>
      <c r="M280" s="83"/>
      <c r="N280" s="83"/>
      <c r="O280" s="83"/>
      <c r="P280" s="140"/>
    </row>
    <row r="281" spans="2:16" s="21" customFormat="1" outlineLevel="1" x14ac:dyDescent="0.2">
      <c r="B281" s="140"/>
      <c r="C281" s="132"/>
      <c r="D281" s="140"/>
      <c r="E281" s="118"/>
      <c r="F281" s="140"/>
      <c r="G281" s="140"/>
      <c r="H281" s="19" t="s">
        <v>6</v>
      </c>
      <c r="I281" s="23">
        <f t="shared" si="61"/>
        <v>4.8940000000000001</v>
      </c>
      <c r="J281" s="83"/>
      <c r="K281" s="83">
        <v>4.8940000000000001</v>
      </c>
      <c r="L281" s="83"/>
      <c r="M281" s="83"/>
      <c r="N281" s="83"/>
      <c r="O281" s="83"/>
      <c r="P281" s="140"/>
    </row>
    <row r="282" spans="2:16" s="21" customFormat="1" outlineLevel="1" x14ac:dyDescent="0.2">
      <c r="B282" s="141"/>
      <c r="C282" s="133"/>
      <c r="D282" s="141"/>
      <c r="E282" s="119"/>
      <c r="F282" s="141"/>
      <c r="G282" s="141"/>
      <c r="H282" s="19" t="s">
        <v>5</v>
      </c>
      <c r="I282" s="23">
        <f t="shared" si="61"/>
        <v>0</v>
      </c>
      <c r="J282" s="83"/>
      <c r="K282" s="83"/>
      <c r="L282" s="83"/>
      <c r="M282" s="83"/>
      <c r="N282" s="83"/>
      <c r="O282" s="83"/>
      <c r="P282" s="141"/>
    </row>
    <row r="283" spans="2:16" s="21" customFormat="1" ht="42.75" customHeight="1" outlineLevel="1" x14ac:dyDescent="0.2">
      <c r="B283" s="139" t="s">
        <v>219</v>
      </c>
      <c r="C283" s="139"/>
      <c r="D283" s="139" t="s">
        <v>39</v>
      </c>
      <c r="E283" s="117">
        <v>2020</v>
      </c>
      <c r="F283" s="139" t="s">
        <v>220</v>
      </c>
      <c r="G283" s="139" t="s">
        <v>101</v>
      </c>
      <c r="H283" s="19" t="s">
        <v>3</v>
      </c>
      <c r="I283" s="23">
        <f t="shared" si="61"/>
        <v>0.8</v>
      </c>
      <c r="J283" s="83">
        <f t="shared" ref="J283:O283" si="71">J284+J285+J286</f>
        <v>0.8</v>
      </c>
      <c r="K283" s="83">
        <f t="shared" si="71"/>
        <v>0</v>
      </c>
      <c r="L283" s="83">
        <f t="shared" si="71"/>
        <v>0</v>
      </c>
      <c r="M283" s="83">
        <f t="shared" si="71"/>
        <v>0</v>
      </c>
      <c r="N283" s="83">
        <f t="shared" si="71"/>
        <v>0</v>
      </c>
      <c r="O283" s="83">
        <f t="shared" si="71"/>
        <v>0</v>
      </c>
      <c r="P283" s="139"/>
    </row>
    <row r="284" spans="2:16" s="21" customFormat="1" outlineLevel="1" x14ac:dyDescent="0.2">
      <c r="B284" s="140"/>
      <c r="C284" s="132"/>
      <c r="D284" s="140"/>
      <c r="E284" s="118"/>
      <c r="F284" s="140"/>
      <c r="G284" s="140"/>
      <c r="H284" s="19" t="s">
        <v>4</v>
      </c>
      <c r="I284" s="23">
        <f t="shared" si="61"/>
        <v>0</v>
      </c>
      <c r="J284" s="83"/>
      <c r="K284" s="83"/>
      <c r="L284" s="83"/>
      <c r="M284" s="83"/>
      <c r="N284" s="83"/>
      <c r="O284" s="83"/>
      <c r="P284" s="140"/>
    </row>
    <row r="285" spans="2:16" s="21" customFormat="1" outlineLevel="1" x14ac:dyDescent="0.2">
      <c r="B285" s="140"/>
      <c r="C285" s="132"/>
      <c r="D285" s="140"/>
      <c r="E285" s="118"/>
      <c r="F285" s="140"/>
      <c r="G285" s="140"/>
      <c r="H285" s="19" t="s">
        <v>6</v>
      </c>
      <c r="I285" s="23">
        <f t="shared" si="61"/>
        <v>0.8</v>
      </c>
      <c r="J285" s="83">
        <v>0.8</v>
      </c>
      <c r="K285" s="83"/>
      <c r="L285" s="83"/>
      <c r="M285" s="83"/>
      <c r="N285" s="83"/>
      <c r="O285" s="83"/>
      <c r="P285" s="140"/>
    </row>
    <row r="286" spans="2:16" s="21" customFormat="1" outlineLevel="1" x14ac:dyDescent="0.2">
      <c r="B286" s="141"/>
      <c r="C286" s="133"/>
      <c r="D286" s="141"/>
      <c r="E286" s="119"/>
      <c r="F286" s="141"/>
      <c r="G286" s="141"/>
      <c r="H286" s="19" t="s">
        <v>5</v>
      </c>
      <c r="I286" s="23">
        <f t="shared" si="61"/>
        <v>0</v>
      </c>
      <c r="J286" s="83"/>
      <c r="K286" s="83"/>
      <c r="L286" s="83"/>
      <c r="M286" s="83"/>
      <c r="N286" s="83"/>
      <c r="O286" s="83"/>
      <c r="P286" s="141"/>
    </row>
    <row r="287" spans="2:16" s="21" customFormat="1" ht="42.75" customHeight="1" outlineLevel="1" x14ac:dyDescent="0.2">
      <c r="B287" s="139" t="s">
        <v>1859</v>
      </c>
      <c r="C287" s="139"/>
      <c r="D287" s="139" t="s">
        <v>39</v>
      </c>
      <c r="E287" s="117">
        <v>2023</v>
      </c>
      <c r="F287" s="139" t="s">
        <v>1860</v>
      </c>
      <c r="G287" s="139" t="s">
        <v>63</v>
      </c>
      <c r="H287" s="19" t="s">
        <v>3</v>
      </c>
      <c r="I287" s="23">
        <f t="shared" si="61"/>
        <v>26</v>
      </c>
      <c r="J287" s="83">
        <f t="shared" ref="J287:O287" si="72">J288+J289+J290</f>
        <v>0</v>
      </c>
      <c r="K287" s="83">
        <f t="shared" si="72"/>
        <v>0</v>
      </c>
      <c r="L287" s="83">
        <f t="shared" si="72"/>
        <v>0</v>
      </c>
      <c r="M287" s="83">
        <f t="shared" si="72"/>
        <v>26</v>
      </c>
      <c r="N287" s="83">
        <f t="shared" si="72"/>
        <v>0</v>
      </c>
      <c r="O287" s="83">
        <f t="shared" si="72"/>
        <v>0</v>
      </c>
      <c r="P287" s="144"/>
    </row>
    <row r="288" spans="2:16" s="21" customFormat="1" outlineLevel="1" x14ac:dyDescent="0.2">
      <c r="B288" s="140"/>
      <c r="C288" s="132"/>
      <c r="D288" s="140"/>
      <c r="E288" s="118"/>
      <c r="F288" s="140"/>
      <c r="G288" s="140"/>
      <c r="H288" s="19" t="s">
        <v>4</v>
      </c>
      <c r="I288" s="23">
        <f t="shared" si="61"/>
        <v>0</v>
      </c>
      <c r="J288" s="83"/>
      <c r="K288" s="83"/>
      <c r="L288" s="83"/>
      <c r="M288" s="83"/>
      <c r="N288" s="83"/>
      <c r="O288" s="83"/>
      <c r="P288" s="145"/>
    </row>
    <row r="289" spans="2:17" s="21" customFormat="1" outlineLevel="1" x14ac:dyDescent="0.2">
      <c r="B289" s="140"/>
      <c r="C289" s="132"/>
      <c r="D289" s="140"/>
      <c r="E289" s="118"/>
      <c r="F289" s="140"/>
      <c r="G289" s="140"/>
      <c r="H289" s="19" t="s">
        <v>6</v>
      </c>
      <c r="I289" s="23">
        <f t="shared" si="61"/>
        <v>26</v>
      </c>
      <c r="J289" s="83"/>
      <c r="K289" s="83"/>
      <c r="L289" s="83"/>
      <c r="M289" s="83">
        <v>26</v>
      </c>
      <c r="N289" s="83"/>
      <c r="O289" s="83"/>
      <c r="P289" s="145"/>
    </row>
    <row r="290" spans="2:17" s="21" customFormat="1" outlineLevel="1" x14ac:dyDescent="0.2">
      <c r="B290" s="141"/>
      <c r="C290" s="133"/>
      <c r="D290" s="141"/>
      <c r="E290" s="119"/>
      <c r="F290" s="141"/>
      <c r="G290" s="141"/>
      <c r="H290" s="19" t="s">
        <v>5</v>
      </c>
      <c r="I290" s="23">
        <f t="shared" si="61"/>
        <v>0</v>
      </c>
      <c r="J290" s="83"/>
      <c r="K290" s="83"/>
      <c r="L290" s="83"/>
      <c r="M290" s="83"/>
      <c r="N290" s="83"/>
      <c r="O290" s="83"/>
      <c r="P290" s="146"/>
    </row>
    <row r="291" spans="2:17" s="21" customFormat="1" ht="42.75" outlineLevel="1" x14ac:dyDescent="0.2">
      <c r="B291" s="139" t="s">
        <v>221</v>
      </c>
      <c r="C291" s="139"/>
      <c r="D291" s="139" t="s">
        <v>39</v>
      </c>
      <c r="E291" s="117">
        <v>2021</v>
      </c>
      <c r="F291" s="139" t="s">
        <v>222</v>
      </c>
      <c r="G291" s="139" t="s">
        <v>63</v>
      </c>
      <c r="H291" s="19" t="s">
        <v>3</v>
      </c>
      <c r="I291" s="23">
        <f t="shared" si="61"/>
        <v>20.327000000000002</v>
      </c>
      <c r="J291" s="83">
        <f t="shared" ref="J291:O291" si="73">J292+J293+J294</f>
        <v>0</v>
      </c>
      <c r="K291" s="83">
        <f t="shared" si="73"/>
        <v>20.327000000000002</v>
      </c>
      <c r="L291" s="83">
        <f t="shared" si="73"/>
        <v>0</v>
      </c>
      <c r="M291" s="83">
        <f t="shared" si="73"/>
        <v>0</v>
      </c>
      <c r="N291" s="83">
        <f t="shared" si="73"/>
        <v>0</v>
      </c>
      <c r="O291" s="83">
        <f t="shared" si="73"/>
        <v>0</v>
      </c>
      <c r="P291" s="144"/>
    </row>
    <row r="292" spans="2:17" s="21" customFormat="1" outlineLevel="1" x14ac:dyDescent="0.2">
      <c r="B292" s="140"/>
      <c r="C292" s="132"/>
      <c r="D292" s="140"/>
      <c r="E292" s="118"/>
      <c r="F292" s="140"/>
      <c r="G292" s="140"/>
      <c r="H292" s="19" t="s">
        <v>4</v>
      </c>
      <c r="I292" s="23">
        <f t="shared" si="61"/>
        <v>0</v>
      </c>
      <c r="J292" s="83"/>
      <c r="K292" s="83"/>
      <c r="L292" s="83"/>
      <c r="M292" s="83"/>
      <c r="N292" s="83"/>
      <c r="O292" s="83"/>
      <c r="P292" s="145"/>
    </row>
    <row r="293" spans="2:17" s="21" customFormat="1" outlineLevel="1" x14ac:dyDescent="0.2">
      <c r="B293" s="140"/>
      <c r="C293" s="132"/>
      <c r="D293" s="140"/>
      <c r="E293" s="118"/>
      <c r="F293" s="140"/>
      <c r="G293" s="140"/>
      <c r="H293" s="19" t="s">
        <v>6</v>
      </c>
      <c r="I293" s="23">
        <f t="shared" si="61"/>
        <v>20.327000000000002</v>
      </c>
      <c r="J293" s="83"/>
      <c r="K293" s="83">
        <v>20.327000000000002</v>
      </c>
      <c r="L293" s="83"/>
      <c r="M293" s="83"/>
      <c r="N293" s="83"/>
      <c r="O293" s="83"/>
      <c r="P293" s="145"/>
    </row>
    <row r="294" spans="2:17" s="21" customFormat="1" outlineLevel="1" x14ac:dyDescent="0.2">
      <c r="B294" s="141"/>
      <c r="C294" s="133"/>
      <c r="D294" s="141"/>
      <c r="E294" s="119"/>
      <c r="F294" s="141"/>
      <c r="G294" s="141"/>
      <c r="H294" s="19" t="s">
        <v>5</v>
      </c>
      <c r="I294" s="23">
        <f t="shared" si="61"/>
        <v>0</v>
      </c>
      <c r="J294" s="83"/>
      <c r="K294" s="83"/>
      <c r="L294" s="83"/>
      <c r="M294" s="83"/>
      <c r="N294" s="83"/>
      <c r="O294" s="83"/>
      <c r="P294" s="146"/>
    </row>
    <row r="295" spans="2:17" ht="42.75" x14ac:dyDescent="0.2">
      <c r="B295" s="128" t="s">
        <v>46</v>
      </c>
      <c r="C295" s="128" t="s">
        <v>38</v>
      </c>
      <c r="D295" s="128" t="s">
        <v>38</v>
      </c>
      <c r="E295" s="128" t="s">
        <v>38</v>
      </c>
      <c r="F295" s="128" t="s">
        <v>38</v>
      </c>
      <c r="G295" s="128" t="s">
        <v>38</v>
      </c>
      <c r="H295" s="84" t="s">
        <v>3</v>
      </c>
      <c r="I295" s="25">
        <f t="shared" ref="I295:O295" si="74">SUMIF($H$243:$H$294,"Объем*",I$243:I$294)</f>
        <v>320.30100000000004</v>
      </c>
      <c r="J295" s="25">
        <f t="shared" si="74"/>
        <v>0.8</v>
      </c>
      <c r="K295" s="25">
        <f t="shared" si="74"/>
        <v>73.021000000000001</v>
      </c>
      <c r="L295" s="25">
        <f t="shared" si="74"/>
        <v>0</v>
      </c>
      <c r="M295" s="25">
        <f t="shared" si="74"/>
        <v>216.21</v>
      </c>
      <c r="N295" s="25">
        <f t="shared" si="74"/>
        <v>27.369999999999997</v>
      </c>
      <c r="O295" s="25">
        <f t="shared" si="74"/>
        <v>2.9</v>
      </c>
      <c r="P295" s="128"/>
      <c r="Q295" s="7"/>
    </row>
    <row r="296" spans="2:17" ht="15.75" x14ac:dyDescent="0.2">
      <c r="B296" s="129"/>
      <c r="C296" s="129"/>
      <c r="D296" s="129"/>
      <c r="E296" s="129"/>
      <c r="F296" s="129"/>
      <c r="G296" s="129"/>
      <c r="H296" s="84" t="s">
        <v>4</v>
      </c>
      <c r="I296" s="25">
        <f t="shared" ref="I296:O296" si="75">SUMIF($H$243:$H$294,"фед*",I$243:I$294)</f>
        <v>115.59</v>
      </c>
      <c r="J296" s="25">
        <f t="shared" si="75"/>
        <v>0</v>
      </c>
      <c r="K296" s="25">
        <f t="shared" si="75"/>
        <v>0</v>
      </c>
      <c r="L296" s="25">
        <f t="shared" si="75"/>
        <v>0</v>
      </c>
      <c r="M296" s="25">
        <f t="shared" si="75"/>
        <v>115.59</v>
      </c>
      <c r="N296" s="25">
        <f t="shared" si="75"/>
        <v>0</v>
      </c>
      <c r="O296" s="25">
        <f t="shared" si="75"/>
        <v>0</v>
      </c>
      <c r="P296" s="129"/>
    </row>
    <row r="297" spans="2:17" ht="15.75" x14ac:dyDescent="0.2">
      <c r="B297" s="129"/>
      <c r="C297" s="129"/>
      <c r="D297" s="129"/>
      <c r="E297" s="129"/>
      <c r="F297" s="129"/>
      <c r="G297" s="129"/>
      <c r="H297" s="84" t="s">
        <v>6</v>
      </c>
      <c r="I297" s="25">
        <f t="shared" ref="I297:O297" si="76">SUMIF($H$243:$H$294,"конс*",I$243:I$294)</f>
        <v>204.71100000000001</v>
      </c>
      <c r="J297" s="25">
        <f t="shared" si="76"/>
        <v>0.8</v>
      </c>
      <c r="K297" s="25">
        <f t="shared" si="76"/>
        <v>73.021000000000001</v>
      </c>
      <c r="L297" s="25">
        <f t="shared" si="76"/>
        <v>0</v>
      </c>
      <c r="M297" s="25">
        <f t="shared" si="76"/>
        <v>100.62</v>
      </c>
      <c r="N297" s="25">
        <f t="shared" si="76"/>
        <v>27.369999999999997</v>
      </c>
      <c r="O297" s="25">
        <f t="shared" si="76"/>
        <v>2.9</v>
      </c>
      <c r="P297" s="129"/>
    </row>
    <row r="298" spans="2:17" ht="15.75" x14ac:dyDescent="0.2">
      <c r="B298" s="130"/>
      <c r="C298" s="130"/>
      <c r="D298" s="130"/>
      <c r="E298" s="130"/>
      <c r="F298" s="130"/>
      <c r="G298" s="130"/>
      <c r="H298" s="84" t="s">
        <v>5</v>
      </c>
      <c r="I298" s="25">
        <f t="shared" ref="I298:O298" si="77">SUMIF($H$243:$H$294,"вне*",I$243:I$294)</f>
        <v>0</v>
      </c>
      <c r="J298" s="25">
        <f t="shared" si="77"/>
        <v>0</v>
      </c>
      <c r="K298" s="25">
        <f t="shared" si="77"/>
        <v>0</v>
      </c>
      <c r="L298" s="25">
        <f t="shared" si="77"/>
        <v>0</v>
      </c>
      <c r="M298" s="25">
        <f t="shared" si="77"/>
        <v>0</v>
      </c>
      <c r="N298" s="25">
        <f t="shared" si="77"/>
        <v>0</v>
      </c>
      <c r="O298" s="25">
        <f t="shared" si="77"/>
        <v>0</v>
      </c>
      <c r="P298" s="130"/>
    </row>
    <row r="299" spans="2:17" ht="25.5" customHeight="1" x14ac:dyDescent="0.2">
      <c r="B299" s="111" t="s">
        <v>223</v>
      </c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3"/>
    </row>
    <row r="300" spans="2:17" s="21" customFormat="1" ht="42.75" customHeight="1" outlineLevel="1" x14ac:dyDescent="0.2">
      <c r="B300" s="117" t="s">
        <v>224</v>
      </c>
      <c r="C300" s="117"/>
      <c r="D300" s="117" t="s">
        <v>223</v>
      </c>
      <c r="E300" s="117">
        <v>2021</v>
      </c>
      <c r="F300" s="117" t="s">
        <v>225</v>
      </c>
      <c r="G300" s="117" t="s">
        <v>226</v>
      </c>
      <c r="H300" s="19" t="s">
        <v>3</v>
      </c>
      <c r="I300" s="83">
        <f>SUM(J300:O300)</f>
        <v>225</v>
      </c>
      <c r="J300" s="83">
        <f t="shared" ref="J300:O300" si="78">J301+J302+J303</f>
        <v>0</v>
      </c>
      <c r="K300" s="83">
        <f t="shared" si="78"/>
        <v>225</v>
      </c>
      <c r="L300" s="83">
        <f t="shared" si="78"/>
        <v>0</v>
      </c>
      <c r="M300" s="83">
        <f t="shared" si="78"/>
        <v>0</v>
      </c>
      <c r="N300" s="83">
        <f t="shared" si="78"/>
        <v>0</v>
      </c>
      <c r="O300" s="83">
        <f t="shared" si="78"/>
        <v>0</v>
      </c>
      <c r="P300" s="139">
        <v>18165</v>
      </c>
    </row>
    <row r="301" spans="2:17" s="21" customFormat="1" outlineLevel="1" x14ac:dyDescent="0.2">
      <c r="B301" s="118"/>
      <c r="C301" s="132"/>
      <c r="D301" s="118"/>
      <c r="E301" s="118"/>
      <c r="F301" s="118"/>
      <c r="G301" s="118"/>
      <c r="H301" s="19" t="s">
        <v>4</v>
      </c>
      <c r="I301" s="83">
        <f t="shared" ref="I301:I364" si="79">SUM(J301:O301)</f>
        <v>0</v>
      </c>
      <c r="J301" s="83"/>
      <c r="K301" s="83"/>
      <c r="L301" s="83"/>
      <c r="M301" s="83"/>
      <c r="N301" s="83"/>
      <c r="O301" s="83"/>
      <c r="P301" s="140"/>
    </row>
    <row r="302" spans="2:17" s="21" customFormat="1" outlineLevel="1" x14ac:dyDescent="0.2">
      <c r="B302" s="118"/>
      <c r="C302" s="132"/>
      <c r="D302" s="118"/>
      <c r="E302" s="118"/>
      <c r="F302" s="118"/>
      <c r="G302" s="118"/>
      <c r="H302" s="19" t="s">
        <v>6</v>
      </c>
      <c r="I302" s="83">
        <f t="shared" si="79"/>
        <v>225</v>
      </c>
      <c r="J302" s="83"/>
      <c r="K302" s="83">
        <v>225</v>
      </c>
      <c r="L302" s="83"/>
      <c r="M302" s="83"/>
      <c r="N302" s="83"/>
      <c r="O302" s="83"/>
      <c r="P302" s="140"/>
    </row>
    <row r="303" spans="2:17" s="21" customFormat="1" outlineLevel="1" x14ac:dyDescent="0.2">
      <c r="B303" s="119"/>
      <c r="C303" s="133"/>
      <c r="D303" s="119"/>
      <c r="E303" s="119"/>
      <c r="F303" s="119"/>
      <c r="G303" s="119"/>
      <c r="H303" s="19" t="s">
        <v>5</v>
      </c>
      <c r="I303" s="83">
        <f t="shared" si="79"/>
        <v>0</v>
      </c>
      <c r="J303" s="83"/>
      <c r="K303" s="83"/>
      <c r="L303" s="83"/>
      <c r="M303" s="83"/>
      <c r="N303" s="83"/>
      <c r="O303" s="83"/>
      <c r="P303" s="141"/>
    </row>
    <row r="304" spans="2:17" s="21" customFormat="1" ht="42.75" customHeight="1" outlineLevel="1" x14ac:dyDescent="0.2">
      <c r="B304" s="117" t="s">
        <v>227</v>
      </c>
      <c r="C304" s="117"/>
      <c r="D304" s="117" t="s">
        <v>223</v>
      </c>
      <c r="E304" s="117">
        <v>2021</v>
      </c>
      <c r="F304" s="117" t="s">
        <v>228</v>
      </c>
      <c r="G304" s="117" t="s">
        <v>226</v>
      </c>
      <c r="H304" s="19" t="s">
        <v>3</v>
      </c>
      <c r="I304" s="83">
        <f t="shared" si="79"/>
        <v>94</v>
      </c>
      <c r="J304" s="83">
        <f t="shared" ref="J304:O304" si="80">J305+J306+J307</f>
        <v>0</v>
      </c>
      <c r="K304" s="83">
        <f t="shared" si="80"/>
        <v>94</v>
      </c>
      <c r="L304" s="83">
        <f t="shared" si="80"/>
        <v>0</v>
      </c>
      <c r="M304" s="83">
        <f t="shared" si="80"/>
        <v>0</v>
      </c>
      <c r="N304" s="83">
        <f t="shared" si="80"/>
        <v>0</v>
      </c>
      <c r="O304" s="83">
        <f t="shared" si="80"/>
        <v>0</v>
      </c>
      <c r="P304" s="139"/>
    </row>
    <row r="305" spans="2:16" s="21" customFormat="1" outlineLevel="1" x14ac:dyDescent="0.2">
      <c r="B305" s="118"/>
      <c r="C305" s="132"/>
      <c r="D305" s="118"/>
      <c r="E305" s="118"/>
      <c r="F305" s="118"/>
      <c r="G305" s="118"/>
      <c r="H305" s="19" t="s">
        <v>4</v>
      </c>
      <c r="I305" s="83">
        <f t="shared" si="79"/>
        <v>0</v>
      </c>
      <c r="J305" s="83"/>
      <c r="K305" s="83"/>
      <c r="L305" s="83"/>
      <c r="M305" s="83"/>
      <c r="N305" s="83"/>
      <c r="O305" s="83"/>
      <c r="P305" s="140"/>
    </row>
    <row r="306" spans="2:16" s="21" customFormat="1" outlineLevel="1" x14ac:dyDescent="0.2">
      <c r="B306" s="118"/>
      <c r="C306" s="132"/>
      <c r="D306" s="118"/>
      <c r="E306" s="118"/>
      <c r="F306" s="118"/>
      <c r="G306" s="118"/>
      <c r="H306" s="19" t="s">
        <v>6</v>
      </c>
      <c r="I306" s="83">
        <f t="shared" si="79"/>
        <v>94</v>
      </c>
      <c r="J306" s="83"/>
      <c r="K306" s="83">
        <v>94</v>
      </c>
      <c r="L306" s="83"/>
      <c r="M306" s="83"/>
      <c r="N306" s="83"/>
      <c r="O306" s="83"/>
      <c r="P306" s="140"/>
    </row>
    <row r="307" spans="2:16" s="21" customFormat="1" ht="28.5" customHeight="1" outlineLevel="1" x14ac:dyDescent="0.2">
      <c r="B307" s="119"/>
      <c r="C307" s="133"/>
      <c r="D307" s="119"/>
      <c r="E307" s="119"/>
      <c r="F307" s="119"/>
      <c r="G307" s="119"/>
      <c r="H307" s="19" t="s">
        <v>5</v>
      </c>
      <c r="I307" s="83">
        <f t="shared" si="79"/>
        <v>0</v>
      </c>
      <c r="J307" s="83"/>
      <c r="K307" s="83"/>
      <c r="L307" s="83"/>
      <c r="M307" s="83"/>
      <c r="N307" s="83"/>
      <c r="O307" s="83"/>
      <c r="P307" s="141"/>
    </row>
    <row r="308" spans="2:16" s="21" customFormat="1" ht="42.75" customHeight="1" outlineLevel="1" x14ac:dyDescent="0.2">
      <c r="B308" s="117" t="s">
        <v>229</v>
      </c>
      <c r="C308" s="117"/>
      <c r="D308" s="117" t="s">
        <v>223</v>
      </c>
      <c r="E308" s="117">
        <v>2024</v>
      </c>
      <c r="F308" s="117" t="s">
        <v>230</v>
      </c>
      <c r="G308" s="117" t="s">
        <v>83</v>
      </c>
      <c r="H308" s="19" t="s">
        <v>3</v>
      </c>
      <c r="I308" s="83">
        <f t="shared" si="79"/>
        <v>16.899999999999999</v>
      </c>
      <c r="J308" s="83">
        <f t="shared" ref="J308:O308" si="81">J309+J310+J311</f>
        <v>0</v>
      </c>
      <c r="K308" s="83">
        <f t="shared" si="81"/>
        <v>0</v>
      </c>
      <c r="L308" s="83">
        <f t="shared" si="81"/>
        <v>0</v>
      </c>
      <c r="M308" s="83">
        <f t="shared" si="81"/>
        <v>0</v>
      </c>
      <c r="N308" s="83">
        <f t="shared" si="81"/>
        <v>16.899999999999999</v>
      </c>
      <c r="O308" s="83">
        <f t="shared" si="81"/>
        <v>0</v>
      </c>
      <c r="P308" s="139"/>
    </row>
    <row r="309" spans="2:16" s="21" customFormat="1" ht="25.5" customHeight="1" outlineLevel="1" x14ac:dyDescent="0.2">
      <c r="B309" s="118"/>
      <c r="C309" s="132"/>
      <c r="D309" s="132"/>
      <c r="E309" s="118"/>
      <c r="F309" s="118"/>
      <c r="G309" s="118"/>
      <c r="H309" s="19" t="s">
        <v>4</v>
      </c>
      <c r="I309" s="83">
        <f t="shared" si="79"/>
        <v>0</v>
      </c>
      <c r="J309" s="83"/>
      <c r="K309" s="83"/>
      <c r="L309" s="83"/>
      <c r="M309" s="83"/>
      <c r="N309" s="83"/>
      <c r="O309" s="83"/>
      <c r="P309" s="140"/>
    </row>
    <row r="310" spans="2:16" s="21" customFormat="1" ht="25.5" customHeight="1" outlineLevel="1" x14ac:dyDescent="0.2">
      <c r="B310" s="118"/>
      <c r="C310" s="132"/>
      <c r="D310" s="132"/>
      <c r="E310" s="118"/>
      <c r="F310" s="118"/>
      <c r="G310" s="118"/>
      <c r="H310" s="19" t="s">
        <v>6</v>
      </c>
      <c r="I310" s="83">
        <f t="shared" si="79"/>
        <v>16.899999999999999</v>
      </c>
      <c r="J310" s="83"/>
      <c r="K310" s="83"/>
      <c r="L310" s="83"/>
      <c r="M310" s="83"/>
      <c r="N310" s="83">
        <v>16.899999999999999</v>
      </c>
      <c r="O310" s="83"/>
      <c r="P310" s="140"/>
    </row>
    <row r="311" spans="2:16" s="21" customFormat="1" outlineLevel="1" x14ac:dyDescent="0.2">
      <c r="B311" s="119"/>
      <c r="C311" s="133"/>
      <c r="D311" s="133"/>
      <c r="E311" s="119"/>
      <c r="F311" s="119"/>
      <c r="G311" s="119"/>
      <c r="H311" s="19" t="s">
        <v>5</v>
      </c>
      <c r="I311" s="83">
        <f t="shared" si="79"/>
        <v>0</v>
      </c>
      <c r="J311" s="83"/>
      <c r="K311" s="83"/>
      <c r="L311" s="83"/>
      <c r="M311" s="83"/>
      <c r="N311" s="83"/>
      <c r="O311" s="83"/>
      <c r="P311" s="141"/>
    </row>
    <row r="312" spans="2:16" s="21" customFormat="1" ht="42.75" customHeight="1" outlineLevel="1" x14ac:dyDescent="0.2">
      <c r="B312" s="117" t="s">
        <v>231</v>
      </c>
      <c r="C312" s="117"/>
      <c r="D312" s="117" t="s">
        <v>223</v>
      </c>
      <c r="E312" s="117">
        <v>2025</v>
      </c>
      <c r="F312" s="117" t="s">
        <v>232</v>
      </c>
      <c r="G312" s="117" t="s">
        <v>83</v>
      </c>
      <c r="H312" s="19" t="s">
        <v>3</v>
      </c>
      <c r="I312" s="83">
        <f t="shared" si="79"/>
        <v>10</v>
      </c>
      <c r="J312" s="83">
        <f t="shared" ref="J312:O312" si="82">J313+J314+J315</f>
        <v>0</v>
      </c>
      <c r="K312" s="83">
        <f t="shared" si="82"/>
        <v>0</v>
      </c>
      <c r="L312" s="83">
        <f t="shared" si="82"/>
        <v>0</v>
      </c>
      <c r="M312" s="83">
        <f t="shared" si="82"/>
        <v>0</v>
      </c>
      <c r="N312" s="83">
        <f t="shared" si="82"/>
        <v>0</v>
      </c>
      <c r="O312" s="83">
        <f t="shared" si="82"/>
        <v>10</v>
      </c>
      <c r="P312" s="139"/>
    </row>
    <row r="313" spans="2:16" s="21" customFormat="1" outlineLevel="1" x14ac:dyDescent="0.2">
      <c r="B313" s="118"/>
      <c r="C313" s="132"/>
      <c r="D313" s="118"/>
      <c r="E313" s="118"/>
      <c r="F313" s="118"/>
      <c r="G313" s="118"/>
      <c r="H313" s="19" t="s">
        <v>4</v>
      </c>
      <c r="I313" s="83">
        <f t="shared" si="79"/>
        <v>0</v>
      </c>
      <c r="J313" s="83"/>
      <c r="K313" s="83"/>
      <c r="L313" s="83"/>
      <c r="M313" s="83"/>
      <c r="N313" s="83"/>
      <c r="O313" s="83"/>
      <c r="P313" s="140"/>
    </row>
    <row r="314" spans="2:16" s="21" customFormat="1" outlineLevel="1" x14ac:dyDescent="0.2">
      <c r="B314" s="118"/>
      <c r="C314" s="132"/>
      <c r="D314" s="118"/>
      <c r="E314" s="118"/>
      <c r="F314" s="118"/>
      <c r="G314" s="118"/>
      <c r="H314" s="19" t="s">
        <v>6</v>
      </c>
      <c r="I314" s="83">
        <f t="shared" si="79"/>
        <v>10</v>
      </c>
      <c r="J314" s="83"/>
      <c r="K314" s="83"/>
      <c r="L314" s="83"/>
      <c r="M314" s="83"/>
      <c r="N314" s="83"/>
      <c r="O314" s="83">
        <v>10</v>
      </c>
      <c r="P314" s="140"/>
    </row>
    <row r="315" spans="2:16" s="21" customFormat="1" outlineLevel="1" x14ac:dyDescent="0.2">
      <c r="B315" s="119"/>
      <c r="C315" s="133"/>
      <c r="D315" s="119"/>
      <c r="E315" s="119"/>
      <c r="F315" s="119"/>
      <c r="G315" s="119"/>
      <c r="H315" s="19" t="s">
        <v>5</v>
      </c>
      <c r="I315" s="83">
        <f t="shared" si="79"/>
        <v>0</v>
      </c>
      <c r="J315" s="83"/>
      <c r="K315" s="83"/>
      <c r="L315" s="83"/>
      <c r="M315" s="83"/>
      <c r="N315" s="83"/>
      <c r="O315" s="83"/>
      <c r="P315" s="141"/>
    </row>
    <row r="316" spans="2:16" s="21" customFormat="1" ht="42.75" customHeight="1" outlineLevel="1" x14ac:dyDescent="0.2">
      <c r="B316" s="117" t="s">
        <v>233</v>
      </c>
      <c r="C316" s="117"/>
      <c r="D316" s="117" t="s">
        <v>223</v>
      </c>
      <c r="E316" s="117">
        <v>2024</v>
      </c>
      <c r="F316" s="117" t="s">
        <v>234</v>
      </c>
      <c r="G316" s="117" t="s">
        <v>83</v>
      </c>
      <c r="H316" s="19" t="s">
        <v>3</v>
      </c>
      <c r="I316" s="83">
        <f t="shared" si="79"/>
        <v>5.4</v>
      </c>
      <c r="J316" s="83">
        <f t="shared" ref="J316:O316" si="83">J317+J318+J319</f>
        <v>0</v>
      </c>
      <c r="K316" s="83">
        <f t="shared" si="83"/>
        <v>0</v>
      </c>
      <c r="L316" s="83">
        <f t="shared" si="83"/>
        <v>0</v>
      </c>
      <c r="M316" s="83">
        <f t="shared" si="83"/>
        <v>0</v>
      </c>
      <c r="N316" s="83">
        <f t="shared" si="83"/>
        <v>5.4</v>
      </c>
      <c r="O316" s="83">
        <f t="shared" si="83"/>
        <v>0</v>
      </c>
      <c r="P316" s="139"/>
    </row>
    <row r="317" spans="2:16" s="21" customFormat="1" outlineLevel="1" x14ac:dyDescent="0.2">
      <c r="B317" s="118"/>
      <c r="C317" s="132"/>
      <c r="D317" s="118"/>
      <c r="E317" s="118"/>
      <c r="F317" s="118"/>
      <c r="G317" s="118"/>
      <c r="H317" s="19" t="s">
        <v>4</v>
      </c>
      <c r="I317" s="83">
        <f t="shared" si="79"/>
        <v>0</v>
      </c>
      <c r="J317" s="83"/>
      <c r="K317" s="83"/>
      <c r="L317" s="83"/>
      <c r="M317" s="83"/>
      <c r="N317" s="83"/>
      <c r="O317" s="83"/>
      <c r="P317" s="140"/>
    </row>
    <row r="318" spans="2:16" s="21" customFormat="1" outlineLevel="1" x14ac:dyDescent="0.2">
      <c r="B318" s="118"/>
      <c r="C318" s="132"/>
      <c r="D318" s="118"/>
      <c r="E318" s="118"/>
      <c r="F318" s="118"/>
      <c r="G318" s="118"/>
      <c r="H318" s="19" t="s">
        <v>6</v>
      </c>
      <c r="I318" s="83">
        <f t="shared" si="79"/>
        <v>5.4</v>
      </c>
      <c r="J318" s="83"/>
      <c r="K318" s="83"/>
      <c r="L318" s="83"/>
      <c r="M318" s="83"/>
      <c r="N318" s="83">
        <v>5.4</v>
      </c>
      <c r="O318" s="83"/>
      <c r="P318" s="140"/>
    </row>
    <row r="319" spans="2:16" s="21" customFormat="1" ht="28.5" customHeight="1" outlineLevel="1" x14ac:dyDescent="0.2">
      <c r="B319" s="119"/>
      <c r="C319" s="133"/>
      <c r="D319" s="119"/>
      <c r="E319" s="119"/>
      <c r="F319" s="119"/>
      <c r="G319" s="119"/>
      <c r="H319" s="19" t="s">
        <v>5</v>
      </c>
      <c r="I319" s="83">
        <f t="shared" si="79"/>
        <v>0</v>
      </c>
      <c r="J319" s="83"/>
      <c r="K319" s="83"/>
      <c r="L319" s="83"/>
      <c r="M319" s="83"/>
      <c r="N319" s="83"/>
      <c r="O319" s="83"/>
      <c r="P319" s="141"/>
    </row>
    <row r="320" spans="2:16" s="21" customFormat="1" ht="42.75" customHeight="1" outlineLevel="1" x14ac:dyDescent="0.2">
      <c r="B320" s="117" t="s">
        <v>235</v>
      </c>
      <c r="C320" s="117"/>
      <c r="D320" s="117" t="s">
        <v>223</v>
      </c>
      <c r="E320" s="117">
        <v>2020</v>
      </c>
      <c r="F320" s="117" t="s">
        <v>236</v>
      </c>
      <c r="G320" s="117" t="s">
        <v>101</v>
      </c>
      <c r="H320" s="19" t="s">
        <v>3</v>
      </c>
      <c r="I320" s="83">
        <f t="shared" si="79"/>
        <v>3.7</v>
      </c>
      <c r="J320" s="83">
        <v>3.7</v>
      </c>
      <c r="K320" s="83">
        <f t="shared" ref="K320:O320" si="84">K321+K322+K323</f>
        <v>0</v>
      </c>
      <c r="L320" s="83">
        <f t="shared" si="84"/>
        <v>0</v>
      </c>
      <c r="M320" s="83">
        <f t="shared" si="84"/>
        <v>0</v>
      </c>
      <c r="N320" s="83">
        <v>0</v>
      </c>
      <c r="O320" s="83">
        <f t="shared" si="84"/>
        <v>0</v>
      </c>
      <c r="P320" s="139">
        <v>15000</v>
      </c>
    </row>
    <row r="321" spans="2:16" s="21" customFormat="1" outlineLevel="1" x14ac:dyDescent="0.2">
      <c r="B321" s="118"/>
      <c r="C321" s="132"/>
      <c r="D321" s="132"/>
      <c r="E321" s="118"/>
      <c r="F321" s="118"/>
      <c r="G321" s="118"/>
      <c r="H321" s="19" t="s">
        <v>4</v>
      </c>
      <c r="I321" s="83">
        <f t="shared" si="79"/>
        <v>0</v>
      </c>
      <c r="J321" s="83"/>
      <c r="K321" s="83"/>
      <c r="L321" s="83"/>
      <c r="M321" s="83"/>
      <c r="N321" s="83"/>
      <c r="O321" s="83"/>
      <c r="P321" s="140"/>
    </row>
    <row r="322" spans="2:16" s="21" customFormat="1" outlineLevel="1" x14ac:dyDescent="0.2">
      <c r="B322" s="118"/>
      <c r="C322" s="132"/>
      <c r="D322" s="132"/>
      <c r="E322" s="118"/>
      <c r="F322" s="118"/>
      <c r="G322" s="118"/>
      <c r="H322" s="19" t="s">
        <v>6</v>
      </c>
      <c r="I322" s="83">
        <f t="shared" si="79"/>
        <v>3.7</v>
      </c>
      <c r="J322" s="83">
        <v>3.7</v>
      </c>
      <c r="K322" s="83"/>
      <c r="L322" s="83"/>
      <c r="M322" s="83"/>
      <c r="N322" s="83"/>
      <c r="O322" s="83"/>
      <c r="P322" s="140"/>
    </row>
    <row r="323" spans="2:16" s="21" customFormat="1" outlineLevel="1" x14ac:dyDescent="0.2">
      <c r="B323" s="119"/>
      <c r="C323" s="133"/>
      <c r="D323" s="133"/>
      <c r="E323" s="119"/>
      <c r="F323" s="119"/>
      <c r="G323" s="119"/>
      <c r="H323" s="19" t="s">
        <v>5</v>
      </c>
      <c r="I323" s="83">
        <f t="shared" si="79"/>
        <v>0</v>
      </c>
      <c r="J323" s="83"/>
      <c r="K323" s="83"/>
      <c r="L323" s="83"/>
      <c r="M323" s="83"/>
      <c r="N323" s="83"/>
      <c r="O323" s="83"/>
      <c r="P323" s="141"/>
    </row>
    <row r="324" spans="2:16" s="21" customFormat="1" ht="42.75" outlineLevel="1" x14ac:dyDescent="0.2">
      <c r="B324" s="117" t="s">
        <v>237</v>
      </c>
      <c r="C324" s="117"/>
      <c r="D324" s="117" t="s">
        <v>223</v>
      </c>
      <c r="E324" s="117">
        <v>2020</v>
      </c>
      <c r="F324" s="117" t="s">
        <v>238</v>
      </c>
      <c r="G324" s="117" t="s">
        <v>101</v>
      </c>
      <c r="H324" s="19" t="s">
        <v>3</v>
      </c>
      <c r="I324" s="83">
        <f t="shared" si="79"/>
        <v>3.3</v>
      </c>
      <c r="J324" s="83">
        <v>3.3</v>
      </c>
      <c r="K324" s="83">
        <f t="shared" ref="K324:N324" si="85">K325+K326+K327</f>
        <v>0</v>
      </c>
      <c r="L324" s="83">
        <f t="shared" si="85"/>
        <v>0</v>
      </c>
      <c r="M324" s="83">
        <f t="shared" si="85"/>
        <v>0</v>
      </c>
      <c r="N324" s="83">
        <f t="shared" si="85"/>
        <v>0</v>
      </c>
      <c r="O324" s="83">
        <v>0</v>
      </c>
      <c r="P324" s="139">
        <v>760</v>
      </c>
    </row>
    <row r="325" spans="2:16" s="21" customFormat="1" outlineLevel="1" x14ac:dyDescent="0.2">
      <c r="B325" s="118"/>
      <c r="C325" s="132"/>
      <c r="D325" s="118"/>
      <c r="E325" s="118"/>
      <c r="F325" s="118"/>
      <c r="G325" s="118"/>
      <c r="H325" s="19" t="s">
        <v>4</v>
      </c>
      <c r="I325" s="83">
        <f t="shared" si="79"/>
        <v>0</v>
      </c>
      <c r="J325" s="83"/>
      <c r="K325" s="83"/>
      <c r="L325" s="83"/>
      <c r="M325" s="83"/>
      <c r="N325" s="83"/>
      <c r="O325" s="83"/>
      <c r="P325" s="140"/>
    </row>
    <row r="326" spans="2:16" s="21" customFormat="1" outlineLevel="1" x14ac:dyDescent="0.2">
      <c r="B326" s="118"/>
      <c r="C326" s="132"/>
      <c r="D326" s="118"/>
      <c r="E326" s="118"/>
      <c r="F326" s="118"/>
      <c r="G326" s="118"/>
      <c r="H326" s="19" t="s">
        <v>6</v>
      </c>
      <c r="I326" s="83">
        <f t="shared" si="79"/>
        <v>3.3</v>
      </c>
      <c r="J326" s="83">
        <v>3.3</v>
      </c>
      <c r="K326" s="83"/>
      <c r="L326" s="83"/>
      <c r="M326" s="83"/>
      <c r="N326" s="83"/>
      <c r="O326" s="83"/>
      <c r="P326" s="140"/>
    </row>
    <row r="327" spans="2:16" s="21" customFormat="1" outlineLevel="1" x14ac:dyDescent="0.2">
      <c r="B327" s="119"/>
      <c r="C327" s="133"/>
      <c r="D327" s="119"/>
      <c r="E327" s="119"/>
      <c r="F327" s="119"/>
      <c r="G327" s="119"/>
      <c r="H327" s="19" t="s">
        <v>5</v>
      </c>
      <c r="I327" s="83">
        <f t="shared" si="79"/>
        <v>0</v>
      </c>
      <c r="J327" s="83"/>
      <c r="K327" s="83"/>
      <c r="L327" s="83"/>
      <c r="M327" s="83"/>
      <c r="N327" s="83"/>
      <c r="O327" s="83"/>
      <c r="P327" s="141"/>
    </row>
    <row r="328" spans="2:16" s="21" customFormat="1" ht="42.75" outlineLevel="1" x14ac:dyDescent="0.2">
      <c r="B328" s="117" t="s">
        <v>239</v>
      </c>
      <c r="C328" s="117"/>
      <c r="D328" s="117" t="s">
        <v>223</v>
      </c>
      <c r="E328" s="117">
        <v>2020</v>
      </c>
      <c r="F328" s="117" t="s">
        <v>240</v>
      </c>
      <c r="G328" s="117" t="s">
        <v>101</v>
      </c>
      <c r="H328" s="19" t="s">
        <v>3</v>
      </c>
      <c r="I328" s="83">
        <f t="shared" si="79"/>
        <v>2.5</v>
      </c>
      <c r="J328" s="83">
        <v>2.5</v>
      </c>
      <c r="K328" s="83">
        <f t="shared" ref="K328:O328" si="86">K329+K330+K331</f>
        <v>0</v>
      </c>
      <c r="L328" s="83">
        <f t="shared" si="86"/>
        <v>0</v>
      </c>
      <c r="M328" s="83">
        <f t="shared" si="86"/>
        <v>0</v>
      </c>
      <c r="N328" s="83">
        <v>0</v>
      </c>
      <c r="O328" s="83">
        <f t="shared" si="86"/>
        <v>0</v>
      </c>
      <c r="P328" s="139">
        <v>881</v>
      </c>
    </row>
    <row r="329" spans="2:16" s="21" customFormat="1" outlineLevel="1" x14ac:dyDescent="0.2">
      <c r="B329" s="118"/>
      <c r="C329" s="132"/>
      <c r="D329" s="118"/>
      <c r="E329" s="118"/>
      <c r="F329" s="118"/>
      <c r="G329" s="118"/>
      <c r="H329" s="19" t="s">
        <v>4</v>
      </c>
      <c r="I329" s="83">
        <f t="shared" si="79"/>
        <v>0</v>
      </c>
      <c r="J329" s="83"/>
      <c r="K329" s="83"/>
      <c r="L329" s="83"/>
      <c r="M329" s="83"/>
      <c r="N329" s="83"/>
      <c r="O329" s="83"/>
      <c r="P329" s="140"/>
    </row>
    <row r="330" spans="2:16" s="21" customFormat="1" outlineLevel="1" x14ac:dyDescent="0.2">
      <c r="B330" s="118"/>
      <c r="C330" s="132"/>
      <c r="D330" s="118"/>
      <c r="E330" s="118"/>
      <c r="F330" s="118"/>
      <c r="G330" s="118"/>
      <c r="H330" s="19" t="s">
        <v>6</v>
      </c>
      <c r="I330" s="83">
        <f t="shared" si="79"/>
        <v>2.5</v>
      </c>
      <c r="J330" s="83">
        <v>2.5</v>
      </c>
      <c r="K330" s="83"/>
      <c r="L330" s="83"/>
      <c r="M330" s="83"/>
      <c r="N330" s="83"/>
      <c r="O330" s="83"/>
      <c r="P330" s="140"/>
    </row>
    <row r="331" spans="2:16" s="21" customFormat="1" outlineLevel="1" x14ac:dyDescent="0.2">
      <c r="B331" s="119"/>
      <c r="C331" s="133"/>
      <c r="D331" s="119"/>
      <c r="E331" s="119"/>
      <c r="F331" s="119"/>
      <c r="G331" s="119"/>
      <c r="H331" s="19" t="s">
        <v>5</v>
      </c>
      <c r="I331" s="83">
        <f t="shared" si="79"/>
        <v>0</v>
      </c>
      <c r="J331" s="83"/>
      <c r="K331" s="83"/>
      <c r="L331" s="83"/>
      <c r="M331" s="83"/>
      <c r="N331" s="83"/>
      <c r="O331" s="83"/>
      <c r="P331" s="141"/>
    </row>
    <row r="332" spans="2:16" s="21" customFormat="1" ht="42.75" customHeight="1" outlineLevel="1" x14ac:dyDescent="0.2">
      <c r="B332" s="117" t="s">
        <v>241</v>
      </c>
      <c r="C332" s="117"/>
      <c r="D332" s="117" t="s">
        <v>223</v>
      </c>
      <c r="E332" s="117">
        <v>2021</v>
      </c>
      <c r="F332" s="117" t="s">
        <v>242</v>
      </c>
      <c r="G332" s="117" t="s">
        <v>101</v>
      </c>
      <c r="H332" s="19" t="s">
        <v>3</v>
      </c>
      <c r="I332" s="83">
        <f t="shared" si="79"/>
        <v>105.6</v>
      </c>
      <c r="J332" s="83">
        <f t="shared" ref="J332:M332" si="87">J333+J334+J335</f>
        <v>0</v>
      </c>
      <c r="K332" s="83">
        <v>105.6</v>
      </c>
      <c r="L332" s="83">
        <f t="shared" si="87"/>
        <v>0</v>
      </c>
      <c r="M332" s="83">
        <f t="shared" si="87"/>
        <v>0</v>
      </c>
      <c r="N332" s="83">
        <v>0</v>
      </c>
      <c r="O332" s="83">
        <f t="shared" ref="O332" si="88">O333+O334+O335</f>
        <v>0</v>
      </c>
      <c r="P332" s="139">
        <v>4500</v>
      </c>
    </row>
    <row r="333" spans="2:16" s="21" customFormat="1" outlineLevel="1" x14ac:dyDescent="0.2">
      <c r="B333" s="118"/>
      <c r="C333" s="132"/>
      <c r="D333" s="132"/>
      <c r="E333" s="118"/>
      <c r="F333" s="118"/>
      <c r="G333" s="118"/>
      <c r="H333" s="19" t="s">
        <v>4</v>
      </c>
      <c r="I333" s="83">
        <f t="shared" si="79"/>
        <v>0</v>
      </c>
      <c r="J333" s="83"/>
      <c r="K333" s="83"/>
      <c r="L333" s="83"/>
      <c r="M333" s="83"/>
      <c r="N333" s="83"/>
      <c r="O333" s="83"/>
      <c r="P333" s="140"/>
    </row>
    <row r="334" spans="2:16" s="21" customFormat="1" outlineLevel="1" x14ac:dyDescent="0.2">
      <c r="B334" s="118"/>
      <c r="C334" s="132"/>
      <c r="D334" s="132"/>
      <c r="E334" s="118"/>
      <c r="F334" s="118"/>
      <c r="G334" s="118"/>
      <c r="H334" s="19" t="s">
        <v>6</v>
      </c>
      <c r="I334" s="83">
        <f t="shared" si="79"/>
        <v>105.6</v>
      </c>
      <c r="J334" s="83"/>
      <c r="K334" s="83">
        <v>105.6</v>
      </c>
      <c r="L334" s="83"/>
      <c r="M334" s="83"/>
      <c r="N334" s="83"/>
      <c r="O334" s="83"/>
      <c r="P334" s="140"/>
    </row>
    <row r="335" spans="2:16" s="21" customFormat="1" outlineLevel="1" x14ac:dyDescent="0.2">
      <c r="B335" s="119"/>
      <c r="C335" s="133"/>
      <c r="D335" s="133"/>
      <c r="E335" s="119"/>
      <c r="F335" s="119"/>
      <c r="G335" s="119"/>
      <c r="H335" s="19" t="s">
        <v>5</v>
      </c>
      <c r="I335" s="83">
        <f t="shared" si="79"/>
        <v>0</v>
      </c>
      <c r="J335" s="83"/>
      <c r="K335" s="83"/>
      <c r="L335" s="83"/>
      <c r="M335" s="83"/>
      <c r="N335" s="83"/>
      <c r="O335" s="83"/>
      <c r="P335" s="141"/>
    </row>
    <row r="336" spans="2:16" s="21" customFormat="1" ht="42.75" outlineLevel="1" x14ac:dyDescent="0.2">
      <c r="B336" s="117" t="s">
        <v>243</v>
      </c>
      <c r="C336" s="117"/>
      <c r="D336" s="117" t="s">
        <v>223</v>
      </c>
      <c r="E336" s="117">
        <v>2021</v>
      </c>
      <c r="F336" s="117" t="s">
        <v>240</v>
      </c>
      <c r="G336" s="117" t="s">
        <v>101</v>
      </c>
      <c r="H336" s="19" t="s">
        <v>3</v>
      </c>
      <c r="I336" s="83">
        <f t="shared" si="79"/>
        <v>2.5</v>
      </c>
      <c r="J336" s="83">
        <f t="shared" ref="J336:N336" si="89">J337+J338+J339</f>
        <v>0</v>
      </c>
      <c r="K336" s="83">
        <v>2.5</v>
      </c>
      <c r="L336" s="83">
        <f t="shared" si="89"/>
        <v>0</v>
      </c>
      <c r="M336" s="83">
        <f t="shared" si="89"/>
        <v>0</v>
      </c>
      <c r="N336" s="83">
        <f t="shared" si="89"/>
        <v>0</v>
      </c>
      <c r="O336" s="83">
        <v>0</v>
      </c>
      <c r="P336" s="139">
        <v>180</v>
      </c>
    </row>
    <row r="337" spans="2:16" s="21" customFormat="1" outlineLevel="1" x14ac:dyDescent="0.2">
      <c r="B337" s="118"/>
      <c r="C337" s="132"/>
      <c r="D337" s="118"/>
      <c r="E337" s="118"/>
      <c r="F337" s="118"/>
      <c r="G337" s="118"/>
      <c r="H337" s="19" t="s">
        <v>4</v>
      </c>
      <c r="I337" s="83">
        <f t="shared" si="79"/>
        <v>0</v>
      </c>
      <c r="J337" s="83"/>
      <c r="K337" s="83"/>
      <c r="L337" s="83"/>
      <c r="M337" s="83"/>
      <c r="N337" s="83"/>
      <c r="O337" s="83"/>
      <c r="P337" s="140"/>
    </row>
    <row r="338" spans="2:16" s="21" customFormat="1" outlineLevel="1" x14ac:dyDescent="0.2">
      <c r="B338" s="118"/>
      <c r="C338" s="132"/>
      <c r="D338" s="118"/>
      <c r="E338" s="118"/>
      <c r="F338" s="118"/>
      <c r="G338" s="118"/>
      <c r="H338" s="19" t="s">
        <v>6</v>
      </c>
      <c r="I338" s="83">
        <f t="shared" si="79"/>
        <v>2.5</v>
      </c>
      <c r="J338" s="83"/>
      <c r="K338" s="83">
        <v>2.5</v>
      </c>
      <c r="L338" s="83"/>
      <c r="M338" s="83"/>
      <c r="N338" s="83"/>
      <c r="O338" s="83"/>
      <c r="P338" s="140"/>
    </row>
    <row r="339" spans="2:16" s="21" customFormat="1" outlineLevel="1" x14ac:dyDescent="0.2">
      <c r="B339" s="119"/>
      <c r="C339" s="133"/>
      <c r="D339" s="119"/>
      <c r="E339" s="119"/>
      <c r="F339" s="119"/>
      <c r="G339" s="119"/>
      <c r="H339" s="19" t="s">
        <v>5</v>
      </c>
      <c r="I339" s="83">
        <f t="shared" si="79"/>
        <v>0</v>
      </c>
      <c r="J339" s="83"/>
      <c r="K339" s="83"/>
      <c r="L339" s="83"/>
      <c r="M339" s="83"/>
      <c r="N339" s="83"/>
      <c r="O339" s="83"/>
      <c r="P339" s="141"/>
    </row>
    <row r="340" spans="2:16" s="21" customFormat="1" ht="42.75" outlineLevel="1" x14ac:dyDescent="0.2">
      <c r="B340" s="117" t="s">
        <v>244</v>
      </c>
      <c r="C340" s="117"/>
      <c r="D340" s="117" t="s">
        <v>223</v>
      </c>
      <c r="E340" s="117">
        <v>2021</v>
      </c>
      <c r="F340" s="117" t="s">
        <v>245</v>
      </c>
      <c r="G340" s="117" t="s">
        <v>101</v>
      </c>
      <c r="H340" s="19" t="s">
        <v>3</v>
      </c>
      <c r="I340" s="83">
        <f t="shared" si="79"/>
        <v>4.2</v>
      </c>
      <c r="J340" s="83">
        <f t="shared" ref="J340:M340" si="90">J341+J342+J343</f>
        <v>0</v>
      </c>
      <c r="K340" s="83">
        <v>4.2</v>
      </c>
      <c r="L340" s="83">
        <f t="shared" si="90"/>
        <v>0</v>
      </c>
      <c r="M340" s="83">
        <f t="shared" si="90"/>
        <v>0</v>
      </c>
      <c r="N340" s="83">
        <v>0</v>
      </c>
      <c r="O340" s="83">
        <f t="shared" ref="O340" si="91">O341+O342+O343</f>
        <v>0</v>
      </c>
      <c r="P340" s="139">
        <v>881</v>
      </c>
    </row>
    <row r="341" spans="2:16" s="21" customFormat="1" outlineLevel="1" x14ac:dyDescent="0.2">
      <c r="B341" s="118"/>
      <c r="C341" s="132"/>
      <c r="D341" s="118"/>
      <c r="E341" s="118"/>
      <c r="F341" s="118"/>
      <c r="G341" s="118"/>
      <c r="H341" s="19" t="s">
        <v>4</v>
      </c>
      <c r="I341" s="83">
        <f t="shared" si="79"/>
        <v>0</v>
      </c>
      <c r="J341" s="83"/>
      <c r="K341" s="83"/>
      <c r="L341" s="83"/>
      <c r="M341" s="83"/>
      <c r="N341" s="83"/>
      <c r="O341" s="83"/>
      <c r="P341" s="140"/>
    </row>
    <row r="342" spans="2:16" s="21" customFormat="1" outlineLevel="1" x14ac:dyDescent="0.2">
      <c r="B342" s="118"/>
      <c r="C342" s="132"/>
      <c r="D342" s="118"/>
      <c r="E342" s="118"/>
      <c r="F342" s="118"/>
      <c r="G342" s="118"/>
      <c r="H342" s="19" t="s">
        <v>6</v>
      </c>
      <c r="I342" s="83">
        <f t="shared" si="79"/>
        <v>4.2</v>
      </c>
      <c r="J342" s="83"/>
      <c r="K342" s="83">
        <v>4.2</v>
      </c>
      <c r="L342" s="83"/>
      <c r="M342" s="83"/>
      <c r="N342" s="83"/>
      <c r="O342" s="83"/>
      <c r="P342" s="140"/>
    </row>
    <row r="343" spans="2:16" s="21" customFormat="1" outlineLevel="1" x14ac:dyDescent="0.2">
      <c r="B343" s="119"/>
      <c r="C343" s="133"/>
      <c r="D343" s="119"/>
      <c r="E343" s="119"/>
      <c r="F343" s="119"/>
      <c r="G343" s="119"/>
      <c r="H343" s="19" t="s">
        <v>5</v>
      </c>
      <c r="I343" s="83">
        <f t="shared" si="79"/>
        <v>0</v>
      </c>
      <c r="J343" s="83"/>
      <c r="K343" s="83"/>
      <c r="L343" s="83"/>
      <c r="M343" s="83"/>
      <c r="N343" s="83"/>
      <c r="O343" s="83"/>
      <c r="P343" s="141"/>
    </row>
    <row r="344" spans="2:16" s="21" customFormat="1" ht="42.75" outlineLevel="1" x14ac:dyDescent="0.2">
      <c r="B344" s="117" t="s">
        <v>246</v>
      </c>
      <c r="C344" s="117"/>
      <c r="D344" s="117" t="s">
        <v>223</v>
      </c>
      <c r="E344" s="117">
        <v>2021</v>
      </c>
      <c r="F344" s="117" t="s">
        <v>247</v>
      </c>
      <c r="G344" s="117" t="s">
        <v>101</v>
      </c>
      <c r="H344" s="19" t="s">
        <v>3</v>
      </c>
      <c r="I344" s="83">
        <f t="shared" si="79"/>
        <v>2.7</v>
      </c>
      <c r="J344" s="83">
        <f t="shared" ref="J344:M344" si="92">J345+J346+J347</f>
        <v>0</v>
      </c>
      <c r="K344" s="83">
        <v>2.7</v>
      </c>
      <c r="L344" s="83">
        <f t="shared" si="92"/>
        <v>0</v>
      </c>
      <c r="M344" s="83">
        <f t="shared" si="92"/>
        <v>0</v>
      </c>
      <c r="N344" s="83">
        <v>0</v>
      </c>
      <c r="O344" s="83">
        <f t="shared" ref="O344" si="93">O345+O346+O347</f>
        <v>0</v>
      </c>
      <c r="P344" s="139">
        <v>881</v>
      </c>
    </row>
    <row r="345" spans="2:16" s="21" customFormat="1" outlineLevel="1" x14ac:dyDescent="0.2">
      <c r="B345" s="118"/>
      <c r="C345" s="132"/>
      <c r="D345" s="132"/>
      <c r="E345" s="118"/>
      <c r="F345" s="118"/>
      <c r="G345" s="118"/>
      <c r="H345" s="19" t="s">
        <v>4</v>
      </c>
      <c r="I345" s="83">
        <f t="shared" si="79"/>
        <v>0</v>
      </c>
      <c r="J345" s="83"/>
      <c r="K345" s="83"/>
      <c r="L345" s="83"/>
      <c r="M345" s="83"/>
      <c r="N345" s="83"/>
      <c r="O345" s="83"/>
      <c r="P345" s="140"/>
    </row>
    <row r="346" spans="2:16" s="21" customFormat="1" outlineLevel="1" x14ac:dyDescent="0.2">
      <c r="B346" s="118"/>
      <c r="C346" s="132"/>
      <c r="D346" s="132"/>
      <c r="E346" s="118"/>
      <c r="F346" s="118"/>
      <c r="G346" s="118"/>
      <c r="H346" s="19" t="s">
        <v>6</v>
      </c>
      <c r="I346" s="83">
        <f t="shared" si="79"/>
        <v>2.7</v>
      </c>
      <c r="J346" s="83"/>
      <c r="K346" s="83">
        <v>2.7</v>
      </c>
      <c r="L346" s="83"/>
      <c r="M346" s="83"/>
      <c r="N346" s="83"/>
      <c r="O346" s="83"/>
      <c r="P346" s="140"/>
    </row>
    <row r="347" spans="2:16" s="21" customFormat="1" outlineLevel="1" x14ac:dyDescent="0.2">
      <c r="B347" s="119"/>
      <c r="C347" s="133"/>
      <c r="D347" s="133"/>
      <c r="E347" s="119"/>
      <c r="F347" s="119"/>
      <c r="G347" s="119"/>
      <c r="H347" s="19" t="s">
        <v>5</v>
      </c>
      <c r="I347" s="83">
        <f t="shared" si="79"/>
        <v>0</v>
      </c>
      <c r="J347" s="83"/>
      <c r="K347" s="83"/>
      <c r="L347" s="83"/>
      <c r="M347" s="83"/>
      <c r="N347" s="83"/>
      <c r="O347" s="83"/>
      <c r="P347" s="141"/>
    </row>
    <row r="348" spans="2:16" s="21" customFormat="1" ht="42.75" outlineLevel="1" x14ac:dyDescent="0.2">
      <c r="B348" s="117" t="s">
        <v>248</v>
      </c>
      <c r="C348" s="117"/>
      <c r="D348" s="117" t="s">
        <v>223</v>
      </c>
      <c r="E348" s="117">
        <v>2022</v>
      </c>
      <c r="F348" s="117" t="s">
        <v>137</v>
      </c>
      <c r="G348" s="117" t="s">
        <v>101</v>
      </c>
      <c r="H348" s="19" t="s">
        <v>3</v>
      </c>
      <c r="I348" s="83">
        <f t="shared" si="79"/>
        <v>15.6</v>
      </c>
      <c r="J348" s="83">
        <f t="shared" ref="J348:N348" si="94">J349+J350+J351</f>
        <v>0</v>
      </c>
      <c r="K348" s="83">
        <f t="shared" si="94"/>
        <v>0</v>
      </c>
      <c r="L348" s="83">
        <v>15.6</v>
      </c>
      <c r="M348" s="83">
        <f t="shared" si="94"/>
        <v>0</v>
      </c>
      <c r="N348" s="83">
        <f t="shared" si="94"/>
        <v>0</v>
      </c>
      <c r="O348" s="83">
        <v>0</v>
      </c>
      <c r="P348" s="139">
        <v>881</v>
      </c>
    </row>
    <row r="349" spans="2:16" s="21" customFormat="1" outlineLevel="1" x14ac:dyDescent="0.2">
      <c r="B349" s="118"/>
      <c r="C349" s="132"/>
      <c r="D349" s="118"/>
      <c r="E349" s="118"/>
      <c r="F349" s="118"/>
      <c r="G349" s="118"/>
      <c r="H349" s="19" t="s">
        <v>4</v>
      </c>
      <c r="I349" s="83">
        <f t="shared" si="79"/>
        <v>0</v>
      </c>
      <c r="J349" s="83"/>
      <c r="K349" s="83"/>
      <c r="L349" s="83"/>
      <c r="M349" s="83"/>
      <c r="N349" s="83"/>
      <c r="O349" s="83"/>
      <c r="P349" s="140"/>
    </row>
    <row r="350" spans="2:16" s="21" customFormat="1" outlineLevel="1" x14ac:dyDescent="0.2">
      <c r="B350" s="118"/>
      <c r="C350" s="132"/>
      <c r="D350" s="118"/>
      <c r="E350" s="118"/>
      <c r="F350" s="118"/>
      <c r="G350" s="118"/>
      <c r="H350" s="19" t="s">
        <v>6</v>
      </c>
      <c r="I350" s="83">
        <f t="shared" si="79"/>
        <v>15.6</v>
      </c>
      <c r="J350" s="83"/>
      <c r="K350" s="83"/>
      <c r="L350" s="83">
        <v>15.6</v>
      </c>
      <c r="M350" s="83"/>
      <c r="N350" s="83"/>
      <c r="O350" s="83"/>
      <c r="P350" s="140"/>
    </row>
    <row r="351" spans="2:16" s="21" customFormat="1" outlineLevel="1" x14ac:dyDescent="0.2">
      <c r="B351" s="119"/>
      <c r="C351" s="133"/>
      <c r="D351" s="119"/>
      <c r="E351" s="119"/>
      <c r="F351" s="119"/>
      <c r="G351" s="119"/>
      <c r="H351" s="19" t="s">
        <v>5</v>
      </c>
      <c r="I351" s="83">
        <f t="shared" si="79"/>
        <v>0</v>
      </c>
      <c r="J351" s="83"/>
      <c r="K351" s="83"/>
      <c r="L351" s="83"/>
      <c r="M351" s="83"/>
      <c r="N351" s="83"/>
      <c r="O351" s="83"/>
      <c r="P351" s="141"/>
    </row>
    <row r="352" spans="2:16" s="21" customFormat="1" ht="42.75" customHeight="1" outlineLevel="1" x14ac:dyDescent="0.2">
      <c r="B352" s="117" t="s">
        <v>249</v>
      </c>
      <c r="C352" s="117"/>
      <c r="D352" s="117" t="s">
        <v>223</v>
      </c>
      <c r="E352" s="117">
        <v>2022</v>
      </c>
      <c r="F352" s="117" t="s">
        <v>245</v>
      </c>
      <c r="G352" s="117" t="s">
        <v>101</v>
      </c>
      <c r="H352" s="19" t="s">
        <v>3</v>
      </c>
      <c r="I352" s="83">
        <f t="shared" si="79"/>
        <v>3.5</v>
      </c>
      <c r="J352" s="83">
        <f t="shared" ref="J352:M352" si="95">J353+J354+J355</f>
        <v>0</v>
      </c>
      <c r="K352" s="83">
        <f t="shared" si="95"/>
        <v>0</v>
      </c>
      <c r="L352" s="83">
        <v>3.5</v>
      </c>
      <c r="M352" s="83">
        <f t="shared" si="95"/>
        <v>0</v>
      </c>
      <c r="N352" s="83">
        <v>0</v>
      </c>
      <c r="O352" s="83">
        <f t="shared" ref="O352" si="96">O353+O354+O355</f>
        <v>0</v>
      </c>
      <c r="P352" s="139">
        <v>1126</v>
      </c>
    </row>
    <row r="353" spans="2:16" s="21" customFormat="1" outlineLevel="1" x14ac:dyDescent="0.2">
      <c r="B353" s="118"/>
      <c r="C353" s="132"/>
      <c r="D353" s="118"/>
      <c r="E353" s="118"/>
      <c r="F353" s="118"/>
      <c r="G353" s="118"/>
      <c r="H353" s="19" t="s">
        <v>4</v>
      </c>
      <c r="I353" s="83">
        <f t="shared" si="79"/>
        <v>0</v>
      </c>
      <c r="J353" s="83"/>
      <c r="K353" s="83"/>
      <c r="L353" s="83"/>
      <c r="M353" s="83"/>
      <c r="N353" s="83"/>
      <c r="O353" s="83"/>
      <c r="P353" s="140"/>
    </row>
    <row r="354" spans="2:16" s="21" customFormat="1" outlineLevel="1" x14ac:dyDescent="0.2">
      <c r="B354" s="118"/>
      <c r="C354" s="132"/>
      <c r="D354" s="118"/>
      <c r="E354" s="118"/>
      <c r="F354" s="118"/>
      <c r="G354" s="118"/>
      <c r="H354" s="19" t="s">
        <v>6</v>
      </c>
      <c r="I354" s="83">
        <f t="shared" si="79"/>
        <v>3.5</v>
      </c>
      <c r="J354" s="83"/>
      <c r="K354" s="83"/>
      <c r="L354" s="83">
        <v>3.5</v>
      </c>
      <c r="M354" s="83"/>
      <c r="N354" s="83"/>
      <c r="O354" s="83"/>
      <c r="P354" s="140"/>
    </row>
    <row r="355" spans="2:16" s="21" customFormat="1" outlineLevel="1" x14ac:dyDescent="0.2">
      <c r="B355" s="119"/>
      <c r="C355" s="133"/>
      <c r="D355" s="119"/>
      <c r="E355" s="119"/>
      <c r="F355" s="119"/>
      <c r="G355" s="119"/>
      <c r="H355" s="19" t="s">
        <v>5</v>
      </c>
      <c r="I355" s="83">
        <f t="shared" si="79"/>
        <v>0</v>
      </c>
      <c r="J355" s="83"/>
      <c r="K355" s="83"/>
      <c r="L355" s="83"/>
      <c r="M355" s="83"/>
      <c r="N355" s="83"/>
      <c r="O355" s="83"/>
      <c r="P355" s="141"/>
    </row>
    <row r="356" spans="2:16" s="21" customFormat="1" ht="42.75" outlineLevel="1" x14ac:dyDescent="0.2">
      <c r="B356" s="117" t="s">
        <v>250</v>
      </c>
      <c r="C356" s="117"/>
      <c r="D356" s="117" t="s">
        <v>223</v>
      </c>
      <c r="E356" s="117">
        <v>2022</v>
      </c>
      <c r="F356" s="117" t="s">
        <v>251</v>
      </c>
      <c r="G356" s="117" t="s">
        <v>101</v>
      </c>
      <c r="H356" s="19" t="s">
        <v>3</v>
      </c>
      <c r="I356" s="83">
        <f t="shared" si="79"/>
        <v>2</v>
      </c>
      <c r="J356" s="83">
        <f t="shared" ref="J356:M356" si="97">J357+J358+J359</f>
        <v>0</v>
      </c>
      <c r="K356" s="83">
        <f t="shared" si="97"/>
        <v>0</v>
      </c>
      <c r="L356" s="83">
        <v>2</v>
      </c>
      <c r="M356" s="83">
        <f t="shared" si="97"/>
        <v>0</v>
      </c>
      <c r="N356" s="83">
        <v>0</v>
      </c>
      <c r="O356" s="83">
        <f t="shared" ref="O356" si="98">O357+O358+O359</f>
        <v>0</v>
      </c>
      <c r="P356" s="139"/>
    </row>
    <row r="357" spans="2:16" s="21" customFormat="1" outlineLevel="1" x14ac:dyDescent="0.2">
      <c r="B357" s="118"/>
      <c r="C357" s="132"/>
      <c r="D357" s="132"/>
      <c r="E357" s="118"/>
      <c r="F357" s="118"/>
      <c r="G357" s="118"/>
      <c r="H357" s="19" t="s">
        <v>4</v>
      </c>
      <c r="I357" s="83">
        <f t="shared" si="79"/>
        <v>0</v>
      </c>
      <c r="J357" s="83"/>
      <c r="K357" s="83"/>
      <c r="L357" s="83"/>
      <c r="M357" s="83"/>
      <c r="N357" s="83"/>
      <c r="O357" s="83"/>
      <c r="P357" s="140"/>
    </row>
    <row r="358" spans="2:16" s="21" customFormat="1" outlineLevel="1" x14ac:dyDescent="0.2">
      <c r="B358" s="118"/>
      <c r="C358" s="132"/>
      <c r="D358" s="132"/>
      <c r="E358" s="118"/>
      <c r="F358" s="118"/>
      <c r="G358" s="118"/>
      <c r="H358" s="19" t="s">
        <v>6</v>
      </c>
      <c r="I358" s="83">
        <f t="shared" si="79"/>
        <v>2</v>
      </c>
      <c r="J358" s="83"/>
      <c r="K358" s="83"/>
      <c r="L358" s="83">
        <v>2</v>
      </c>
      <c r="M358" s="83"/>
      <c r="N358" s="83"/>
      <c r="O358" s="83"/>
      <c r="P358" s="140"/>
    </row>
    <row r="359" spans="2:16" s="21" customFormat="1" outlineLevel="1" x14ac:dyDescent="0.2">
      <c r="B359" s="119"/>
      <c r="C359" s="133"/>
      <c r="D359" s="133"/>
      <c r="E359" s="119"/>
      <c r="F359" s="119"/>
      <c r="G359" s="119"/>
      <c r="H359" s="19" t="s">
        <v>5</v>
      </c>
      <c r="I359" s="83">
        <f t="shared" si="79"/>
        <v>0</v>
      </c>
      <c r="J359" s="83"/>
      <c r="K359" s="83"/>
      <c r="L359" s="83"/>
      <c r="M359" s="83"/>
      <c r="N359" s="83"/>
      <c r="O359" s="83"/>
      <c r="P359" s="141"/>
    </row>
    <row r="360" spans="2:16" s="21" customFormat="1" ht="42.75" outlineLevel="1" x14ac:dyDescent="0.2">
      <c r="B360" s="117" t="s">
        <v>252</v>
      </c>
      <c r="C360" s="117"/>
      <c r="D360" s="117" t="s">
        <v>223</v>
      </c>
      <c r="E360" s="117">
        <v>2023</v>
      </c>
      <c r="F360" s="117" t="s">
        <v>137</v>
      </c>
      <c r="G360" s="117" t="s">
        <v>101</v>
      </c>
      <c r="H360" s="19" t="s">
        <v>3</v>
      </c>
      <c r="I360" s="83">
        <f t="shared" si="79"/>
        <v>16.5</v>
      </c>
      <c r="J360" s="83">
        <f t="shared" ref="J360:N360" si="99">J361+J362+J363</f>
        <v>0</v>
      </c>
      <c r="K360" s="83">
        <f t="shared" si="99"/>
        <v>0</v>
      </c>
      <c r="L360" s="83">
        <f t="shared" si="99"/>
        <v>0</v>
      </c>
      <c r="M360" s="83">
        <v>16.5</v>
      </c>
      <c r="N360" s="83">
        <f t="shared" si="99"/>
        <v>0</v>
      </c>
      <c r="O360" s="83">
        <v>0</v>
      </c>
      <c r="P360" s="139">
        <v>671</v>
      </c>
    </row>
    <row r="361" spans="2:16" s="21" customFormat="1" outlineLevel="1" x14ac:dyDescent="0.2">
      <c r="B361" s="118"/>
      <c r="C361" s="132"/>
      <c r="D361" s="118"/>
      <c r="E361" s="118"/>
      <c r="F361" s="118"/>
      <c r="G361" s="118"/>
      <c r="H361" s="19" t="s">
        <v>4</v>
      </c>
      <c r="I361" s="83">
        <f t="shared" si="79"/>
        <v>0</v>
      </c>
      <c r="J361" s="83"/>
      <c r="K361" s="83"/>
      <c r="L361" s="83"/>
      <c r="M361" s="83"/>
      <c r="N361" s="83"/>
      <c r="O361" s="83"/>
      <c r="P361" s="140"/>
    </row>
    <row r="362" spans="2:16" s="21" customFormat="1" outlineLevel="1" x14ac:dyDescent="0.2">
      <c r="B362" s="118"/>
      <c r="C362" s="132"/>
      <c r="D362" s="118"/>
      <c r="E362" s="118"/>
      <c r="F362" s="118"/>
      <c r="G362" s="118"/>
      <c r="H362" s="19" t="s">
        <v>6</v>
      </c>
      <c r="I362" s="83">
        <f t="shared" si="79"/>
        <v>16.5</v>
      </c>
      <c r="J362" s="83"/>
      <c r="K362" s="83"/>
      <c r="L362" s="83"/>
      <c r="M362" s="83">
        <v>16.5</v>
      </c>
      <c r="N362" s="83"/>
      <c r="O362" s="83"/>
      <c r="P362" s="140"/>
    </row>
    <row r="363" spans="2:16" s="21" customFormat="1" outlineLevel="1" x14ac:dyDescent="0.2">
      <c r="B363" s="119"/>
      <c r="C363" s="133"/>
      <c r="D363" s="119"/>
      <c r="E363" s="119"/>
      <c r="F363" s="119"/>
      <c r="G363" s="119"/>
      <c r="H363" s="19" t="s">
        <v>5</v>
      </c>
      <c r="I363" s="83">
        <f t="shared" si="79"/>
        <v>0</v>
      </c>
      <c r="J363" s="83"/>
      <c r="K363" s="83"/>
      <c r="L363" s="83"/>
      <c r="M363" s="83"/>
      <c r="N363" s="83"/>
      <c r="O363" s="83"/>
      <c r="P363" s="141"/>
    </row>
    <row r="364" spans="2:16" s="21" customFormat="1" ht="42.75" customHeight="1" outlineLevel="1" x14ac:dyDescent="0.2">
      <c r="B364" s="117" t="s">
        <v>253</v>
      </c>
      <c r="C364" s="117"/>
      <c r="D364" s="117" t="s">
        <v>223</v>
      </c>
      <c r="E364" s="117">
        <v>2024</v>
      </c>
      <c r="F364" s="117" t="s">
        <v>254</v>
      </c>
      <c r="G364" s="117" t="s">
        <v>101</v>
      </c>
      <c r="H364" s="19" t="s">
        <v>3</v>
      </c>
      <c r="I364" s="83">
        <f t="shared" si="79"/>
        <v>12</v>
      </c>
      <c r="J364" s="83">
        <f t="shared" ref="J364:M364" si="100">J365+J366+J367</f>
        <v>0</v>
      </c>
      <c r="K364" s="83">
        <f t="shared" si="100"/>
        <v>0</v>
      </c>
      <c r="L364" s="83">
        <f t="shared" si="100"/>
        <v>0</v>
      </c>
      <c r="M364" s="83">
        <f t="shared" si="100"/>
        <v>0</v>
      </c>
      <c r="N364" s="83">
        <v>12</v>
      </c>
      <c r="O364" s="83">
        <f t="shared" ref="O364" si="101">O365+O366+O367</f>
        <v>0</v>
      </c>
      <c r="P364" s="139">
        <v>1126</v>
      </c>
    </row>
    <row r="365" spans="2:16" s="21" customFormat="1" outlineLevel="1" x14ac:dyDescent="0.2">
      <c r="B365" s="118"/>
      <c r="C365" s="132"/>
      <c r="D365" s="118"/>
      <c r="E365" s="118"/>
      <c r="F365" s="118"/>
      <c r="G365" s="118"/>
      <c r="H365" s="19" t="s">
        <v>4</v>
      </c>
      <c r="I365" s="83">
        <f t="shared" ref="I365:I428" si="102">SUM(J365:O365)</f>
        <v>0</v>
      </c>
      <c r="J365" s="83"/>
      <c r="K365" s="83"/>
      <c r="L365" s="83"/>
      <c r="M365" s="83"/>
      <c r="N365" s="83"/>
      <c r="O365" s="83"/>
      <c r="P365" s="140"/>
    </row>
    <row r="366" spans="2:16" s="21" customFormat="1" outlineLevel="1" x14ac:dyDescent="0.2">
      <c r="B366" s="118"/>
      <c r="C366" s="132"/>
      <c r="D366" s="118"/>
      <c r="E366" s="118"/>
      <c r="F366" s="118"/>
      <c r="G366" s="118"/>
      <c r="H366" s="19" t="s">
        <v>6</v>
      </c>
      <c r="I366" s="83">
        <f t="shared" si="102"/>
        <v>12</v>
      </c>
      <c r="J366" s="83"/>
      <c r="K366" s="83"/>
      <c r="L366" s="83"/>
      <c r="M366" s="83"/>
      <c r="N366" s="83">
        <v>12</v>
      </c>
      <c r="O366" s="83"/>
      <c r="P366" s="140"/>
    </row>
    <row r="367" spans="2:16" s="21" customFormat="1" outlineLevel="1" x14ac:dyDescent="0.2">
      <c r="B367" s="119"/>
      <c r="C367" s="133"/>
      <c r="D367" s="119"/>
      <c r="E367" s="119"/>
      <c r="F367" s="119"/>
      <c r="G367" s="119"/>
      <c r="H367" s="19" t="s">
        <v>5</v>
      </c>
      <c r="I367" s="83">
        <f t="shared" si="102"/>
        <v>0</v>
      </c>
      <c r="J367" s="83"/>
      <c r="K367" s="83"/>
      <c r="L367" s="83"/>
      <c r="M367" s="83"/>
      <c r="N367" s="83"/>
      <c r="O367" s="83"/>
      <c r="P367" s="141"/>
    </row>
    <row r="368" spans="2:16" s="21" customFormat="1" ht="42.75" outlineLevel="1" x14ac:dyDescent="0.2">
      <c r="B368" s="117" t="s">
        <v>255</v>
      </c>
      <c r="C368" s="117"/>
      <c r="D368" s="117" t="s">
        <v>223</v>
      </c>
      <c r="E368" s="117">
        <v>2024</v>
      </c>
      <c r="F368" s="117" t="s">
        <v>256</v>
      </c>
      <c r="G368" s="117" t="s">
        <v>101</v>
      </c>
      <c r="H368" s="19" t="s">
        <v>3</v>
      </c>
      <c r="I368" s="83">
        <f t="shared" si="102"/>
        <v>5.5</v>
      </c>
      <c r="J368" s="83">
        <f t="shared" ref="J368:M368" si="103">J369+J370+J371</f>
        <v>0</v>
      </c>
      <c r="K368" s="83">
        <f t="shared" si="103"/>
        <v>0</v>
      </c>
      <c r="L368" s="83">
        <f t="shared" si="103"/>
        <v>0</v>
      </c>
      <c r="M368" s="83">
        <f t="shared" si="103"/>
        <v>0</v>
      </c>
      <c r="N368" s="83">
        <v>5.5</v>
      </c>
      <c r="O368" s="83">
        <f t="shared" ref="O368" si="104">O369+O370+O371</f>
        <v>0</v>
      </c>
      <c r="P368" s="139">
        <v>881</v>
      </c>
    </row>
    <row r="369" spans="2:16" s="21" customFormat="1" outlineLevel="1" x14ac:dyDescent="0.2">
      <c r="B369" s="118"/>
      <c r="C369" s="132"/>
      <c r="D369" s="132"/>
      <c r="E369" s="118"/>
      <c r="F369" s="118"/>
      <c r="G369" s="118"/>
      <c r="H369" s="19" t="s">
        <v>4</v>
      </c>
      <c r="I369" s="83">
        <f t="shared" si="102"/>
        <v>0</v>
      </c>
      <c r="J369" s="83"/>
      <c r="K369" s="83"/>
      <c r="L369" s="83"/>
      <c r="M369" s="83"/>
      <c r="N369" s="83"/>
      <c r="O369" s="83"/>
      <c r="P369" s="140"/>
    </row>
    <row r="370" spans="2:16" s="21" customFormat="1" outlineLevel="1" x14ac:dyDescent="0.2">
      <c r="B370" s="118"/>
      <c r="C370" s="132"/>
      <c r="D370" s="132"/>
      <c r="E370" s="118"/>
      <c r="F370" s="118"/>
      <c r="G370" s="118"/>
      <c r="H370" s="19" t="s">
        <v>6</v>
      </c>
      <c r="I370" s="83">
        <f t="shared" si="102"/>
        <v>5.5</v>
      </c>
      <c r="J370" s="83"/>
      <c r="K370" s="83"/>
      <c r="L370" s="83"/>
      <c r="M370" s="83"/>
      <c r="N370" s="83">
        <v>5.5</v>
      </c>
      <c r="O370" s="83"/>
      <c r="P370" s="140"/>
    </row>
    <row r="371" spans="2:16" s="21" customFormat="1" outlineLevel="1" x14ac:dyDescent="0.2">
      <c r="B371" s="119"/>
      <c r="C371" s="133"/>
      <c r="D371" s="133"/>
      <c r="E371" s="119"/>
      <c r="F371" s="119"/>
      <c r="G371" s="119"/>
      <c r="H371" s="19" t="s">
        <v>5</v>
      </c>
      <c r="I371" s="83">
        <f t="shared" si="102"/>
        <v>0</v>
      </c>
      <c r="J371" s="83"/>
      <c r="K371" s="83"/>
      <c r="L371" s="83"/>
      <c r="M371" s="83"/>
      <c r="N371" s="83"/>
      <c r="O371" s="83"/>
      <c r="P371" s="141"/>
    </row>
    <row r="372" spans="2:16" s="21" customFormat="1" ht="42.75" outlineLevel="1" x14ac:dyDescent="0.2">
      <c r="B372" s="117" t="s">
        <v>257</v>
      </c>
      <c r="C372" s="117"/>
      <c r="D372" s="117" t="s">
        <v>223</v>
      </c>
      <c r="E372" s="117">
        <v>2025</v>
      </c>
      <c r="F372" s="117" t="s">
        <v>258</v>
      </c>
      <c r="G372" s="117" t="s">
        <v>101</v>
      </c>
      <c r="H372" s="19" t="s">
        <v>3</v>
      </c>
      <c r="I372" s="83">
        <f t="shared" si="102"/>
        <v>14.5</v>
      </c>
      <c r="J372" s="83">
        <f t="shared" ref="J372:N372" si="105">J373+J374+J375</f>
        <v>0</v>
      </c>
      <c r="K372" s="83">
        <f t="shared" si="105"/>
        <v>0</v>
      </c>
      <c r="L372" s="83">
        <f t="shared" si="105"/>
        <v>0</v>
      </c>
      <c r="M372" s="83">
        <f t="shared" si="105"/>
        <v>0</v>
      </c>
      <c r="N372" s="83">
        <f t="shared" si="105"/>
        <v>0</v>
      </c>
      <c r="O372" s="83">
        <v>14.5</v>
      </c>
      <c r="P372" s="139">
        <v>780</v>
      </c>
    </row>
    <row r="373" spans="2:16" s="21" customFormat="1" outlineLevel="1" x14ac:dyDescent="0.2">
      <c r="B373" s="118"/>
      <c r="C373" s="132"/>
      <c r="D373" s="118"/>
      <c r="E373" s="118"/>
      <c r="F373" s="118"/>
      <c r="G373" s="118"/>
      <c r="H373" s="19" t="s">
        <v>4</v>
      </c>
      <c r="I373" s="83">
        <f t="shared" si="102"/>
        <v>0</v>
      </c>
      <c r="J373" s="83"/>
      <c r="K373" s="83"/>
      <c r="L373" s="83"/>
      <c r="M373" s="83"/>
      <c r="N373" s="83"/>
      <c r="O373" s="83"/>
      <c r="P373" s="140"/>
    </row>
    <row r="374" spans="2:16" s="21" customFormat="1" outlineLevel="1" x14ac:dyDescent="0.2">
      <c r="B374" s="118"/>
      <c r="C374" s="132"/>
      <c r="D374" s="118"/>
      <c r="E374" s="118"/>
      <c r="F374" s="118"/>
      <c r="G374" s="118"/>
      <c r="H374" s="19" t="s">
        <v>6</v>
      </c>
      <c r="I374" s="83">
        <f t="shared" si="102"/>
        <v>14.5</v>
      </c>
      <c r="J374" s="83"/>
      <c r="K374" s="83"/>
      <c r="L374" s="83"/>
      <c r="M374" s="83"/>
      <c r="N374" s="83"/>
      <c r="O374" s="83">
        <v>14.5</v>
      </c>
      <c r="P374" s="140"/>
    </row>
    <row r="375" spans="2:16" s="21" customFormat="1" outlineLevel="1" x14ac:dyDescent="0.2">
      <c r="B375" s="119"/>
      <c r="C375" s="133"/>
      <c r="D375" s="119"/>
      <c r="E375" s="119"/>
      <c r="F375" s="119"/>
      <c r="G375" s="119"/>
      <c r="H375" s="19" t="s">
        <v>5</v>
      </c>
      <c r="I375" s="83">
        <f t="shared" si="102"/>
        <v>0</v>
      </c>
      <c r="J375" s="83"/>
      <c r="K375" s="83"/>
      <c r="L375" s="83"/>
      <c r="M375" s="83"/>
      <c r="N375" s="83"/>
      <c r="O375" s="83"/>
      <c r="P375" s="141"/>
    </row>
    <row r="376" spans="2:16" s="21" customFormat="1" ht="42.75" customHeight="1" outlineLevel="1" x14ac:dyDescent="0.2">
      <c r="B376" s="117" t="s">
        <v>253</v>
      </c>
      <c r="C376" s="117"/>
      <c r="D376" s="117" t="s">
        <v>223</v>
      </c>
      <c r="E376" s="117">
        <v>2025</v>
      </c>
      <c r="F376" s="117" t="s">
        <v>254</v>
      </c>
      <c r="G376" s="117" t="s">
        <v>101</v>
      </c>
      <c r="H376" s="19" t="s">
        <v>3</v>
      </c>
      <c r="I376" s="83">
        <f t="shared" si="102"/>
        <v>11.5</v>
      </c>
      <c r="J376" s="83">
        <f t="shared" ref="J376:M376" si="106">J377+J378+J379</f>
        <v>0</v>
      </c>
      <c r="K376" s="83">
        <f t="shared" si="106"/>
        <v>0</v>
      </c>
      <c r="L376" s="83">
        <f t="shared" si="106"/>
        <v>0</v>
      </c>
      <c r="M376" s="83">
        <f t="shared" si="106"/>
        <v>0</v>
      </c>
      <c r="N376" s="83">
        <v>0</v>
      </c>
      <c r="O376" s="83">
        <v>11.5</v>
      </c>
      <c r="P376" s="139">
        <v>1126</v>
      </c>
    </row>
    <row r="377" spans="2:16" s="21" customFormat="1" outlineLevel="1" x14ac:dyDescent="0.2">
      <c r="B377" s="118"/>
      <c r="C377" s="132"/>
      <c r="D377" s="118"/>
      <c r="E377" s="118"/>
      <c r="F377" s="118"/>
      <c r="G377" s="118"/>
      <c r="H377" s="19" t="s">
        <v>4</v>
      </c>
      <c r="I377" s="83">
        <f t="shared" si="102"/>
        <v>0</v>
      </c>
      <c r="J377" s="83"/>
      <c r="K377" s="83"/>
      <c r="L377" s="83"/>
      <c r="M377" s="83"/>
      <c r="N377" s="83"/>
      <c r="O377" s="83"/>
      <c r="P377" s="140"/>
    </row>
    <row r="378" spans="2:16" s="21" customFormat="1" outlineLevel="1" x14ac:dyDescent="0.2">
      <c r="B378" s="118"/>
      <c r="C378" s="132"/>
      <c r="D378" s="118"/>
      <c r="E378" s="118"/>
      <c r="F378" s="118"/>
      <c r="G378" s="118"/>
      <c r="H378" s="19" t="s">
        <v>6</v>
      </c>
      <c r="I378" s="83">
        <f t="shared" si="102"/>
        <v>11.5</v>
      </c>
      <c r="J378" s="83"/>
      <c r="K378" s="83"/>
      <c r="L378" s="83"/>
      <c r="M378" s="83"/>
      <c r="N378" s="83"/>
      <c r="O378" s="83">
        <v>11.5</v>
      </c>
      <c r="P378" s="140"/>
    </row>
    <row r="379" spans="2:16" s="21" customFormat="1" outlineLevel="1" x14ac:dyDescent="0.2">
      <c r="B379" s="119"/>
      <c r="C379" s="133"/>
      <c r="D379" s="119"/>
      <c r="E379" s="119"/>
      <c r="F379" s="119"/>
      <c r="G379" s="119"/>
      <c r="H379" s="19" t="s">
        <v>5</v>
      </c>
      <c r="I379" s="83">
        <f t="shared" si="102"/>
        <v>0</v>
      </c>
      <c r="J379" s="83"/>
      <c r="K379" s="83"/>
      <c r="L379" s="83"/>
      <c r="M379" s="83"/>
      <c r="N379" s="83"/>
      <c r="O379" s="83"/>
      <c r="P379" s="141"/>
    </row>
    <row r="380" spans="2:16" s="21" customFormat="1" ht="42.75" outlineLevel="1" x14ac:dyDescent="0.2">
      <c r="B380" s="117" t="s">
        <v>259</v>
      </c>
      <c r="C380" s="117"/>
      <c r="D380" s="117" t="s">
        <v>223</v>
      </c>
      <c r="E380" s="117" t="s">
        <v>50</v>
      </c>
      <c r="F380" s="117" t="s">
        <v>260</v>
      </c>
      <c r="G380" s="117" t="s">
        <v>101</v>
      </c>
      <c r="H380" s="19" t="s">
        <v>3</v>
      </c>
      <c r="I380" s="83">
        <f t="shared" si="102"/>
        <v>13.541</v>
      </c>
      <c r="J380" s="83">
        <f t="shared" ref="J380:M380" si="107">J381+J382+J383</f>
        <v>0</v>
      </c>
      <c r="K380" s="83">
        <f t="shared" si="107"/>
        <v>8.2409999999999997</v>
      </c>
      <c r="L380" s="83">
        <f t="shared" si="107"/>
        <v>5.3</v>
      </c>
      <c r="M380" s="83">
        <f t="shared" si="107"/>
        <v>0</v>
      </c>
      <c r="N380" s="83">
        <v>0</v>
      </c>
      <c r="O380" s="83">
        <f t="shared" ref="O380" si="108">O381+O382+O383</f>
        <v>0</v>
      </c>
      <c r="P380" s="139">
        <v>1200</v>
      </c>
    </row>
    <row r="381" spans="2:16" s="21" customFormat="1" outlineLevel="1" x14ac:dyDescent="0.2">
      <c r="B381" s="118"/>
      <c r="C381" s="132"/>
      <c r="D381" s="132"/>
      <c r="E381" s="118"/>
      <c r="F381" s="118"/>
      <c r="G381" s="118"/>
      <c r="H381" s="19" t="s">
        <v>4</v>
      </c>
      <c r="I381" s="83">
        <f t="shared" si="102"/>
        <v>0</v>
      </c>
      <c r="J381" s="83"/>
      <c r="K381" s="83"/>
      <c r="L381" s="83"/>
      <c r="M381" s="83"/>
      <c r="N381" s="83"/>
      <c r="O381" s="83"/>
      <c r="P381" s="140"/>
    </row>
    <row r="382" spans="2:16" s="21" customFormat="1" outlineLevel="1" x14ac:dyDescent="0.2">
      <c r="B382" s="118"/>
      <c r="C382" s="132"/>
      <c r="D382" s="132"/>
      <c r="E382" s="118"/>
      <c r="F382" s="118"/>
      <c r="G382" s="118"/>
      <c r="H382" s="19" t="s">
        <v>6</v>
      </c>
      <c r="I382" s="83">
        <f t="shared" si="102"/>
        <v>13.541</v>
      </c>
      <c r="J382" s="83"/>
      <c r="K382" s="83">
        <v>8.2409999999999997</v>
      </c>
      <c r="L382" s="83">
        <v>5.3</v>
      </c>
      <c r="M382" s="83"/>
      <c r="N382" s="83"/>
      <c r="O382" s="83"/>
      <c r="P382" s="140"/>
    </row>
    <row r="383" spans="2:16" s="21" customFormat="1" outlineLevel="1" x14ac:dyDescent="0.2">
      <c r="B383" s="119"/>
      <c r="C383" s="133"/>
      <c r="D383" s="133"/>
      <c r="E383" s="119"/>
      <c r="F383" s="119"/>
      <c r="G383" s="119"/>
      <c r="H383" s="19" t="s">
        <v>5</v>
      </c>
      <c r="I383" s="83">
        <f t="shared" si="102"/>
        <v>0</v>
      </c>
      <c r="J383" s="83"/>
      <c r="K383" s="83"/>
      <c r="L383" s="83"/>
      <c r="M383" s="83"/>
      <c r="N383" s="83"/>
      <c r="O383" s="83"/>
      <c r="P383" s="141"/>
    </row>
    <row r="384" spans="2:16" s="21" customFormat="1" ht="42.75" outlineLevel="1" x14ac:dyDescent="0.2">
      <c r="B384" s="117" t="s">
        <v>261</v>
      </c>
      <c r="C384" s="117"/>
      <c r="D384" s="117" t="s">
        <v>223</v>
      </c>
      <c r="E384" s="117">
        <v>2021</v>
      </c>
      <c r="F384" s="117">
        <v>0.59</v>
      </c>
      <c r="G384" s="117" t="s">
        <v>101</v>
      </c>
      <c r="H384" s="19" t="s">
        <v>3</v>
      </c>
      <c r="I384" s="83">
        <f t="shared" si="102"/>
        <v>8.1999999999999993</v>
      </c>
      <c r="J384" s="83">
        <f t="shared" ref="J384:N384" si="109">J385+J386+J387</f>
        <v>0</v>
      </c>
      <c r="K384" s="83">
        <v>8.1999999999999993</v>
      </c>
      <c r="L384" s="83">
        <f t="shared" si="109"/>
        <v>0</v>
      </c>
      <c r="M384" s="83">
        <f t="shared" si="109"/>
        <v>0</v>
      </c>
      <c r="N384" s="83">
        <f t="shared" si="109"/>
        <v>0</v>
      </c>
      <c r="O384" s="83">
        <v>0</v>
      </c>
      <c r="P384" s="139">
        <v>671</v>
      </c>
    </row>
    <row r="385" spans="2:16" s="21" customFormat="1" outlineLevel="1" x14ac:dyDescent="0.2">
      <c r="B385" s="118"/>
      <c r="C385" s="132"/>
      <c r="D385" s="118"/>
      <c r="E385" s="118"/>
      <c r="F385" s="118"/>
      <c r="G385" s="118"/>
      <c r="H385" s="19" t="s">
        <v>4</v>
      </c>
      <c r="I385" s="83">
        <f t="shared" si="102"/>
        <v>0</v>
      </c>
      <c r="J385" s="83"/>
      <c r="K385" s="83"/>
      <c r="L385" s="83"/>
      <c r="M385" s="83"/>
      <c r="N385" s="83"/>
      <c r="O385" s="83"/>
      <c r="P385" s="140"/>
    </row>
    <row r="386" spans="2:16" s="21" customFormat="1" outlineLevel="1" x14ac:dyDescent="0.2">
      <c r="B386" s="118"/>
      <c r="C386" s="132"/>
      <c r="D386" s="118"/>
      <c r="E386" s="118"/>
      <c r="F386" s="118"/>
      <c r="G386" s="118"/>
      <c r="H386" s="19" t="s">
        <v>6</v>
      </c>
      <c r="I386" s="83">
        <f t="shared" si="102"/>
        <v>8.1999999999999993</v>
      </c>
      <c r="J386" s="83"/>
      <c r="K386" s="83">
        <v>8.1999999999999993</v>
      </c>
      <c r="L386" s="83"/>
      <c r="M386" s="83"/>
      <c r="N386" s="83"/>
      <c r="O386" s="83"/>
      <c r="P386" s="140"/>
    </row>
    <row r="387" spans="2:16" s="21" customFormat="1" outlineLevel="1" x14ac:dyDescent="0.2">
      <c r="B387" s="119"/>
      <c r="C387" s="133"/>
      <c r="D387" s="119"/>
      <c r="E387" s="119"/>
      <c r="F387" s="119"/>
      <c r="G387" s="119"/>
      <c r="H387" s="19" t="s">
        <v>5</v>
      </c>
      <c r="I387" s="83">
        <f t="shared" si="102"/>
        <v>0</v>
      </c>
      <c r="J387" s="83"/>
      <c r="K387" s="83"/>
      <c r="L387" s="83"/>
      <c r="M387" s="83"/>
      <c r="N387" s="83"/>
      <c r="O387" s="83"/>
      <c r="P387" s="141"/>
    </row>
    <row r="388" spans="2:16" s="21" customFormat="1" ht="42.75" outlineLevel="1" x14ac:dyDescent="0.2">
      <c r="B388" s="117" t="s">
        <v>262</v>
      </c>
      <c r="C388" s="117"/>
      <c r="D388" s="117" t="s">
        <v>223</v>
      </c>
      <c r="E388" s="117">
        <v>2021</v>
      </c>
      <c r="F388" s="117" t="s">
        <v>87</v>
      </c>
      <c r="G388" s="117" t="s">
        <v>101</v>
      </c>
      <c r="H388" s="19" t="s">
        <v>3</v>
      </c>
      <c r="I388" s="83">
        <f t="shared" si="102"/>
        <v>12.5</v>
      </c>
      <c r="J388" s="83">
        <f t="shared" ref="J388:M388" si="110">J389+J390+J391</f>
        <v>0</v>
      </c>
      <c r="K388" s="83">
        <v>12.5</v>
      </c>
      <c r="L388" s="83">
        <f t="shared" si="110"/>
        <v>0</v>
      </c>
      <c r="M388" s="83">
        <f t="shared" si="110"/>
        <v>0</v>
      </c>
      <c r="N388" s="83">
        <v>0</v>
      </c>
      <c r="O388" s="83">
        <f t="shared" ref="O388" si="111">O389+O390+O391</f>
        <v>0</v>
      </c>
      <c r="P388" s="139">
        <v>107</v>
      </c>
    </row>
    <row r="389" spans="2:16" s="21" customFormat="1" outlineLevel="1" x14ac:dyDescent="0.2">
      <c r="B389" s="118"/>
      <c r="C389" s="132"/>
      <c r="D389" s="118"/>
      <c r="E389" s="118"/>
      <c r="F389" s="118"/>
      <c r="G389" s="118"/>
      <c r="H389" s="19" t="s">
        <v>4</v>
      </c>
      <c r="I389" s="83">
        <f t="shared" si="102"/>
        <v>0</v>
      </c>
      <c r="J389" s="83"/>
      <c r="K389" s="83"/>
      <c r="L389" s="83"/>
      <c r="M389" s="83"/>
      <c r="N389" s="83"/>
      <c r="O389" s="83"/>
      <c r="P389" s="140"/>
    </row>
    <row r="390" spans="2:16" s="21" customFormat="1" outlineLevel="1" x14ac:dyDescent="0.2">
      <c r="B390" s="118"/>
      <c r="C390" s="132"/>
      <c r="D390" s="118"/>
      <c r="E390" s="118"/>
      <c r="F390" s="118"/>
      <c r="G390" s="118"/>
      <c r="H390" s="19" t="s">
        <v>6</v>
      </c>
      <c r="I390" s="83">
        <f t="shared" si="102"/>
        <v>12.5</v>
      </c>
      <c r="J390" s="83"/>
      <c r="K390" s="83">
        <v>12.5</v>
      </c>
      <c r="L390" s="83"/>
      <c r="M390" s="83"/>
      <c r="N390" s="83"/>
      <c r="O390" s="83"/>
      <c r="P390" s="140"/>
    </row>
    <row r="391" spans="2:16" s="21" customFormat="1" outlineLevel="1" x14ac:dyDescent="0.2">
      <c r="B391" s="119"/>
      <c r="C391" s="133"/>
      <c r="D391" s="119"/>
      <c r="E391" s="119"/>
      <c r="F391" s="119"/>
      <c r="G391" s="119"/>
      <c r="H391" s="19" t="s">
        <v>5</v>
      </c>
      <c r="I391" s="83">
        <f t="shared" si="102"/>
        <v>0</v>
      </c>
      <c r="J391" s="83"/>
      <c r="K391" s="83"/>
      <c r="L391" s="83"/>
      <c r="M391" s="83"/>
      <c r="N391" s="83"/>
      <c r="O391" s="83"/>
      <c r="P391" s="141"/>
    </row>
    <row r="392" spans="2:16" s="21" customFormat="1" ht="42.75" customHeight="1" outlineLevel="1" x14ac:dyDescent="0.2">
      <c r="B392" s="117" t="s">
        <v>263</v>
      </c>
      <c r="C392" s="117"/>
      <c r="D392" s="117" t="s">
        <v>223</v>
      </c>
      <c r="E392" s="117">
        <v>2021</v>
      </c>
      <c r="F392" s="117" t="s">
        <v>264</v>
      </c>
      <c r="G392" s="117" t="s">
        <v>101</v>
      </c>
      <c r="H392" s="19" t="s">
        <v>3</v>
      </c>
      <c r="I392" s="83">
        <f t="shared" si="102"/>
        <v>10.3</v>
      </c>
      <c r="J392" s="83">
        <f t="shared" ref="J392:M392" si="112">J393+J394+J395</f>
        <v>0</v>
      </c>
      <c r="K392" s="83">
        <v>10.3</v>
      </c>
      <c r="L392" s="83">
        <f t="shared" si="112"/>
        <v>0</v>
      </c>
      <c r="M392" s="83">
        <f t="shared" si="112"/>
        <v>0</v>
      </c>
      <c r="N392" s="83">
        <v>0</v>
      </c>
      <c r="O392" s="83">
        <f t="shared" ref="O392" si="113">O393+O394+O395</f>
        <v>0</v>
      </c>
      <c r="P392" s="139">
        <v>305</v>
      </c>
    </row>
    <row r="393" spans="2:16" s="21" customFormat="1" outlineLevel="1" x14ac:dyDescent="0.2">
      <c r="B393" s="118"/>
      <c r="C393" s="132"/>
      <c r="D393" s="132"/>
      <c r="E393" s="118"/>
      <c r="F393" s="118"/>
      <c r="G393" s="118"/>
      <c r="H393" s="19" t="s">
        <v>4</v>
      </c>
      <c r="I393" s="83">
        <f t="shared" si="102"/>
        <v>0</v>
      </c>
      <c r="J393" s="83"/>
      <c r="K393" s="83"/>
      <c r="L393" s="83"/>
      <c r="M393" s="83"/>
      <c r="N393" s="83"/>
      <c r="O393" s="83"/>
      <c r="P393" s="140"/>
    </row>
    <row r="394" spans="2:16" s="21" customFormat="1" outlineLevel="1" x14ac:dyDescent="0.2">
      <c r="B394" s="118"/>
      <c r="C394" s="132"/>
      <c r="D394" s="132"/>
      <c r="E394" s="118"/>
      <c r="F394" s="118"/>
      <c r="G394" s="118"/>
      <c r="H394" s="19" t="s">
        <v>6</v>
      </c>
      <c r="I394" s="83">
        <f t="shared" si="102"/>
        <v>10.3</v>
      </c>
      <c r="J394" s="83"/>
      <c r="K394" s="83">
        <v>10.3</v>
      </c>
      <c r="L394" s="83"/>
      <c r="M394" s="83"/>
      <c r="N394" s="83"/>
      <c r="O394" s="83"/>
      <c r="P394" s="140"/>
    </row>
    <row r="395" spans="2:16" s="21" customFormat="1" ht="17.25" customHeight="1" outlineLevel="1" x14ac:dyDescent="0.2">
      <c r="B395" s="119"/>
      <c r="C395" s="133"/>
      <c r="D395" s="133"/>
      <c r="E395" s="119"/>
      <c r="F395" s="119"/>
      <c r="G395" s="119"/>
      <c r="H395" s="19" t="s">
        <v>5</v>
      </c>
      <c r="I395" s="83">
        <f t="shared" si="102"/>
        <v>0</v>
      </c>
      <c r="J395" s="83"/>
      <c r="K395" s="83"/>
      <c r="L395" s="83"/>
      <c r="M395" s="83"/>
      <c r="N395" s="83"/>
      <c r="O395" s="83"/>
      <c r="P395" s="141"/>
    </row>
    <row r="396" spans="2:16" s="21" customFormat="1" ht="42.75" outlineLevel="1" x14ac:dyDescent="0.2">
      <c r="B396" s="117" t="s">
        <v>265</v>
      </c>
      <c r="C396" s="117"/>
      <c r="D396" s="117" t="s">
        <v>223</v>
      </c>
      <c r="E396" s="117">
        <v>2022</v>
      </c>
      <c r="F396" s="117" t="s">
        <v>266</v>
      </c>
      <c r="G396" s="117" t="s">
        <v>101</v>
      </c>
      <c r="H396" s="19" t="s">
        <v>3</v>
      </c>
      <c r="I396" s="83">
        <f t="shared" si="102"/>
        <v>12.8</v>
      </c>
      <c r="J396" s="83">
        <f t="shared" ref="J396:N396" si="114">J397+J398+J399</f>
        <v>0</v>
      </c>
      <c r="K396" s="83">
        <f t="shared" si="114"/>
        <v>0</v>
      </c>
      <c r="L396" s="83">
        <v>12.8</v>
      </c>
      <c r="M396" s="83">
        <f t="shared" si="114"/>
        <v>0</v>
      </c>
      <c r="N396" s="83">
        <f t="shared" si="114"/>
        <v>0</v>
      </c>
      <c r="O396" s="83">
        <v>0</v>
      </c>
      <c r="P396" s="139">
        <v>180</v>
      </c>
    </row>
    <row r="397" spans="2:16" s="21" customFormat="1" outlineLevel="1" x14ac:dyDescent="0.2">
      <c r="B397" s="118"/>
      <c r="C397" s="132"/>
      <c r="D397" s="118"/>
      <c r="E397" s="118"/>
      <c r="F397" s="118"/>
      <c r="G397" s="118"/>
      <c r="H397" s="19" t="s">
        <v>4</v>
      </c>
      <c r="I397" s="83">
        <f t="shared" si="102"/>
        <v>0</v>
      </c>
      <c r="J397" s="83"/>
      <c r="K397" s="83"/>
      <c r="L397" s="83"/>
      <c r="M397" s="83"/>
      <c r="N397" s="83"/>
      <c r="O397" s="83"/>
      <c r="P397" s="140"/>
    </row>
    <row r="398" spans="2:16" s="21" customFormat="1" outlineLevel="1" x14ac:dyDescent="0.2">
      <c r="B398" s="118"/>
      <c r="C398" s="132"/>
      <c r="D398" s="118"/>
      <c r="E398" s="118"/>
      <c r="F398" s="118"/>
      <c r="G398" s="118"/>
      <c r="H398" s="19" t="s">
        <v>6</v>
      </c>
      <c r="I398" s="83">
        <f t="shared" si="102"/>
        <v>12.8</v>
      </c>
      <c r="J398" s="83"/>
      <c r="K398" s="83"/>
      <c r="L398" s="83">
        <v>12.8</v>
      </c>
      <c r="M398" s="83"/>
      <c r="N398" s="83"/>
      <c r="O398" s="83"/>
      <c r="P398" s="140"/>
    </row>
    <row r="399" spans="2:16" s="21" customFormat="1" outlineLevel="1" x14ac:dyDescent="0.2">
      <c r="B399" s="119"/>
      <c r="C399" s="133"/>
      <c r="D399" s="119"/>
      <c r="E399" s="119"/>
      <c r="F399" s="119"/>
      <c r="G399" s="119"/>
      <c r="H399" s="19" t="s">
        <v>5</v>
      </c>
      <c r="I399" s="83">
        <f t="shared" si="102"/>
        <v>0</v>
      </c>
      <c r="J399" s="83"/>
      <c r="K399" s="83"/>
      <c r="L399" s="83"/>
      <c r="M399" s="83"/>
      <c r="N399" s="83"/>
      <c r="O399" s="83"/>
      <c r="P399" s="141"/>
    </row>
    <row r="400" spans="2:16" s="21" customFormat="1" ht="42.75" outlineLevel="1" x14ac:dyDescent="0.2">
      <c r="B400" s="117" t="s">
        <v>267</v>
      </c>
      <c r="C400" s="117"/>
      <c r="D400" s="117" t="s">
        <v>223</v>
      </c>
      <c r="E400" s="117">
        <v>2022</v>
      </c>
      <c r="F400" s="117" t="s">
        <v>268</v>
      </c>
      <c r="G400" s="117" t="s">
        <v>101</v>
      </c>
      <c r="H400" s="19" t="s">
        <v>3</v>
      </c>
      <c r="I400" s="83">
        <f t="shared" si="102"/>
        <v>13.6</v>
      </c>
      <c r="J400" s="83">
        <f t="shared" ref="J400:M400" si="115">J401+J402+J403</f>
        <v>0</v>
      </c>
      <c r="K400" s="83">
        <f t="shared" si="115"/>
        <v>0</v>
      </c>
      <c r="L400" s="83">
        <v>13.6</v>
      </c>
      <c r="M400" s="83">
        <f t="shared" si="115"/>
        <v>0</v>
      </c>
      <c r="N400" s="83">
        <v>0</v>
      </c>
      <c r="O400" s="83">
        <f t="shared" ref="O400" si="116">O401+O402+O403</f>
        <v>0</v>
      </c>
      <c r="P400" s="139">
        <v>90</v>
      </c>
    </row>
    <row r="401" spans="2:16" s="21" customFormat="1" outlineLevel="1" x14ac:dyDescent="0.2">
      <c r="B401" s="118"/>
      <c r="C401" s="132"/>
      <c r="D401" s="118"/>
      <c r="E401" s="118"/>
      <c r="F401" s="118"/>
      <c r="G401" s="118"/>
      <c r="H401" s="19" t="s">
        <v>4</v>
      </c>
      <c r="I401" s="83">
        <f t="shared" si="102"/>
        <v>0</v>
      </c>
      <c r="J401" s="83"/>
      <c r="K401" s="83"/>
      <c r="L401" s="83"/>
      <c r="M401" s="83"/>
      <c r="N401" s="83"/>
      <c r="O401" s="83"/>
      <c r="P401" s="140"/>
    </row>
    <row r="402" spans="2:16" s="21" customFormat="1" outlineLevel="1" x14ac:dyDescent="0.2">
      <c r="B402" s="118"/>
      <c r="C402" s="132"/>
      <c r="D402" s="118"/>
      <c r="E402" s="118"/>
      <c r="F402" s="118"/>
      <c r="G402" s="118"/>
      <c r="H402" s="19" t="s">
        <v>6</v>
      </c>
      <c r="I402" s="83">
        <f t="shared" si="102"/>
        <v>13.6</v>
      </c>
      <c r="J402" s="83"/>
      <c r="K402" s="83"/>
      <c r="L402" s="83">
        <v>13.6</v>
      </c>
      <c r="M402" s="83"/>
      <c r="N402" s="83"/>
      <c r="O402" s="83"/>
      <c r="P402" s="140"/>
    </row>
    <row r="403" spans="2:16" s="21" customFormat="1" outlineLevel="1" x14ac:dyDescent="0.2">
      <c r="B403" s="119"/>
      <c r="C403" s="133"/>
      <c r="D403" s="119"/>
      <c r="E403" s="119"/>
      <c r="F403" s="119"/>
      <c r="G403" s="119"/>
      <c r="H403" s="19" t="s">
        <v>5</v>
      </c>
      <c r="I403" s="83">
        <f t="shared" si="102"/>
        <v>0</v>
      </c>
      <c r="J403" s="83"/>
      <c r="K403" s="83"/>
      <c r="L403" s="83"/>
      <c r="M403" s="83"/>
      <c r="N403" s="83"/>
      <c r="O403" s="83"/>
      <c r="P403" s="141"/>
    </row>
    <row r="404" spans="2:16" s="21" customFormat="1" ht="42.75" outlineLevel="1" x14ac:dyDescent="0.2">
      <c r="B404" s="117" t="s">
        <v>269</v>
      </c>
      <c r="C404" s="117"/>
      <c r="D404" s="117" t="s">
        <v>223</v>
      </c>
      <c r="E404" s="117">
        <v>2022</v>
      </c>
      <c r="F404" s="117" t="s">
        <v>270</v>
      </c>
      <c r="G404" s="117" t="s">
        <v>101</v>
      </c>
      <c r="H404" s="19" t="s">
        <v>3</v>
      </c>
      <c r="I404" s="83">
        <f t="shared" si="102"/>
        <v>9.65</v>
      </c>
      <c r="J404" s="83">
        <f t="shared" ref="J404:M404" si="117">J405+J406+J407</f>
        <v>0</v>
      </c>
      <c r="K404" s="83">
        <f t="shared" si="117"/>
        <v>0</v>
      </c>
      <c r="L404" s="83">
        <v>9.65</v>
      </c>
      <c r="M404" s="83">
        <f t="shared" si="117"/>
        <v>0</v>
      </c>
      <c r="N404" s="83">
        <v>0</v>
      </c>
      <c r="O404" s="83">
        <f t="shared" ref="O404" si="118">O405+O406+O407</f>
        <v>0</v>
      </c>
      <c r="P404" s="139">
        <v>245</v>
      </c>
    </row>
    <row r="405" spans="2:16" s="21" customFormat="1" outlineLevel="1" x14ac:dyDescent="0.2">
      <c r="B405" s="118"/>
      <c r="C405" s="132"/>
      <c r="D405" s="132"/>
      <c r="E405" s="118"/>
      <c r="F405" s="118"/>
      <c r="G405" s="118"/>
      <c r="H405" s="19" t="s">
        <v>4</v>
      </c>
      <c r="I405" s="83">
        <f t="shared" si="102"/>
        <v>0</v>
      </c>
      <c r="J405" s="83"/>
      <c r="K405" s="83"/>
      <c r="L405" s="83"/>
      <c r="M405" s="83"/>
      <c r="N405" s="83"/>
      <c r="O405" s="83"/>
      <c r="P405" s="140"/>
    </row>
    <row r="406" spans="2:16" s="21" customFormat="1" outlineLevel="1" x14ac:dyDescent="0.2">
      <c r="B406" s="118"/>
      <c r="C406" s="132"/>
      <c r="D406" s="132"/>
      <c r="E406" s="118"/>
      <c r="F406" s="118"/>
      <c r="G406" s="118"/>
      <c r="H406" s="19" t="s">
        <v>6</v>
      </c>
      <c r="I406" s="83">
        <f t="shared" si="102"/>
        <v>9.65</v>
      </c>
      <c r="J406" s="83"/>
      <c r="K406" s="83"/>
      <c r="L406" s="83">
        <v>9.65</v>
      </c>
      <c r="M406" s="83"/>
      <c r="N406" s="83"/>
      <c r="O406" s="83"/>
      <c r="P406" s="140"/>
    </row>
    <row r="407" spans="2:16" s="21" customFormat="1" outlineLevel="1" x14ac:dyDescent="0.2">
      <c r="B407" s="119"/>
      <c r="C407" s="133"/>
      <c r="D407" s="133"/>
      <c r="E407" s="119"/>
      <c r="F407" s="119"/>
      <c r="G407" s="119"/>
      <c r="H407" s="19" t="s">
        <v>5</v>
      </c>
      <c r="I407" s="83">
        <f t="shared" si="102"/>
        <v>0</v>
      </c>
      <c r="J407" s="83"/>
      <c r="K407" s="83"/>
      <c r="L407" s="83"/>
      <c r="M407" s="83"/>
      <c r="N407" s="83"/>
      <c r="O407" s="83"/>
      <c r="P407" s="141"/>
    </row>
    <row r="408" spans="2:16" s="21" customFormat="1" ht="42.75" outlineLevel="1" x14ac:dyDescent="0.2">
      <c r="B408" s="117" t="s">
        <v>271</v>
      </c>
      <c r="C408" s="117"/>
      <c r="D408" s="117" t="s">
        <v>223</v>
      </c>
      <c r="E408" s="117">
        <v>2023</v>
      </c>
      <c r="F408" s="117" t="s">
        <v>272</v>
      </c>
      <c r="G408" s="117" t="s">
        <v>101</v>
      </c>
      <c r="H408" s="19" t="s">
        <v>3</v>
      </c>
      <c r="I408" s="83">
        <f t="shared" si="102"/>
        <v>14.6</v>
      </c>
      <c r="J408" s="83">
        <f t="shared" ref="J408:N408" si="119">J409+J410+J411</f>
        <v>0</v>
      </c>
      <c r="K408" s="83">
        <f t="shared" si="119"/>
        <v>0</v>
      </c>
      <c r="L408" s="83">
        <f t="shared" si="119"/>
        <v>0</v>
      </c>
      <c r="M408" s="83">
        <v>14.6</v>
      </c>
      <c r="N408" s="83">
        <f t="shared" si="119"/>
        <v>0</v>
      </c>
      <c r="O408" s="83">
        <v>0</v>
      </c>
      <c r="P408" s="139">
        <v>86</v>
      </c>
    </row>
    <row r="409" spans="2:16" s="21" customFormat="1" outlineLevel="1" x14ac:dyDescent="0.2">
      <c r="B409" s="118"/>
      <c r="C409" s="132"/>
      <c r="D409" s="118"/>
      <c r="E409" s="118"/>
      <c r="F409" s="118"/>
      <c r="G409" s="118"/>
      <c r="H409" s="19" t="s">
        <v>4</v>
      </c>
      <c r="I409" s="83">
        <f t="shared" si="102"/>
        <v>0</v>
      </c>
      <c r="J409" s="83"/>
      <c r="K409" s="83"/>
      <c r="L409" s="83"/>
      <c r="M409" s="83"/>
      <c r="N409" s="83"/>
      <c r="O409" s="83"/>
      <c r="P409" s="140"/>
    </row>
    <row r="410" spans="2:16" s="21" customFormat="1" outlineLevel="1" x14ac:dyDescent="0.2">
      <c r="B410" s="118"/>
      <c r="C410" s="132"/>
      <c r="D410" s="118"/>
      <c r="E410" s="118"/>
      <c r="F410" s="118"/>
      <c r="G410" s="118"/>
      <c r="H410" s="19" t="s">
        <v>6</v>
      </c>
      <c r="I410" s="83">
        <f t="shared" si="102"/>
        <v>14.6</v>
      </c>
      <c r="J410" s="83"/>
      <c r="K410" s="83"/>
      <c r="L410" s="83"/>
      <c r="M410" s="83">
        <v>14.6</v>
      </c>
      <c r="N410" s="83"/>
      <c r="O410" s="83"/>
      <c r="P410" s="140"/>
    </row>
    <row r="411" spans="2:16" s="21" customFormat="1" outlineLevel="1" x14ac:dyDescent="0.2">
      <c r="B411" s="119"/>
      <c r="C411" s="133"/>
      <c r="D411" s="119"/>
      <c r="E411" s="119"/>
      <c r="F411" s="119"/>
      <c r="G411" s="119"/>
      <c r="H411" s="19" t="s">
        <v>5</v>
      </c>
      <c r="I411" s="83">
        <f t="shared" si="102"/>
        <v>0</v>
      </c>
      <c r="J411" s="83"/>
      <c r="K411" s="83"/>
      <c r="L411" s="83"/>
      <c r="M411" s="83"/>
      <c r="N411" s="83"/>
      <c r="O411" s="83"/>
      <c r="P411" s="141"/>
    </row>
    <row r="412" spans="2:16" s="21" customFormat="1" ht="42.75" outlineLevel="1" x14ac:dyDescent="0.2">
      <c r="B412" s="117" t="s">
        <v>273</v>
      </c>
      <c r="C412" s="117"/>
      <c r="D412" s="117" t="s">
        <v>223</v>
      </c>
      <c r="E412" s="117">
        <v>2023</v>
      </c>
      <c r="F412" s="117" t="s">
        <v>274</v>
      </c>
      <c r="G412" s="117" t="s">
        <v>101</v>
      </c>
      <c r="H412" s="19" t="s">
        <v>3</v>
      </c>
      <c r="I412" s="83">
        <f t="shared" si="102"/>
        <v>15.7</v>
      </c>
      <c r="J412" s="83">
        <f t="shared" ref="J412:L412" si="120">J413+J414+J415</f>
        <v>0</v>
      </c>
      <c r="K412" s="83">
        <f t="shared" si="120"/>
        <v>0</v>
      </c>
      <c r="L412" s="83">
        <f t="shared" si="120"/>
        <v>0</v>
      </c>
      <c r="M412" s="83">
        <v>15.7</v>
      </c>
      <c r="N412" s="83">
        <v>0</v>
      </c>
      <c r="O412" s="83">
        <f t="shared" ref="O412" si="121">O413+O414+O415</f>
        <v>0</v>
      </c>
      <c r="P412" s="139">
        <v>99</v>
      </c>
    </row>
    <row r="413" spans="2:16" s="21" customFormat="1" outlineLevel="1" x14ac:dyDescent="0.2">
      <c r="B413" s="118"/>
      <c r="C413" s="132"/>
      <c r="D413" s="118"/>
      <c r="E413" s="118"/>
      <c r="F413" s="118"/>
      <c r="G413" s="118"/>
      <c r="H413" s="19" t="s">
        <v>4</v>
      </c>
      <c r="I413" s="83">
        <f t="shared" si="102"/>
        <v>0</v>
      </c>
      <c r="J413" s="83"/>
      <c r="K413" s="83"/>
      <c r="L413" s="83"/>
      <c r="M413" s="83"/>
      <c r="N413" s="83"/>
      <c r="O413" s="83"/>
      <c r="P413" s="140"/>
    </row>
    <row r="414" spans="2:16" s="21" customFormat="1" outlineLevel="1" x14ac:dyDescent="0.2">
      <c r="B414" s="118"/>
      <c r="C414" s="132"/>
      <c r="D414" s="118"/>
      <c r="E414" s="118"/>
      <c r="F414" s="118"/>
      <c r="G414" s="118"/>
      <c r="H414" s="19" t="s">
        <v>6</v>
      </c>
      <c r="I414" s="83">
        <f t="shared" si="102"/>
        <v>15.7</v>
      </c>
      <c r="J414" s="83"/>
      <c r="K414" s="83"/>
      <c r="L414" s="83"/>
      <c r="M414" s="83">
        <v>15.7</v>
      </c>
      <c r="N414" s="83"/>
      <c r="O414" s="83"/>
      <c r="P414" s="140"/>
    </row>
    <row r="415" spans="2:16" s="21" customFormat="1" outlineLevel="1" x14ac:dyDescent="0.2">
      <c r="B415" s="119"/>
      <c r="C415" s="133"/>
      <c r="D415" s="119"/>
      <c r="E415" s="119"/>
      <c r="F415" s="119"/>
      <c r="G415" s="119"/>
      <c r="H415" s="19" t="s">
        <v>5</v>
      </c>
      <c r="I415" s="83">
        <f t="shared" si="102"/>
        <v>0</v>
      </c>
      <c r="J415" s="83"/>
      <c r="K415" s="83"/>
      <c r="L415" s="83"/>
      <c r="M415" s="83"/>
      <c r="N415" s="83"/>
      <c r="O415" s="83"/>
      <c r="P415" s="141"/>
    </row>
    <row r="416" spans="2:16" s="21" customFormat="1" ht="42.75" customHeight="1" outlineLevel="1" x14ac:dyDescent="0.2">
      <c r="B416" s="117" t="s">
        <v>275</v>
      </c>
      <c r="C416" s="117"/>
      <c r="D416" s="117" t="s">
        <v>223</v>
      </c>
      <c r="E416" s="117">
        <v>2024</v>
      </c>
      <c r="F416" s="117" t="s">
        <v>276</v>
      </c>
      <c r="G416" s="117" t="s">
        <v>101</v>
      </c>
      <c r="H416" s="19" t="s">
        <v>3</v>
      </c>
      <c r="I416" s="83">
        <f t="shared" si="102"/>
        <v>95.5</v>
      </c>
      <c r="J416" s="83">
        <f t="shared" ref="J416:M416" si="122">J417+J418+J419</f>
        <v>0</v>
      </c>
      <c r="K416" s="83">
        <f t="shared" si="122"/>
        <v>0</v>
      </c>
      <c r="L416" s="83">
        <f t="shared" si="122"/>
        <v>0</v>
      </c>
      <c r="M416" s="83">
        <f t="shared" si="122"/>
        <v>0</v>
      </c>
      <c r="N416" s="83">
        <v>95.5</v>
      </c>
      <c r="O416" s="83">
        <f t="shared" ref="O416" si="123">O417+O418+O419</f>
        <v>0</v>
      </c>
      <c r="P416" s="139">
        <v>15</v>
      </c>
    </row>
    <row r="417" spans="2:16" s="21" customFormat="1" outlineLevel="1" x14ac:dyDescent="0.2">
      <c r="B417" s="118"/>
      <c r="C417" s="132"/>
      <c r="D417" s="132"/>
      <c r="E417" s="118"/>
      <c r="F417" s="118"/>
      <c r="G417" s="118"/>
      <c r="H417" s="19" t="s">
        <v>4</v>
      </c>
      <c r="I417" s="83">
        <f t="shared" si="102"/>
        <v>0</v>
      </c>
      <c r="J417" s="83"/>
      <c r="K417" s="83"/>
      <c r="L417" s="83"/>
      <c r="M417" s="83"/>
      <c r="N417" s="83"/>
      <c r="O417" s="83"/>
      <c r="P417" s="140"/>
    </row>
    <row r="418" spans="2:16" s="21" customFormat="1" outlineLevel="1" x14ac:dyDescent="0.2">
      <c r="B418" s="118"/>
      <c r="C418" s="132"/>
      <c r="D418" s="132"/>
      <c r="E418" s="118"/>
      <c r="F418" s="118"/>
      <c r="G418" s="118"/>
      <c r="H418" s="19" t="s">
        <v>6</v>
      </c>
      <c r="I418" s="83">
        <f t="shared" si="102"/>
        <v>95.5</v>
      </c>
      <c r="J418" s="83"/>
      <c r="K418" s="83"/>
      <c r="L418" s="83"/>
      <c r="M418" s="83"/>
      <c r="N418" s="83">
        <v>95.5</v>
      </c>
      <c r="O418" s="83"/>
      <c r="P418" s="140"/>
    </row>
    <row r="419" spans="2:16" s="21" customFormat="1" outlineLevel="1" x14ac:dyDescent="0.2">
      <c r="B419" s="119"/>
      <c r="C419" s="133"/>
      <c r="D419" s="133"/>
      <c r="E419" s="119"/>
      <c r="F419" s="119"/>
      <c r="G419" s="119"/>
      <c r="H419" s="19" t="s">
        <v>5</v>
      </c>
      <c r="I419" s="83">
        <f t="shared" si="102"/>
        <v>0</v>
      </c>
      <c r="J419" s="83"/>
      <c r="K419" s="83"/>
      <c r="L419" s="83"/>
      <c r="M419" s="83"/>
      <c r="N419" s="83"/>
      <c r="O419" s="83"/>
      <c r="P419" s="141"/>
    </row>
    <row r="420" spans="2:16" s="21" customFormat="1" ht="42.75" outlineLevel="1" x14ac:dyDescent="0.2">
      <c r="B420" s="117" t="s">
        <v>277</v>
      </c>
      <c r="C420" s="117"/>
      <c r="D420" s="117" t="s">
        <v>223</v>
      </c>
      <c r="E420" s="117">
        <v>2024</v>
      </c>
      <c r="F420" s="117" t="s">
        <v>274</v>
      </c>
      <c r="G420" s="117" t="s">
        <v>101</v>
      </c>
      <c r="H420" s="19" t="s">
        <v>3</v>
      </c>
      <c r="I420" s="83">
        <f t="shared" si="102"/>
        <v>15.7</v>
      </c>
      <c r="J420" s="83">
        <f t="shared" ref="J420:M420" si="124">J421+J422+J423</f>
        <v>0</v>
      </c>
      <c r="K420" s="83">
        <f t="shared" si="124"/>
        <v>0</v>
      </c>
      <c r="L420" s="83">
        <f t="shared" si="124"/>
        <v>0</v>
      </c>
      <c r="M420" s="83">
        <f t="shared" si="124"/>
        <v>0</v>
      </c>
      <c r="N420" s="83">
        <v>15.7</v>
      </c>
      <c r="O420" s="83">
        <v>0</v>
      </c>
      <c r="P420" s="139">
        <v>66</v>
      </c>
    </row>
    <row r="421" spans="2:16" s="21" customFormat="1" outlineLevel="1" x14ac:dyDescent="0.2">
      <c r="B421" s="118"/>
      <c r="C421" s="132"/>
      <c r="D421" s="118"/>
      <c r="E421" s="118"/>
      <c r="F421" s="118"/>
      <c r="G421" s="118"/>
      <c r="H421" s="19" t="s">
        <v>4</v>
      </c>
      <c r="I421" s="83">
        <f t="shared" si="102"/>
        <v>0</v>
      </c>
      <c r="J421" s="83"/>
      <c r="K421" s="83"/>
      <c r="L421" s="83"/>
      <c r="M421" s="83"/>
      <c r="N421" s="83"/>
      <c r="O421" s="83"/>
      <c r="P421" s="140"/>
    </row>
    <row r="422" spans="2:16" s="21" customFormat="1" outlineLevel="1" x14ac:dyDescent="0.2">
      <c r="B422" s="118"/>
      <c r="C422" s="132"/>
      <c r="D422" s="118"/>
      <c r="E422" s="118"/>
      <c r="F422" s="118"/>
      <c r="G422" s="118"/>
      <c r="H422" s="19" t="s">
        <v>6</v>
      </c>
      <c r="I422" s="83">
        <f t="shared" si="102"/>
        <v>15.7</v>
      </c>
      <c r="J422" s="83"/>
      <c r="K422" s="83"/>
      <c r="L422" s="83"/>
      <c r="M422" s="83"/>
      <c r="N422" s="83">
        <v>15.7</v>
      </c>
      <c r="O422" s="83"/>
      <c r="P422" s="140"/>
    </row>
    <row r="423" spans="2:16" s="21" customFormat="1" outlineLevel="1" x14ac:dyDescent="0.2">
      <c r="B423" s="119"/>
      <c r="C423" s="133"/>
      <c r="D423" s="119"/>
      <c r="E423" s="119"/>
      <c r="F423" s="119"/>
      <c r="G423" s="119"/>
      <c r="H423" s="19" t="s">
        <v>5</v>
      </c>
      <c r="I423" s="83">
        <f t="shared" si="102"/>
        <v>0</v>
      </c>
      <c r="J423" s="83"/>
      <c r="K423" s="83"/>
      <c r="L423" s="83"/>
      <c r="M423" s="83"/>
      <c r="N423" s="83"/>
      <c r="O423" s="83"/>
      <c r="P423" s="141"/>
    </row>
    <row r="424" spans="2:16" s="21" customFormat="1" ht="42.75" outlineLevel="1" x14ac:dyDescent="0.2">
      <c r="B424" s="117" t="s">
        <v>278</v>
      </c>
      <c r="C424" s="117"/>
      <c r="D424" s="117" t="s">
        <v>223</v>
      </c>
      <c r="E424" s="117">
        <v>2025</v>
      </c>
      <c r="F424" s="117" t="s">
        <v>279</v>
      </c>
      <c r="G424" s="117" t="s">
        <v>101</v>
      </c>
      <c r="H424" s="19" t="s">
        <v>3</v>
      </c>
      <c r="I424" s="83">
        <f t="shared" si="102"/>
        <v>16.2</v>
      </c>
      <c r="J424" s="83">
        <f t="shared" ref="J424:M424" si="125">J425+J426+J427</f>
        <v>0</v>
      </c>
      <c r="K424" s="83">
        <f t="shared" si="125"/>
        <v>0</v>
      </c>
      <c r="L424" s="83">
        <f t="shared" si="125"/>
        <v>0</v>
      </c>
      <c r="M424" s="83">
        <f t="shared" si="125"/>
        <v>0</v>
      </c>
      <c r="N424" s="83">
        <v>0</v>
      </c>
      <c r="O424" s="83">
        <v>16.2</v>
      </c>
      <c r="P424" s="139">
        <v>41</v>
      </c>
    </row>
    <row r="425" spans="2:16" s="21" customFormat="1" outlineLevel="1" x14ac:dyDescent="0.2">
      <c r="B425" s="118"/>
      <c r="C425" s="132"/>
      <c r="D425" s="118"/>
      <c r="E425" s="118"/>
      <c r="F425" s="118"/>
      <c r="G425" s="118"/>
      <c r="H425" s="19" t="s">
        <v>4</v>
      </c>
      <c r="I425" s="83">
        <f t="shared" si="102"/>
        <v>0</v>
      </c>
      <c r="J425" s="83"/>
      <c r="K425" s="83"/>
      <c r="L425" s="83"/>
      <c r="M425" s="83"/>
      <c r="N425" s="83"/>
      <c r="O425" s="83"/>
      <c r="P425" s="140"/>
    </row>
    <row r="426" spans="2:16" s="21" customFormat="1" outlineLevel="1" x14ac:dyDescent="0.2">
      <c r="B426" s="118"/>
      <c r="C426" s="132"/>
      <c r="D426" s="118"/>
      <c r="E426" s="118"/>
      <c r="F426" s="118"/>
      <c r="G426" s="118"/>
      <c r="H426" s="19" t="s">
        <v>6</v>
      </c>
      <c r="I426" s="83">
        <f t="shared" si="102"/>
        <v>16.2</v>
      </c>
      <c r="J426" s="83"/>
      <c r="K426" s="83"/>
      <c r="L426" s="83"/>
      <c r="M426" s="83"/>
      <c r="N426" s="83"/>
      <c r="O426" s="83">
        <v>16.2</v>
      </c>
      <c r="P426" s="140"/>
    </row>
    <row r="427" spans="2:16" s="21" customFormat="1" outlineLevel="1" x14ac:dyDescent="0.2">
      <c r="B427" s="119"/>
      <c r="C427" s="133"/>
      <c r="D427" s="119"/>
      <c r="E427" s="119"/>
      <c r="F427" s="119"/>
      <c r="G427" s="119"/>
      <c r="H427" s="19" t="s">
        <v>5</v>
      </c>
      <c r="I427" s="83">
        <f t="shared" si="102"/>
        <v>0</v>
      </c>
      <c r="J427" s="83"/>
      <c r="K427" s="83"/>
      <c r="L427" s="83"/>
      <c r="M427" s="83"/>
      <c r="N427" s="83"/>
      <c r="O427" s="83"/>
      <c r="P427" s="141"/>
    </row>
    <row r="428" spans="2:16" s="21" customFormat="1" ht="42.75" outlineLevel="1" x14ac:dyDescent="0.2">
      <c r="B428" s="117" t="s">
        <v>280</v>
      </c>
      <c r="C428" s="117"/>
      <c r="D428" s="117" t="s">
        <v>223</v>
      </c>
      <c r="E428" s="117">
        <v>2025</v>
      </c>
      <c r="F428" s="117" t="s">
        <v>129</v>
      </c>
      <c r="G428" s="117" t="s">
        <v>101</v>
      </c>
      <c r="H428" s="19" t="s">
        <v>3</v>
      </c>
      <c r="I428" s="83">
        <f t="shared" si="102"/>
        <v>14.2</v>
      </c>
      <c r="J428" s="83">
        <f t="shared" ref="J428:M428" si="126">J429+J430+J431</f>
        <v>0</v>
      </c>
      <c r="K428" s="83">
        <f t="shared" si="126"/>
        <v>0</v>
      </c>
      <c r="L428" s="83">
        <f t="shared" si="126"/>
        <v>0</v>
      </c>
      <c r="M428" s="83">
        <f t="shared" si="126"/>
        <v>0</v>
      </c>
      <c r="N428" s="83">
        <v>0</v>
      </c>
      <c r="O428" s="83">
        <v>14.2</v>
      </c>
      <c r="P428" s="139">
        <v>27</v>
      </c>
    </row>
    <row r="429" spans="2:16" s="21" customFormat="1" outlineLevel="1" x14ac:dyDescent="0.2">
      <c r="B429" s="118"/>
      <c r="C429" s="132"/>
      <c r="D429" s="132"/>
      <c r="E429" s="118"/>
      <c r="F429" s="118"/>
      <c r="G429" s="118"/>
      <c r="H429" s="19" t="s">
        <v>4</v>
      </c>
      <c r="I429" s="83">
        <f t="shared" ref="I429:I447" si="127">SUM(J429:O429)</f>
        <v>0</v>
      </c>
      <c r="J429" s="83"/>
      <c r="K429" s="83"/>
      <c r="L429" s="83"/>
      <c r="M429" s="83"/>
      <c r="N429" s="83"/>
      <c r="O429" s="83"/>
      <c r="P429" s="140"/>
    </row>
    <row r="430" spans="2:16" s="21" customFormat="1" outlineLevel="1" x14ac:dyDescent="0.2">
      <c r="B430" s="118"/>
      <c r="C430" s="132"/>
      <c r="D430" s="132"/>
      <c r="E430" s="118"/>
      <c r="F430" s="118"/>
      <c r="G430" s="118"/>
      <c r="H430" s="19" t="s">
        <v>6</v>
      </c>
      <c r="I430" s="83">
        <f t="shared" si="127"/>
        <v>14.2</v>
      </c>
      <c r="J430" s="83"/>
      <c r="K430" s="83"/>
      <c r="L430" s="83"/>
      <c r="M430" s="83"/>
      <c r="N430" s="83"/>
      <c r="O430" s="83">
        <v>14.2</v>
      </c>
      <c r="P430" s="140"/>
    </row>
    <row r="431" spans="2:16" s="21" customFormat="1" outlineLevel="1" x14ac:dyDescent="0.2">
      <c r="B431" s="119"/>
      <c r="C431" s="133"/>
      <c r="D431" s="133"/>
      <c r="E431" s="119"/>
      <c r="F431" s="119"/>
      <c r="G431" s="119"/>
      <c r="H431" s="19" t="s">
        <v>5</v>
      </c>
      <c r="I431" s="83">
        <f t="shared" si="127"/>
        <v>0</v>
      </c>
      <c r="J431" s="83"/>
      <c r="K431" s="83"/>
      <c r="L431" s="83"/>
      <c r="M431" s="83"/>
      <c r="N431" s="83"/>
      <c r="O431" s="83"/>
      <c r="P431" s="141"/>
    </row>
    <row r="432" spans="2:16" s="21" customFormat="1" ht="42.75" outlineLevel="1" x14ac:dyDescent="0.2">
      <c r="B432" s="117" t="s">
        <v>281</v>
      </c>
      <c r="C432" s="117"/>
      <c r="D432" s="117" t="s">
        <v>223</v>
      </c>
      <c r="E432" s="117">
        <v>2025</v>
      </c>
      <c r="F432" s="117" t="s">
        <v>127</v>
      </c>
      <c r="G432" s="117" t="s">
        <v>101</v>
      </c>
      <c r="H432" s="19" t="s">
        <v>3</v>
      </c>
      <c r="I432" s="83">
        <f t="shared" si="127"/>
        <v>16.8</v>
      </c>
      <c r="J432" s="83">
        <f t="shared" ref="J432:N432" si="128">J433+J434+J435</f>
        <v>0</v>
      </c>
      <c r="K432" s="83">
        <f t="shared" si="128"/>
        <v>0</v>
      </c>
      <c r="L432" s="83">
        <f t="shared" si="128"/>
        <v>0</v>
      </c>
      <c r="M432" s="83">
        <f t="shared" si="128"/>
        <v>0</v>
      </c>
      <c r="N432" s="83">
        <f t="shared" si="128"/>
        <v>0</v>
      </c>
      <c r="O432" s="83">
        <v>16.8</v>
      </c>
      <c r="P432" s="139">
        <v>27</v>
      </c>
    </row>
    <row r="433" spans="2:17" s="21" customFormat="1" outlineLevel="1" x14ac:dyDescent="0.2">
      <c r="B433" s="118"/>
      <c r="C433" s="132"/>
      <c r="D433" s="118"/>
      <c r="E433" s="118"/>
      <c r="F433" s="118"/>
      <c r="G433" s="118"/>
      <c r="H433" s="19" t="s">
        <v>4</v>
      </c>
      <c r="I433" s="83">
        <f t="shared" si="127"/>
        <v>0</v>
      </c>
      <c r="J433" s="83"/>
      <c r="K433" s="83"/>
      <c r="L433" s="83"/>
      <c r="M433" s="83"/>
      <c r="N433" s="83"/>
      <c r="O433" s="83"/>
      <c r="P433" s="140"/>
    </row>
    <row r="434" spans="2:17" s="21" customFormat="1" outlineLevel="1" x14ac:dyDescent="0.2">
      <c r="B434" s="118"/>
      <c r="C434" s="132"/>
      <c r="D434" s="118"/>
      <c r="E434" s="118"/>
      <c r="F434" s="118"/>
      <c r="G434" s="118"/>
      <c r="H434" s="19" t="s">
        <v>6</v>
      </c>
      <c r="I434" s="83">
        <f t="shared" si="127"/>
        <v>16.8</v>
      </c>
      <c r="J434" s="83"/>
      <c r="K434" s="83"/>
      <c r="L434" s="83"/>
      <c r="M434" s="83"/>
      <c r="N434" s="83"/>
      <c r="O434" s="83">
        <v>16.8</v>
      </c>
      <c r="P434" s="140"/>
    </row>
    <row r="435" spans="2:17" s="21" customFormat="1" outlineLevel="1" x14ac:dyDescent="0.2">
      <c r="B435" s="119"/>
      <c r="C435" s="133"/>
      <c r="D435" s="119"/>
      <c r="E435" s="119"/>
      <c r="F435" s="119"/>
      <c r="G435" s="119"/>
      <c r="H435" s="19" t="s">
        <v>5</v>
      </c>
      <c r="I435" s="83">
        <f t="shared" si="127"/>
        <v>0</v>
      </c>
      <c r="J435" s="83"/>
      <c r="K435" s="83"/>
      <c r="L435" s="83"/>
      <c r="M435" s="83"/>
      <c r="N435" s="83"/>
      <c r="O435" s="83"/>
      <c r="P435" s="141"/>
    </row>
    <row r="436" spans="2:17" s="21" customFormat="1" ht="42.75" outlineLevel="1" x14ac:dyDescent="0.2">
      <c r="B436" s="117" t="s">
        <v>282</v>
      </c>
      <c r="C436" s="117"/>
      <c r="D436" s="117" t="s">
        <v>223</v>
      </c>
      <c r="E436" s="117">
        <v>2025</v>
      </c>
      <c r="F436" s="117" t="s">
        <v>127</v>
      </c>
      <c r="G436" s="117" t="s">
        <v>101</v>
      </c>
      <c r="H436" s="19" t="s">
        <v>3</v>
      </c>
      <c r="I436" s="83">
        <f t="shared" si="127"/>
        <v>16.8</v>
      </c>
      <c r="J436" s="83">
        <f t="shared" ref="J436:M436" si="129">J437+J438+J439</f>
        <v>0</v>
      </c>
      <c r="K436" s="83">
        <f t="shared" si="129"/>
        <v>0</v>
      </c>
      <c r="L436" s="83">
        <f t="shared" si="129"/>
        <v>0</v>
      </c>
      <c r="M436" s="83">
        <f t="shared" si="129"/>
        <v>0</v>
      </c>
      <c r="N436" s="83">
        <v>0</v>
      </c>
      <c r="O436" s="83">
        <v>16.8</v>
      </c>
      <c r="P436" s="139">
        <v>115</v>
      </c>
    </row>
    <row r="437" spans="2:17" s="21" customFormat="1" outlineLevel="1" x14ac:dyDescent="0.2">
      <c r="B437" s="118"/>
      <c r="C437" s="132"/>
      <c r="D437" s="118"/>
      <c r="E437" s="118"/>
      <c r="F437" s="118"/>
      <c r="G437" s="118"/>
      <c r="H437" s="19" t="s">
        <v>4</v>
      </c>
      <c r="I437" s="83">
        <f t="shared" si="127"/>
        <v>0</v>
      </c>
      <c r="J437" s="83"/>
      <c r="K437" s="83"/>
      <c r="L437" s="83"/>
      <c r="M437" s="83"/>
      <c r="N437" s="83"/>
      <c r="O437" s="83"/>
      <c r="P437" s="140"/>
    </row>
    <row r="438" spans="2:17" s="21" customFormat="1" outlineLevel="1" x14ac:dyDescent="0.2">
      <c r="B438" s="118"/>
      <c r="C438" s="132"/>
      <c r="D438" s="118"/>
      <c r="E438" s="118"/>
      <c r="F438" s="118"/>
      <c r="G438" s="118"/>
      <c r="H438" s="19" t="s">
        <v>6</v>
      </c>
      <c r="I438" s="83">
        <f t="shared" si="127"/>
        <v>16.8</v>
      </c>
      <c r="J438" s="83"/>
      <c r="K438" s="83"/>
      <c r="L438" s="83"/>
      <c r="M438" s="83"/>
      <c r="N438" s="83"/>
      <c r="O438" s="83">
        <v>16.8</v>
      </c>
      <c r="P438" s="140"/>
    </row>
    <row r="439" spans="2:17" s="21" customFormat="1" outlineLevel="1" x14ac:dyDescent="0.2">
      <c r="B439" s="119"/>
      <c r="C439" s="133"/>
      <c r="D439" s="119"/>
      <c r="E439" s="119"/>
      <c r="F439" s="119"/>
      <c r="G439" s="119"/>
      <c r="H439" s="19" t="s">
        <v>5</v>
      </c>
      <c r="I439" s="83">
        <f t="shared" si="127"/>
        <v>0</v>
      </c>
      <c r="J439" s="83"/>
      <c r="K439" s="83"/>
      <c r="L439" s="83"/>
      <c r="M439" s="83"/>
      <c r="N439" s="83"/>
      <c r="O439" s="83"/>
      <c r="P439" s="141"/>
    </row>
    <row r="440" spans="2:17" s="21" customFormat="1" ht="42.75" outlineLevel="1" x14ac:dyDescent="0.2">
      <c r="B440" s="117" t="s">
        <v>283</v>
      </c>
      <c r="C440" s="117"/>
      <c r="D440" s="117" t="s">
        <v>223</v>
      </c>
      <c r="E440" s="117">
        <v>2025</v>
      </c>
      <c r="F440" s="117">
        <v>2.8</v>
      </c>
      <c r="G440" s="117" t="s">
        <v>101</v>
      </c>
      <c r="H440" s="19" t="s">
        <v>3</v>
      </c>
      <c r="I440" s="83">
        <f t="shared" si="127"/>
        <v>32</v>
      </c>
      <c r="J440" s="83">
        <f t="shared" ref="J440:O440" si="130">J441+J442+J443</f>
        <v>0</v>
      </c>
      <c r="K440" s="83">
        <f t="shared" si="130"/>
        <v>0</v>
      </c>
      <c r="L440" s="83">
        <f t="shared" si="130"/>
        <v>0</v>
      </c>
      <c r="M440" s="83">
        <f t="shared" si="130"/>
        <v>0</v>
      </c>
      <c r="N440" s="83">
        <f t="shared" si="130"/>
        <v>0</v>
      </c>
      <c r="O440" s="83">
        <f t="shared" si="130"/>
        <v>32</v>
      </c>
      <c r="P440" s="139">
        <v>230</v>
      </c>
    </row>
    <row r="441" spans="2:17" s="21" customFormat="1" outlineLevel="1" x14ac:dyDescent="0.2">
      <c r="B441" s="118"/>
      <c r="C441" s="132"/>
      <c r="D441" s="118"/>
      <c r="E441" s="118"/>
      <c r="F441" s="118"/>
      <c r="G441" s="118"/>
      <c r="H441" s="19" t="s">
        <v>4</v>
      </c>
      <c r="I441" s="83">
        <f t="shared" si="127"/>
        <v>0</v>
      </c>
      <c r="J441" s="83"/>
      <c r="K441" s="83"/>
      <c r="L441" s="83"/>
      <c r="M441" s="83"/>
      <c r="N441" s="83"/>
      <c r="O441" s="83"/>
      <c r="P441" s="140"/>
    </row>
    <row r="442" spans="2:17" s="21" customFormat="1" outlineLevel="1" x14ac:dyDescent="0.2">
      <c r="B442" s="118"/>
      <c r="C442" s="132"/>
      <c r="D442" s="118"/>
      <c r="E442" s="118"/>
      <c r="F442" s="118"/>
      <c r="G442" s="118"/>
      <c r="H442" s="19" t="s">
        <v>6</v>
      </c>
      <c r="I442" s="83">
        <f t="shared" si="127"/>
        <v>32</v>
      </c>
      <c r="J442" s="83"/>
      <c r="K442" s="83"/>
      <c r="L442" s="83"/>
      <c r="M442" s="83"/>
      <c r="N442" s="83"/>
      <c r="O442" s="83">
        <v>32</v>
      </c>
      <c r="P442" s="140"/>
    </row>
    <row r="443" spans="2:17" s="21" customFormat="1" outlineLevel="1" x14ac:dyDescent="0.2">
      <c r="B443" s="119"/>
      <c r="C443" s="133"/>
      <c r="D443" s="119"/>
      <c r="E443" s="119"/>
      <c r="F443" s="119"/>
      <c r="G443" s="119"/>
      <c r="H443" s="19" t="s">
        <v>5</v>
      </c>
      <c r="I443" s="83">
        <f t="shared" si="127"/>
        <v>0</v>
      </c>
      <c r="J443" s="83"/>
      <c r="K443" s="83"/>
      <c r="L443" s="83"/>
      <c r="M443" s="83"/>
      <c r="N443" s="83"/>
      <c r="O443" s="83"/>
      <c r="P443" s="141"/>
    </row>
    <row r="444" spans="2:17" s="21" customFormat="1" ht="42.75" outlineLevel="1" x14ac:dyDescent="0.2">
      <c r="B444" s="117" t="s">
        <v>284</v>
      </c>
      <c r="C444" s="117"/>
      <c r="D444" s="117" t="s">
        <v>285</v>
      </c>
      <c r="E444" s="117" t="s">
        <v>286</v>
      </c>
      <c r="F444" s="117" t="s">
        <v>287</v>
      </c>
      <c r="G444" s="117" t="s">
        <v>101</v>
      </c>
      <c r="H444" s="19" t="s">
        <v>3</v>
      </c>
      <c r="I444" s="83">
        <f t="shared" si="127"/>
        <v>300</v>
      </c>
      <c r="J444" s="83">
        <f t="shared" ref="J444:O444" si="131">J445+J446+J447</f>
        <v>0</v>
      </c>
      <c r="K444" s="83">
        <f t="shared" si="131"/>
        <v>0</v>
      </c>
      <c r="L444" s="83">
        <f t="shared" si="131"/>
        <v>0</v>
      </c>
      <c r="M444" s="83">
        <f t="shared" si="131"/>
        <v>100</v>
      </c>
      <c r="N444" s="83">
        <f t="shared" si="131"/>
        <v>100</v>
      </c>
      <c r="O444" s="83">
        <f t="shared" si="131"/>
        <v>100</v>
      </c>
      <c r="P444" s="139">
        <v>8200</v>
      </c>
    </row>
    <row r="445" spans="2:17" s="21" customFormat="1" outlineLevel="1" x14ac:dyDescent="0.2">
      <c r="B445" s="118"/>
      <c r="C445" s="132"/>
      <c r="D445" s="118"/>
      <c r="E445" s="118"/>
      <c r="F445" s="118"/>
      <c r="G445" s="118"/>
      <c r="H445" s="19" t="s">
        <v>4</v>
      </c>
      <c r="I445" s="83">
        <f t="shared" si="127"/>
        <v>0</v>
      </c>
      <c r="J445" s="83"/>
      <c r="K445" s="83"/>
      <c r="L445" s="83"/>
      <c r="M445" s="83"/>
      <c r="N445" s="83"/>
      <c r="O445" s="83"/>
      <c r="P445" s="140"/>
    </row>
    <row r="446" spans="2:17" s="21" customFormat="1" outlineLevel="1" x14ac:dyDescent="0.2">
      <c r="B446" s="118"/>
      <c r="C446" s="132"/>
      <c r="D446" s="118"/>
      <c r="E446" s="118"/>
      <c r="F446" s="118"/>
      <c r="G446" s="118"/>
      <c r="H446" s="19" t="s">
        <v>6</v>
      </c>
      <c r="I446" s="83">
        <f t="shared" si="127"/>
        <v>300</v>
      </c>
      <c r="J446" s="83"/>
      <c r="K446" s="83"/>
      <c r="L446" s="83"/>
      <c r="M446" s="83">
        <v>100</v>
      </c>
      <c r="N446" s="83">
        <v>100</v>
      </c>
      <c r="O446" s="83">
        <v>100</v>
      </c>
      <c r="P446" s="140"/>
    </row>
    <row r="447" spans="2:17" s="21" customFormat="1" outlineLevel="1" x14ac:dyDescent="0.2">
      <c r="B447" s="119"/>
      <c r="C447" s="133"/>
      <c r="D447" s="119"/>
      <c r="E447" s="119"/>
      <c r="F447" s="119"/>
      <c r="G447" s="119"/>
      <c r="H447" s="19" t="s">
        <v>5</v>
      </c>
      <c r="I447" s="83">
        <f t="shared" si="127"/>
        <v>0</v>
      </c>
      <c r="J447" s="83"/>
      <c r="K447" s="83"/>
      <c r="L447" s="83"/>
      <c r="M447" s="83"/>
      <c r="N447" s="83"/>
      <c r="O447" s="83"/>
      <c r="P447" s="141"/>
    </row>
    <row r="448" spans="2:17" ht="42.75" x14ac:dyDescent="0.2">
      <c r="B448" s="128" t="s">
        <v>288</v>
      </c>
      <c r="C448" s="128" t="s">
        <v>38</v>
      </c>
      <c r="D448" s="128" t="s">
        <v>38</v>
      </c>
      <c r="E448" s="128" t="s">
        <v>38</v>
      </c>
      <c r="F448" s="128" t="s">
        <v>38</v>
      </c>
      <c r="G448" s="128" t="s">
        <v>38</v>
      </c>
      <c r="H448" s="84" t="s">
        <v>3</v>
      </c>
      <c r="I448" s="14">
        <f t="shared" ref="I448:O448" si="132">SUMIF($H$300:$H$447,"Объем*",I$300:I$447)</f>
        <v>1174.991</v>
      </c>
      <c r="J448" s="14">
        <f t="shared" si="132"/>
        <v>9.5</v>
      </c>
      <c r="K448" s="14">
        <f t="shared" si="132"/>
        <v>473.24099999999999</v>
      </c>
      <c r="L448" s="14">
        <f t="shared" si="132"/>
        <v>62.45</v>
      </c>
      <c r="M448" s="14">
        <f t="shared" si="132"/>
        <v>146.80000000000001</v>
      </c>
      <c r="N448" s="14">
        <f t="shared" si="132"/>
        <v>251</v>
      </c>
      <c r="O448" s="14">
        <f t="shared" si="132"/>
        <v>232</v>
      </c>
      <c r="P448" s="128"/>
      <c r="Q448" s="7"/>
    </row>
    <row r="449" spans="2:16" ht="15.75" x14ac:dyDescent="0.2">
      <c r="B449" s="129"/>
      <c r="C449" s="129"/>
      <c r="D449" s="129"/>
      <c r="E449" s="129"/>
      <c r="F449" s="129"/>
      <c r="G449" s="129"/>
      <c r="H449" s="84" t="s">
        <v>4</v>
      </c>
      <c r="I449" s="14">
        <f t="shared" ref="I449:O449" si="133">SUMIF($H$300:$H$447,"фед*",I$300:I$447)</f>
        <v>0</v>
      </c>
      <c r="J449" s="14">
        <f t="shared" si="133"/>
        <v>0</v>
      </c>
      <c r="K449" s="14">
        <f t="shared" si="133"/>
        <v>0</v>
      </c>
      <c r="L449" s="14">
        <f t="shared" si="133"/>
        <v>0</v>
      </c>
      <c r="M449" s="14">
        <f t="shared" si="133"/>
        <v>0</v>
      </c>
      <c r="N449" s="14">
        <f t="shared" si="133"/>
        <v>0</v>
      </c>
      <c r="O449" s="14">
        <f t="shared" si="133"/>
        <v>0</v>
      </c>
      <c r="P449" s="129"/>
    </row>
    <row r="450" spans="2:16" ht="15.75" x14ac:dyDescent="0.2">
      <c r="B450" s="129"/>
      <c r="C450" s="129"/>
      <c r="D450" s="129"/>
      <c r="E450" s="129"/>
      <c r="F450" s="129"/>
      <c r="G450" s="129"/>
      <c r="H450" s="84" t="s">
        <v>6</v>
      </c>
      <c r="I450" s="14">
        <f t="shared" ref="I450:O450" si="134">SUMIF($H$300:$H$447,"конс*",I$300:I$447)</f>
        <v>1174.991</v>
      </c>
      <c r="J450" s="14">
        <f t="shared" si="134"/>
        <v>9.5</v>
      </c>
      <c r="K450" s="14">
        <f t="shared" si="134"/>
        <v>473.24099999999999</v>
      </c>
      <c r="L450" s="14">
        <f t="shared" si="134"/>
        <v>62.45</v>
      </c>
      <c r="M450" s="14">
        <f t="shared" si="134"/>
        <v>146.80000000000001</v>
      </c>
      <c r="N450" s="14">
        <f t="shared" si="134"/>
        <v>251</v>
      </c>
      <c r="O450" s="14">
        <f t="shared" si="134"/>
        <v>232</v>
      </c>
      <c r="P450" s="129"/>
    </row>
    <row r="451" spans="2:16" ht="15.75" x14ac:dyDescent="0.2">
      <c r="B451" s="130"/>
      <c r="C451" s="130"/>
      <c r="D451" s="130"/>
      <c r="E451" s="130"/>
      <c r="F451" s="130"/>
      <c r="G451" s="130"/>
      <c r="H451" s="84" t="s">
        <v>5</v>
      </c>
      <c r="I451" s="14">
        <f t="shared" ref="I451:O451" si="135">SUMIF($H$300:$H$447,"вне*",I$300:I$447)</f>
        <v>0</v>
      </c>
      <c r="J451" s="14">
        <f t="shared" si="135"/>
        <v>0</v>
      </c>
      <c r="K451" s="14">
        <f t="shared" si="135"/>
        <v>0</v>
      </c>
      <c r="L451" s="14">
        <f t="shared" si="135"/>
        <v>0</v>
      </c>
      <c r="M451" s="14">
        <f t="shared" si="135"/>
        <v>0</v>
      </c>
      <c r="N451" s="14">
        <f t="shared" si="135"/>
        <v>0</v>
      </c>
      <c r="O451" s="14">
        <f t="shared" si="135"/>
        <v>0</v>
      </c>
      <c r="P451" s="130"/>
    </row>
    <row r="452" spans="2:16" ht="25.5" customHeight="1" x14ac:dyDescent="0.2">
      <c r="B452" s="111" t="s">
        <v>289</v>
      </c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3"/>
    </row>
    <row r="453" spans="2:16" s="21" customFormat="1" ht="42.75" customHeight="1" outlineLevel="1" x14ac:dyDescent="0.2">
      <c r="B453" s="139" t="s">
        <v>290</v>
      </c>
      <c r="C453" s="139"/>
      <c r="D453" s="139" t="s">
        <v>289</v>
      </c>
      <c r="E453" s="117">
        <v>2020</v>
      </c>
      <c r="F453" s="117" t="s">
        <v>291</v>
      </c>
      <c r="G453" s="117" t="s">
        <v>83</v>
      </c>
      <c r="H453" s="19" t="s">
        <v>3</v>
      </c>
      <c r="I453" s="23">
        <f>SUM(J453:O453)</f>
        <v>22.8</v>
      </c>
      <c r="J453" s="23">
        <f t="shared" ref="J453:O453" si="136">J454+J455+J456</f>
        <v>22.8</v>
      </c>
      <c r="K453" s="23">
        <f t="shared" si="136"/>
        <v>0</v>
      </c>
      <c r="L453" s="23">
        <f t="shared" si="136"/>
        <v>0</v>
      </c>
      <c r="M453" s="23">
        <f t="shared" si="136"/>
        <v>0</v>
      </c>
      <c r="N453" s="23">
        <f t="shared" si="136"/>
        <v>0</v>
      </c>
      <c r="O453" s="23">
        <f t="shared" si="136"/>
        <v>0</v>
      </c>
      <c r="P453" s="139"/>
    </row>
    <row r="454" spans="2:16" s="21" customFormat="1" ht="25.5" customHeight="1" outlineLevel="1" x14ac:dyDescent="0.2">
      <c r="B454" s="140"/>
      <c r="C454" s="132"/>
      <c r="D454" s="140"/>
      <c r="E454" s="118"/>
      <c r="F454" s="118"/>
      <c r="G454" s="118"/>
      <c r="H454" s="19" t="s">
        <v>4</v>
      </c>
      <c r="I454" s="23">
        <f t="shared" ref="I454:I517" si="137">SUM(J454:O454)</f>
        <v>0</v>
      </c>
      <c r="J454" s="23"/>
      <c r="K454" s="23"/>
      <c r="L454" s="23"/>
      <c r="M454" s="23"/>
      <c r="N454" s="23"/>
      <c r="O454" s="23"/>
      <c r="P454" s="140"/>
    </row>
    <row r="455" spans="2:16" s="21" customFormat="1" ht="25.5" customHeight="1" outlineLevel="1" x14ac:dyDescent="0.2">
      <c r="B455" s="140"/>
      <c r="C455" s="132"/>
      <c r="D455" s="140"/>
      <c r="E455" s="118"/>
      <c r="F455" s="118"/>
      <c r="G455" s="118"/>
      <c r="H455" s="19" t="s">
        <v>6</v>
      </c>
      <c r="I455" s="23">
        <f t="shared" si="137"/>
        <v>22.8</v>
      </c>
      <c r="J455" s="23">
        <v>22.8</v>
      </c>
      <c r="K455" s="23"/>
      <c r="L455" s="23"/>
      <c r="M455" s="23"/>
      <c r="N455" s="23"/>
      <c r="O455" s="23"/>
      <c r="P455" s="140"/>
    </row>
    <row r="456" spans="2:16" s="21" customFormat="1" ht="36.75" customHeight="1" outlineLevel="1" x14ac:dyDescent="0.2">
      <c r="B456" s="141"/>
      <c r="C456" s="133"/>
      <c r="D456" s="141"/>
      <c r="E456" s="119"/>
      <c r="F456" s="119"/>
      <c r="G456" s="119"/>
      <c r="H456" s="19" t="s">
        <v>5</v>
      </c>
      <c r="I456" s="23">
        <f t="shared" si="137"/>
        <v>0</v>
      </c>
      <c r="J456" s="23"/>
      <c r="K456" s="23"/>
      <c r="L456" s="23"/>
      <c r="M456" s="23"/>
      <c r="N456" s="23"/>
      <c r="O456" s="23"/>
      <c r="P456" s="141"/>
    </row>
    <row r="457" spans="2:16" s="21" customFormat="1" ht="25.5" customHeight="1" outlineLevel="1" x14ac:dyDescent="0.2">
      <c r="B457" s="139" t="s">
        <v>292</v>
      </c>
      <c r="C457" s="139"/>
      <c r="D457" s="139" t="s">
        <v>289</v>
      </c>
      <c r="E457" s="139">
        <v>2023</v>
      </c>
      <c r="F457" s="139" t="s">
        <v>293</v>
      </c>
      <c r="G457" s="139" t="s">
        <v>83</v>
      </c>
      <c r="H457" s="19" t="s">
        <v>3</v>
      </c>
      <c r="I457" s="23">
        <f t="shared" si="137"/>
        <v>14.85</v>
      </c>
      <c r="J457" s="23">
        <f t="shared" ref="J457:O457" si="138">J458+J459+J460</f>
        <v>0</v>
      </c>
      <c r="K457" s="23">
        <f t="shared" si="138"/>
        <v>0</v>
      </c>
      <c r="L457" s="23">
        <f t="shared" si="138"/>
        <v>0</v>
      </c>
      <c r="M457" s="23">
        <f t="shared" si="138"/>
        <v>14.85</v>
      </c>
      <c r="N457" s="23">
        <f t="shared" si="138"/>
        <v>0</v>
      </c>
      <c r="O457" s="23">
        <f t="shared" si="138"/>
        <v>0</v>
      </c>
      <c r="P457" s="139"/>
    </row>
    <row r="458" spans="2:16" s="21" customFormat="1" ht="25.5" customHeight="1" outlineLevel="1" x14ac:dyDescent="0.2">
      <c r="B458" s="140"/>
      <c r="C458" s="132"/>
      <c r="D458" s="140"/>
      <c r="E458" s="140"/>
      <c r="F458" s="140"/>
      <c r="G458" s="140"/>
      <c r="H458" s="19" t="s">
        <v>4</v>
      </c>
      <c r="I458" s="23">
        <f t="shared" si="137"/>
        <v>0</v>
      </c>
      <c r="J458" s="23"/>
      <c r="K458" s="23"/>
      <c r="L458" s="23"/>
      <c r="M458" s="23"/>
      <c r="N458" s="23"/>
      <c r="O458" s="23"/>
      <c r="P458" s="140"/>
    </row>
    <row r="459" spans="2:16" s="21" customFormat="1" ht="25.5" customHeight="1" outlineLevel="1" x14ac:dyDescent="0.2">
      <c r="B459" s="140"/>
      <c r="C459" s="132"/>
      <c r="D459" s="140"/>
      <c r="E459" s="140"/>
      <c r="F459" s="140"/>
      <c r="G459" s="140"/>
      <c r="H459" s="19" t="s">
        <v>6</v>
      </c>
      <c r="I459" s="23">
        <f t="shared" si="137"/>
        <v>14.85</v>
      </c>
      <c r="J459" s="23"/>
      <c r="K459" s="23"/>
      <c r="L459" s="23"/>
      <c r="M459" s="23">
        <v>14.85</v>
      </c>
      <c r="N459" s="23"/>
      <c r="O459" s="23"/>
      <c r="P459" s="140"/>
    </row>
    <row r="460" spans="2:16" s="21" customFormat="1" ht="25.5" customHeight="1" outlineLevel="1" x14ac:dyDescent="0.2">
      <c r="B460" s="141"/>
      <c r="C460" s="133"/>
      <c r="D460" s="141"/>
      <c r="E460" s="141"/>
      <c r="F460" s="141"/>
      <c r="G460" s="141"/>
      <c r="H460" s="19" t="s">
        <v>5</v>
      </c>
      <c r="I460" s="23">
        <f t="shared" si="137"/>
        <v>0</v>
      </c>
      <c r="J460" s="23"/>
      <c r="K460" s="23"/>
      <c r="L460" s="23"/>
      <c r="M460" s="23"/>
      <c r="N460" s="23"/>
      <c r="O460" s="23"/>
      <c r="P460" s="141"/>
    </row>
    <row r="461" spans="2:16" s="21" customFormat="1" ht="42.75" outlineLevel="1" x14ac:dyDescent="0.2">
      <c r="B461" s="139" t="s">
        <v>294</v>
      </c>
      <c r="C461" s="139"/>
      <c r="D461" s="139" t="s">
        <v>289</v>
      </c>
      <c r="E461" s="117">
        <v>2023</v>
      </c>
      <c r="F461" s="139" t="s">
        <v>295</v>
      </c>
      <c r="G461" s="139" t="s">
        <v>101</v>
      </c>
      <c r="H461" s="19" t="s">
        <v>3</v>
      </c>
      <c r="I461" s="23">
        <f t="shared" si="137"/>
        <v>12.1</v>
      </c>
      <c r="J461" s="23">
        <f t="shared" ref="J461:O461" si="139">J462+J463+J464</f>
        <v>0</v>
      </c>
      <c r="K461" s="23">
        <f t="shared" si="139"/>
        <v>0</v>
      </c>
      <c r="L461" s="23">
        <f t="shared" si="139"/>
        <v>0</v>
      </c>
      <c r="M461" s="23">
        <f t="shared" si="139"/>
        <v>12.1</v>
      </c>
      <c r="N461" s="23">
        <f t="shared" si="139"/>
        <v>0</v>
      </c>
      <c r="O461" s="23">
        <f t="shared" si="139"/>
        <v>0</v>
      </c>
      <c r="P461" s="139">
        <v>252</v>
      </c>
    </row>
    <row r="462" spans="2:16" s="21" customFormat="1" outlineLevel="1" x14ac:dyDescent="0.2">
      <c r="B462" s="140"/>
      <c r="C462" s="132"/>
      <c r="D462" s="140"/>
      <c r="E462" s="118"/>
      <c r="F462" s="140"/>
      <c r="G462" s="140"/>
      <c r="H462" s="19" t="s">
        <v>4</v>
      </c>
      <c r="I462" s="23">
        <f t="shared" si="137"/>
        <v>0</v>
      </c>
      <c r="J462" s="23"/>
      <c r="K462" s="23"/>
      <c r="L462" s="23"/>
      <c r="M462" s="23"/>
      <c r="N462" s="23"/>
      <c r="O462" s="23"/>
      <c r="P462" s="140"/>
    </row>
    <row r="463" spans="2:16" s="21" customFormat="1" outlineLevel="1" x14ac:dyDescent="0.2">
      <c r="B463" s="140"/>
      <c r="C463" s="132"/>
      <c r="D463" s="140"/>
      <c r="E463" s="118"/>
      <c r="F463" s="140"/>
      <c r="G463" s="140"/>
      <c r="H463" s="19" t="s">
        <v>6</v>
      </c>
      <c r="I463" s="23">
        <f t="shared" si="137"/>
        <v>12.1</v>
      </c>
      <c r="J463" s="23"/>
      <c r="K463" s="23"/>
      <c r="L463" s="23"/>
      <c r="M463" s="23">
        <v>12.1</v>
      </c>
      <c r="N463" s="23"/>
      <c r="O463" s="23"/>
      <c r="P463" s="140"/>
    </row>
    <row r="464" spans="2:16" s="21" customFormat="1" outlineLevel="1" x14ac:dyDescent="0.2">
      <c r="B464" s="141"/>
      <c r="C464" s="133"/>
      <c r="D464" s="141"/>
      <c r="E464" s="119"/>
      <c r="F464" s="141"/>
      <c r="G464" s="141"/>
      <c r="H464" s="19" t="s">
        <v>5</v>
      </c>
      <c r="I464" s="23">
        <f t="shared" si="137"/>
        <v>0</v>
      </c>
      <c r="J464" s="23"/>
      <c r="K464" s="23"/>
      <c r="L464" s="23"/>
      <c r="M464" s="23"/>
      <c r="N464" s="23"/>
      <c r="O464" s="23"/>
      <c r="P464" s="141"/>
    </row>
    <row r="465" spans="2:16" s="21" customFormat="1" ht="42.75" outlineLevel="1" x14ac:dyDescent="0.2">
      <c r="B465" s="139" t="s">
        <v>296</v>
      </c>
      <c r="C465" s="139"/>
      <c r="D465" s="139" t="s">
        <v>289</v>
      </c>
      <c r="E465" s="139">
        <v>2021</v>
      </c>
      <c r="F465" s="139" t="s">
        <v>191</v>
      </c>
      <c r="G465" s="139" t="s">
        <v>101</v>
      </c>
      <c r="H465" s="19" t="s">
        <v>3</v>
      </c>
      <c r="I465" s="23">
        <f t="shared" si="137"/>
        <v>8.6</v>
      </c>
      <c r="J465" s="23">
        <f t="shared" ref="J465:O465" si="140">J466+J467+J468</f>
        <v>0</v>
      </c>
      <c r="K465" s="23">
        <f>K466+K467+K468</f>
        <v>8.6</v>
      </c>
      <c r="L465" s="23">
        <f t="shared" si="140"/>
        <v>0</v>
      </c>
      <c r="M465" s="23">
        <v>0</v>
      </c>
      <c r="N465" s="23">
        <f t="shared" si="140"/>
        <v>0</v>
      </c>
      <c r="O465" s="23">
        <f t="shared" si="140"/>
        <v>0</v>
      </c>
      <c r="P465" s="139">
        <v>535</v>
      </c>
    </row>
    <row r="466" spans="2:16" s="21" customFormat="1" outlineLevel="1" x14ac:dyDescent="0.2">
      <c r="B466" s="140"/>
      <c r="C466" s="132"/>
      <c r="D466" s="140"/>
      <c r="E466" s="140"/>
      <c r="F466" s="140"/>
      <c r="G466" s="140"/>
      <c r="H466" s="19" t="s">
        <v>4</v>
      </c>
      <c r="I466" s="23">
        <f t="shared" si="137"/>
        <v>0</v>
      </c>
      <c r="J466" s="23"/>
      <c r="K466" s="23"/>
      <c r="L466" s="23"/>
      <c r="M466" s="23"/>
      <c r="N466" s="23"/>
      <c r="O466" s="23"/>
      <c r="P466" s="140"/>
    </row>
    <row r="467" spans="2:16" s="21" customFormat="1" outlineLevel="1" x14ac:dyDescent="0.2">
      <c r="B467" s="140"/>
      <c r="C467" s="132"/>
      <c r="D467" s="140"/>
      <c r="E467" s="140"/>
      <c r="F467" s="140"/>
      <c r="G467" s="140"/>
      <c r="H467" s="19" t="s">
        <v>6</v>
      </c>
      <c r="I467" s="23">
        <f t="shared" si="137"/>
        <v>8.6</v>
      </c>
      <c r="J467" s="23"/>
      <c r="K467" s="23">
        <v>8.6</v>
      </c>
      <c r="L467" s="23"/>
      <c r="M467" s="23"/>
      <c r="N467" s="23"/>
      <c r="O467" s="23"/>
      <c r="P467" s="140"/>
    </row>
    <row r="468" spans="2:16" s="21" customFormat="1" outlineLevel="1" x14ac:dyDescent="0.2">
      <c r="B468" s="141"/>
      <c r="C468" s="133"/>
      <c r="D468" s="141"/>
      <c r="E468" s="141"/>
      <c r="F468" s="141"/>
      <c r="G468" s="141"/>
      <c r="H468" s="19" t="s">
        <v>5</v>
      </c>
      <c r="I468" s="23">
        <f t="shared" si="137"/>
        <v>0</v>
      </c>
      <c r="J468" s="23"/>
      <c r="K468" s="23"/>
      <c r="L468" s="23"/>
      <c r="M468" s="23"/>
      <c r="N468" s="23"/>
      <c r="O468" s="23"/>
      <c r="P468" s="141"/>
    </row>
    <row r="469" spans="2:16" s="21" customFormat="1" ht="42.75" outlineLevel="1" x14ac:dyDescent="0.2">
      <c r="B469" s="139" t="s">
        <v>297</v>
      </c>
      <c r="C469" s="139"/>
      <c r="D469" s="139" t="s">
        <v>289</v>
      </c>
      <c r="E469" s="139">
        <v>2022</v>
      </c>
      <c r="F469" s="139" t="s">
        <v>298</v>
      </c>
      <c r="G469" s="139" t="s">
        <v>101</v>
      </c>
      <c r="H469" s="19" t="s">
        <v>3</v>
      </c>
      <c r="I469" s="23">
        <f t="shared" si="137"/>
        <v>10</v>
      </c>
      <c r="J469" s="23">
        <f t="shared" ref="J469:O469" si="141">J470+J471+J472</f>
        <v>0</v>
      </c>
      <c r="K469" s="23">
        <f t="shared" si="141"/>
        <v>0</v>
      </c>
      <c r="L469" s="23">
        <f t="shared" si="141"/>
        <v>0</v>
      </c>
      <c r="M469" s="23">
        <f t="shared" si="141"/>
        <v>10</v>
      </c>
      <c r="N469" s="23">
        <f t="shared" si="141"/>
        <v>0</v>
      </c>
      <c r="O469" s="23">
        <f t="shared" si="141"/>
        <v>0</v>
      </c>
      <c r="P469" s="139">
        <v>1360</v>
      </c>
    </row>
    <row r="470" spans="2:16" s="21" customFormat="1" outlineLevel="1" x14ac:dyDescent="0.2">
      <c r="B470" s="140"/>
      <c r="C470" s="132"/>
      <c r="D470" s="140"/>
      <c r="E470" s="140"/>
      <c r="F470" s="140"/>
      <c r="G470" s="140"/>
      <c r="H470" s="19" t="s">
        <v>4</v>
      </c>
      <c r="I470" s="23">
        <f t="shared" si="137"/>
        <v>0</v>
      </c>
      <c r="J470" s="23"/>
      <c r="K470" s="23"/>
      <c r="L470" s="23"/>
      <c r="M470" s="23"/>
      <c r="N470" s="23"/>
      <c r="O470" s="23"/>
      <c r="P470" s="140"/>
    </row>
    <row r="471" spans="2:16" s="21" customFormat="1" outlineLevel="1" x14ac:dyDescent="0.2">
      <c r="B471" s="140"/>
      <c r="C471" s="132"/>
      <c r="D471" s="140"/>
      <c r="E471" s="140"/>
      <c r="F471" s="140"/>
      <c r="G471" s="140"/>
      <c r="H471" s="19" t="s">
        <v>6</v>
      </c>
      <c r="I471" s="23">
        <f t="shared" si="137"/>
        <v>10</v>
      </c>
      <c r="J471" s="23"/>
      <c r="K471" s="23"/>
      <c r="L471" s="23"/>
      <c r="M471" s="23">
        <v>10</v>
      </c>
      <c r="N471" s="23"/>
      <c r="O471" s="23"/>
      <c r="P471" s="140"/>
    </row>
    <row r="472" spans="2:16" s="21" customFormat="1" outlineLevel="1" x14ac:dyDescent="0.2">
      <c r="B472" s="141"/>
      <c r="C472" s="133"/>
      <c r="D472" s="141"/>
      <c r="E472" s="141"/>
      <c r="F472" s="141"/>
      <c r="G472" s="141"/>
      <c r="H472" s="19" t="s">
        <v>5</v>
      </c>
      <c r="I472" s="23">
        <f t="shared" si="137"/>
        <v>0</v>
      </c>
      <c r="J472" s="23"/>
      <c r="K472" s="23"/>
      <c r="L472" s="23"/>
      <c r="M472" s="23"/>
      <c r="N472" s="23"/>
      <c r="O472" s="23"/>
      <c r="P472" s="141"/>
    </row>
    <row r="473" spans="2:16" s="21" customFormat="1" ht="42.75" outlineLevel="1" x14ac:dyDescent="0.2">
      <c r="B473" s="139" t="s">
        <v>299</v>
      </c>
      <c r="C473" s="139"/>
      <c r="D473" s="139" t="s">
        <v>289</v>
      </c>
      <c r="E473" s="139">
        <v>2022</v>
      </c>
      <c r="F473" s="139" t="s">
        <v>300</v>
      </c>
      <c r="G473" s="139" t="s">
        <v>101</v>
      </c>
      <c r="H473" s="19" t="s">
        <v>3</v>
      </c>
      <c r="I473" s="23">
        <f t="shared" si="137"/>
        <v>12.9</v>
      </c>
      <c r="J473" s="23">
        <f t="shared" ref="J473:O473" si="142">J474+J475+J476</f>
        <v>0</v>
      </c>
      <c r="K473" s="23">
        <f t="shared" si="142"/>
        <v>0</v>
      </c>
      <c r="L473" s="23">
        <f t="shared" si="142"/>
        <v>12.9</v>
      </c>
      <c r="M473" s="23">
        <f t="shared" si="142"/>
        <v>0</v>
      </c>
      <c r="N473" s="23">
        <f t="shared" si="142"/>
        <v>0</v>
      </c>
      <c r="O473" s="23">
        <f t="shared" si="142"/>
        <v>0</v>
      </c>
      <c r="P473" s="139">
        <v>749</v>
      </c>
    </row>
    <row r="474" spans="2:16" s="21" customFormat="1" outlineLevel="1" x14ac:dyDescent="0.2">
      <c r="B474" s="140"/>
      <c r="C474" s="132"/>
      <c r="D474" s="140"/>
      <c r="E474" s="140"/>
      <c r="F474" s="140"/>
      <c r="G474" s="140"/>
      <c r="H474" s="19" t="s">
        <v>4</v>
      </c>
      <c r="I474" s="23">
        <f t="shared" si="137"/>
        <v>0</v>
      </c>
      <c r="J474" s="23"/>
      <c r="K474" s="23"/>
      <c r="L474" s="23"/>
      <c r="M474" s="23"/>
      <c r="N474" s="23"/>
      <c r="O474" s="23"/>
      <c r="P474" s="140"/>
    </row>
    <row r="475" spans="2:16" s="21" customFormat="1" outlineLevel="1" x14ac:dyDescent="0.2">
      <c r="B475" s="140"/>
      <c r="C475" s="132"/>
      <c r="D475" s="140"/>
      <c r="E475" s="140"/>
      <c r="F475" s="140"/>
      <c r="G475" s="140"/>
      <c r="H475" s="19" t="s">
        <v>6</v>
      </c>
      <c r="I475" s="23">
        <f t="shared" si="137"/>
        <v>12.9</v>
      </c>
      <c r="J475" s="23"/>
      <c r="K475" s="23"/>
      <c r="L475" s="23">
        <v>12.9</v>
      </c>
      <c r="M475" s="23"/>
      <c r="N475" s="23"/>
      <c r="O475" s="23"/>
      <c r="P475" s="140"/>
    </row>
    <row r="476" spans="2:16" s="21" customFormat="1" outlineLevel="1" x14ac:dyDescent="0.2">
      <c r="B476" s="141"/>
      <c r="C476" s="133"/>
      <c r="D476" s="141"/>
      <c r="E476" s="141"/>
      <c r="F476" s="141"/>
      <c r="G476" s="141"/>
      <c r="H476" s="19" t="s">
        <v>5</v>
      </c>
      <c r="I476" s="23">
        <f t="shared" si="137"/>
        <v>0</v>
      </c>
      <c r="J476" s="23"/>
      <c r="K476" s="23"/>
      <c r="L476" s="23"/>
      <c r="M476" s="23"/>
      <c r="N476" s="23"/>
      <c r="O476" s="23"/>
      <c r="P476" s="141"/>
    </row>
    <row r="477" spans="2:16" s="21" customFormat="1" ht="42.75" outlineLevel="1" x14ac:dyDescent="0.2">
      <c r="B477" s="139" t="s">
        <v>301</v>
      </c>
      <c r="C477" s="139"/>
      <c r="D477" s="139" t="s">
        <v>289</v>
      </c>
      <c r="E477" s="139">
        <v>2023</v>
      </c>
      <c r="F477" s="139" t="s">
        <v>302</v>
      </c>
      <c r="G477" s="139" t="s">
        <v>101</v>
      </c>
      <c r="H477" s="19" t="s">
        <v>3</v>
      </c>
      <c r="I477" s="23">
        <f t="shared" si="137"/>
        <v>18.899999999999999</v>
      </c>
      <c r="J477" s="23">
        <f t="shared" ref="J477:O477" si="143">J478+J479+J480</f>
        <v>0</v>
      </c>
      <c r="K477" s="23">
        <f t="shared" si="143"/>
        <v>0</v>
      </c>
      <c r="L477" s="23">
        <f t="shared" si="143"/>
        <v>0</v>
      </c>
      <c r="M477" s="23">
        <f t="shared" si="143"/>
        <v>18.899999999999999</v>
      </c>
      <c r="N477" s="23">
        <f t="shared" si="143"/>
        <v>0</v>
      </c>
      <c r="O477" s="23">
        <f t="shared" si="143"/>
        <v>0</v>
      </c>
      <c r="P477" s="139">
        <v>874</v>
      </c>
    </row>
    <row r="478" spans="2:16" s="21" customFormat="1" outlineLevel="1" x14ac:dyDescent="0.2">
      <c r="B478" s="140"/>
      <c r="C478" s="132"/>
      <c r="D478" s="140"/>
      <c r="E478" s="140"/>
      <c r="F478" s="140"/>
      <c r="G478" s="140"/>
      <c r="H478" s="19" t="s">
        <v>4</v>
      </c>
      <c r="I478" s="23">
        <f t="shared" si="137"/>
        <v>0</v>
      </c>
      <c r="J478" s="23"/>
      <c r="K478" s="23"/>
      <c r="L478" s="23"/>
      <c r="M478" s="23"/>
      <c r="N478" s="23"/>
      <c r="O478" s="23"/>
      <c r="P478" s="140"/>
    </row>
    <row r="479" spans="2:16" s="21" customFormat="1" outlineLevel="1" x14ac:dyDescent="0.2">
      <c r="B479" s="140"/>
      <c r="C479" s="132"/>
      <c r="D479" s="140"/>
      <c r="E479" s="140"/>
      <c r="F479" s="140"/>
      <c r="G479" s="140"/>
      <c r="H479" s="19" t="s">
        <v>6</v>
      </c>
      <c r="I479" s="23">
        <f t="shared" si="137"/>
        <v>18.899999999999999</v>
      </c>
      <c r="J479" s="23"/>
      <c r="K479" s="23"/>
      <c r="L479" s="23"/>
      <c r="M479" s="23">
        <v>18.899999999999999</v>
      </c>
      <c r="N479" s="23"/>
      <c r="O479" s="23"/>
      <c r="P479" s="140"/>
    </row>
    <row r="480" spans="2:16" s="21" customFormat="1" outlineLevel="1" x14ac:dyDescent="0.2">
      <c r="B480" s="141"/>
      <c r="C480" s="133"/>
      <c r="D480" s="141"/>
      <c r="E480" s="141"/>
      <c r="F480" s="141"/>
      <c r="G480" s="141"/>
      <c r="H480" s="19" t="s">
        <v>5</v>
      </c>
      <c r="I480" s="23">
        <f t="shared" si="137"/>
        <v>0</v>
      </c>
      <c r="J480" s="23"/>
      <c r="K480" s="23"/>
      <c r="L480" s="23"/>
      <c r="M480" s="23"/>
      <c r="N480" s="23"/>
      <c r="O480" s="23"/>
      <c r="P480" s="141"/>
    </row>
    <row r="481" spans="2:16" s="21" customFormat="1" ht="42.75" outlineLevel="1" x14ac:dyDescent="0.2">
      <c r="B481" s="139" t="s">
        <v>303</v>
      </c>
      <c r="C481" s="139"/>
      <c r="D481" s="139" t="s">
        <v>289</v>
      </c>
      <c r="E481" s="139">
        <v>2024</v>
      </c>
      <c r="F481" s="139" t="s">
        <v>304</v>
      </c>
      <c r="G481" s="139" t="s">
        <v>101</v>
      </c>
      <c r="H481" s="19" t="s">
        <v>3</v>
      </c>
      <c r="I481" s="23">
        <f t="shared" si="137"/>
        <v>23.2</v>
      </c>
      <c r="J481" s="23">
        <f t="shared" ref="J481:O481" si="144">J482+J483+J484</f>
        <v>0</v>
      </c>
      <c r="K481" s="23">
        <f t="shared" si="144"/>
        <v>0</v>
      </c>
      <c r="L481" s="23">
        <f t="shared" si="144"/>
        <v>0</v>
      </c>
      <c r="M481" s="23">
        <f t="shared" si="144"/>
        <v>0</v>
      </c>
      <c r="N481" s="23">
        <f t="shared" si="144"/>
        <v>23.2</v>
      </c>
      <c r="O481" s="23">
        <f t="shared" si="144"/>
        <v>0</v>
      </c>
      <c r="P481" s="139">
        <v>1661</v>
      </c>
    </row>
    <row r="482" spans="2:16" s="21" customFormat="1" outlineLevel="1" x14ac:dyDescent="0.2">
      <c r="B482" s="140"/>
      <c r="C482" s="132"/>
      <c r="D482" s="140"/>
      <c r="E482" s="140"/>
      <c r="F482" s="140"/>
      <c r="G482" s="140"/>
      <c r="H482" s="19" t="s">
        <v>4</v>
      </c>
      <c r="I482" s="23">
        <f t="shared" si="137"/>
        <v>0</v>
      </c>
      <c r="J482" s="23"/>
      <c r="K482" s="23"/>
      <c r="L482" s="23"/>
      <c r="M482" s="23"/>
      <c r="N482" s="23"/>
      <c r="O482" s="23"/>
      <c r="P482" s="140"/>
    </row>
    <row r="483" spans="2:16" s="21" customFormat="1" outlineLevel="1" x14ac:dyDescent="0.2">
      <c r="B483" s="140"/>
      <c r="C483" s="132"/>
      <c r="D483" s="140"/>
      <c r="E483" s="140"/>
      <c r="F483" s="140"/>
      <c r="G483" s="140"/>
      <c r="H483" s="19" t="s">
        <v>6</v>
      </c>
      <c r="I483" s="23">
        <f t="shared" si="137"/>
        <v>23.2</v>
      </c>
      <c r="J483" s="23"/>
      <c r="K483" s="23"/>
      <c r="L483" s="23"/>
      <c r="M483" s="23"/>
      <c r="N483" s="23">
        <v>23.2</v>
      </c>
      <c r="O483" s="23"/>
      <c r="P483" s="140"/>
    </row>
    <row r="484" spans="2:16" s="21" customFormat="1" outlineLevel="1" x14ac:dyDescent="0.2">
      <c r="B484" s="141"/>
      <c r="C484" s="133"/>
      <c r="D484" s="141"/>
      <c r="E484" s="141"/>
      <c r="F484" s="141"/>
      <c r="G484" s="141"/>
      <c r="H484" s="19" t="s">
        <v>5</v>
      </c>
      <c r="I484" s="23">
        <f t="shared" si="137"/>
        <v>0</v>
      </c>
      <c r="J484" s="23"/>
      <c r="K484" s="23"/>
      <c r="L484" s="23"/>
      <c r="M484" s="23"/>
      <c r="N484" s="23"/>
      <c r="O484" s="23"/>
      <c r="P484" s="141"/>
    </row>
    <row r="485" spans="2:16" s="21" customFormat="1" ht="42.75" outlineLevel="1" x14ac:dyDescent="0.2">
      <c r="B485" s="139" t="s">
        <v>305</v>
      </c>
      <c r="C485" s="139"/>
      <c r="D485" s="139" t="s">
        <v>289</v>
      </c>
      <c r="E485" s="117" t="s">
        <v>203</v>
      </c>
      <c r="F485" s="139" t="s">
        <v>306</v>
      </c>
      <c r="G485" s="139" t="s">
        <v>63</v>
      </c>
      <c r="H485" s="19" t="s">
        <v>3</v>
      </c>
      <c r="I485" s="23">
        <f t="shared" si="137"/>
        <v>42.3</v>
      </c>
      <c r="J485" s="23">
        <f t="shared" ref="J485:O485" si="145">J486+J487+J488</f>
        <v>20</v>
      </c>
      <c r="K485" s="23">
        <f t="shared" si="145"/>
        <v>22.3</v>
      </c>
      <c r="L485" s="23">
        <f t="shared" si="145"/>
        <v>0</v>
      </c>
      <c r="M485" s="23">
        <f t="shared" si="145"/>
        <v>0</v>
      </c>
      <c r="N485" s="23">
        <f t="shared" si="145"/>
        <v>0</v>
      </c>
      <c r="O485" s="23">
        <f t="shared" si="145"/>
        <v>0</v>
      </c>
      <c r="P485" s="139">
        <v>10071</v>
      </c>
    </row>
    <row r="486" spans="2:16" s="21" customFormat="1" outlineLevel="1" x14ac:dyDescent="0.2">
      <c r="B486" s="140"/>
      <c r="C486" s="132"/>
      <c r="D486" s="140"/>
      <c r="E486" s="118"/>
      <c r="F486" s="140"/>
      <c r="G486" s="140"/>
      <c r="H486" s="19" t="s">
        <v>4</v>
      </c>
      <c r="I486" s="23">
        <f t="shared" si="137"/>
        <v>0</v>
      </c>
      <c r="J486" s="23"/>
      <c r="K486" s="23"/>
      <c r="L486" s="23"/>
      <c r="M486" s="23"/>
      <c r="N486" s="23"/>
      <c r="O486" s="23"/>
      <c r="P486" s="140"/>
    </row>
    <row r="487" spans="2:16" s="21" customFormat="1" outlineLevel="1" x14ac:dyDescent="0.2">
      <c r="B487" s="140"/>
      <c r="C487" s="132"/>
      <c r="D487" s="140"/>
      <c r="E487" s="118"/>
      <c r="F487" s="140"/>
      <c r="G487" s="140"/>
      <c r="H487" s="19" t="s">
        <v>6</v>
      </c>
      <c r="I487" s="23">
        <f t="shared" si="137"/>
        <v>42.3</v>
      </c>
      <c r="J487" s="23">
        <v>20</v>
      </c>
      <c r="K487" s="23">
        <v>22.3</v>
      </c>
      <c r="L487" s="23"/>
      <c r="M487" s="23"/>
      <c r="N487" s="23"/>
      <c r="O487" s="23"/>
      <c r="P487" s="140"/>
    </row>
    <row r="488" spans="2:16" s="21" customFormat="1" outlineLevel="1" x14ac:dyDescent="0.2">
      <c r="B488" s="141"/>
      <c r="C488" s="133"/>
      <c r="D488" s="141"/>
      <c r="E488" s="119"/>
      <c r="F488" s="141"/>
      <c r="G488" s="141"/>
      <c r="H488" s="19" t="s">
        <v>5</v>
      </c>
      <c r="I488" s="23">
        <f t="shared" si="137"/>
        <v>0</v>
      </c>
      <c r="J488" s="23"/>
      <c r="K488" s="23"/>
      <c r="L488" s="23"/>
      <c r="M488" s="23"/>
      <c r="N488" s="23"/>
      <c r="O488" s="23"/>
      <c r="P488" s="141"/>
    </row>
    <row r="489" spans="2:16" s="21" customFormat="1" ht="42.75" outlineLevel="1" x14ac:dyDescent="0.2">
      <c r="B489" s="139" t="s">
        <v>307</v>
      </c>
      <c r="C489" s="139"/>
      <c r="D489" s="139" t="s">
        <v>289</v>
      </c>
      <c r="E489" s="117" t="s">
        <v>61</v>
      </c>
      <c r="F489" s="139" t="s">
        <v>242</v>
      </c>
      <c r="G489" s="139" t="s">
        <v>63</v>
      </c>
      <c r="H489" s="19" t="s">
        <v>3</v>
      </c>
      <c r="I489" s="23">
        <f t="shared" si="137"/>
        <v>15.9</v>
      </c>
      <c r="J489" s="23">
        <f t="shared" ref="J489:O489" si="146">J490+J491+J492</f>
        <v>0</v>
      </c>
      <c r="K489" s="23">
        <f t="shared" si="146"/>
        <v>0</v>
      </c>
      <c r="L489" s="23">
        <f t="shared" si="146"/>
        <v>10</v>
      </c>
      <c r="M489" s="23">
        <f t="shared" si="146"/>
        <v>5.9</v>
      </c>
      <c r="N489" s="23">
        <f t="shared" si="146"/>
        <v>0</v>
      </c>
      <c r="O489" s="23">
        <f t="shared" si="146"/>
        <v>0</v>
      </c>
      <c r="P489" s="139">
        <v>1308</v>
      </c>
    </row>
    <row r="490" spans="2:16" s="21" customFormat="1" outlineLevel="1" x14ac:dyDescent="0.2">
      <c r="B490" s="140"/>
      <c r="C490" s="132"/>
      <c r="D490" s="140"/>
      <c r="E490" s="118"/>
      <c r="F490" s="140"/>
      <c r="G490" s="140"/>
      <c r="H490" s="19" t="s">
        <v>4</v>
      </c>
      <c r="I490" s="23">
        <f t="shared" si="137"/>
        <v>0</v>
      </c>
      <c r="J490" s="23"/>
      <c r="K490" s="23"/>
      <c r="L490" s="23"/>
      <c r="M490" s="23"/>
      <c r="N490" s="23"/>
      <c r="O490" s="23"/>
      <c r="P490" s="140"/>
    </row>
    <row r="491" spans="2:16" s="21" customFormat="1" outlineLevel="1" x14ac:dyDescent="0.2">
      <c r="B491" s="140"/>
      <c r="C491" s="132"/>
      <c r="D491" s="140"/>
      <c r="E491" s="118"/>
      <c r="F491" s="140"/>
      <c r="G491" s="140"/>
      <c r="H491" s="19" t="s">
        <v>6</v>
      </c>
      <c r="I491" s="23">
        <f t="shared" si="137"/>
        <v>15.9</v>
      </c>
      <c r="J491" s="23"/>
      <c r="K491" s="23"/>
      <c r="L491" s="23">
        <v>10</v>
      </c>
      <c r="M491" s="23">
        <v>5.9</v>
      </c>
      <c r="N491" s="23"/>
      <c r="O491" s="23"/>
      <c r="P491" s="140"/>
    </row>
    <row r="492" spans="2:16" s="21" customFormat="1" outlineLevel="1" x14ac:dyDescent="0.2">
      <c r="B492" s="141"/>
      <c r="C492" s="133"/>
      <c r="D492" s="141"/>
      <c r="E492" s="119"/>
      <c r="F492" s="141"/>
      <c r="G492" s="141"/>
      <c r="H492" s="19" t="s">
        <v>5</v>
      </c>
      <c r="I492" s="23">
        <f t="shared" si="137"/>
        <v>0</v>
      </c>
      <c r="J492" s="23"/>
      <c r="K492" s="23"/>
      <c r="L492" s="23"/>
      <c r="M492" s="23"/>
      <c r="N492" s="23"/>
      <c r="O492" s="23"/>
      <c r="P492" s="141"/>
    </row>
    <row r="493" spans="2:16" s="21" customFormat="1" ht="42.75" outlineLevel="1" x14ac:dyDescent="0.2">
      <c r="B493" s="139" t="s">
        <v>308</v>
      </c>
      <c r="C493" s="139"/>
      <c r="D493" s="139" t="s">
        <v>289</v>
      </c>
      <c r="E493" s="117" t="s">
        <v>203</v>
      </c>
      <c r="F493" s="139" t="s">
        <v>309</v>
      </c>
      <c r="G493" s="139" t="s">
        <v>101</v>
      </c>
      <c r="H493" s="19" t="s">
        <v>3</v>
      </c>
      <c r="I493" s="23">
        <f t="shared" si="137"/>
        <v>43.5</v>
      </c>
      <c r="J493" s="23">
        <f t="shared" ref="J493:O493" si="147">J494+J495+J496</f>
        <v>8.4</v>
      </c>
      <c r="K493" s="23">
        <f t="shared" si="147"/>
        <v>35.1</v>
      </c>
      <c r="L493" s="23">
        <f t="shared" si="147"/>
        <v>0</v>
      </c>
      <c r="M493" s="23">
        <f t="shared" si="147"/>
        <v>0</v>
      </c>
      <c r="N493" s="23">
        <f t="shared" si="147"/>
        <v>0</v>
      </c>
      <c r="O493" s="23">
        <f t="shared" si="147"/>
        <v>0</v>
      </c>
      <c r="P493" s="139">
        <v>2881</v>
      </c>
    </row>
    <row r="494" spans="2:16" s="21" customFormat="1" outlineLevel="1" x14ac:dyDescent="0.2">
      <c r="B494" s="140"/>
      <c r="C494" s="132"/>
      <c r="D494" s="140"/>
      <c r="E494" s="118"/>
      <c r="F494" s="140"/>
      <c r="G494" s="140"/>
      <c r="H494" s="19" t="s">
        <v>4</v>
      </c>
      <c r="I494" s="23">
        <f t="shared" si="137"/>
        <v>0</v>
      </c>
      <c r="J494" s="23"/>
      <c r="K494" s="23"/>
      <c r="L494" s="23"/>
      <c r="M494" s="23"/>
      <c r="N494" s="23"/>
      <c r="O494" s="23"/>
      <c r="P494" s="140"/>
    </row>
    <row r="495" spans="2:16" s="21" customFormat="1" outlineLevel="1" x14ac:dyDescent="0.2">
      <c r="B495" s="140"/>
      <c r="C495" s="132"/>
      <c r="D495" s="140"/>
      <c r="E495" s="118"/>
      <c r="F495" s="140"/>
      <c r="G495" s="140"/>
      <c r="H495" s="19" t="s">
        <v>6</v>
      </c>
      <c r="I495" s="23">
        <f t="shared" si="137"/>
        <v>43.5</v>
      </c>
      <c r="J495" s="23">
        <v>8.4</v>
      </c>
      <c r="K495" s="23">
        <v>35.1</v>
      </c>
      <c r="L495" s="23"/>
      <c r="M495" s="23"/>
      <c r="N495" s="23"/>
      <c r="O495" s="23"/>
      <c r="P495" s="140"/>
    </row>
    <row r="496" spans="2:16" s="21" customFormat="1" outlineLevel="1" x14ac:dyDescent="0.2">
      <c r="B496" s="141"/>
      <c r="C496" s="133"/>
      <c r="D496" s="141"/>
      <c r="E496" s="119"/>
      <c r="F496" s="141"/>
      <c r="G496" s="141"/>
      <c r="H496" s="19" t="s">
        <v>5</v>
      </c>
      <c r="I496" s="23">
        <f t="shared" si="137"/>
        <v>0</v>
      </c>
      <c r="J496" s="23"/>
      <c r="K496" s="23"/>
      <c r="L496" s="23"/>
      <c r="M496" s="23"/>
      <c r="N496" s="23"/>
      <c r="O496" s="23"/>
      <c r="P496" s="141"/>
    </row>
    <row r="497" spans="2:16" s="21" customFormat="1" ht="42.75" outlineLevel="1" x14ac:dyDescent="0.2">
      <c r="B497" s="139" t="s">
        <v>310</v>
      </c>
      <c r="C497" s="139"/>
      <c r="D497" s="139" t="s">
        <v>289</v>
      </c>
      <c r="E497" s="139">
        <v>2022</v>
      </c>
      <c r="F497" s="139" t="s">
        <v>311</v>
      </c>
      <c r="G497" s="139" t="s">
        <v>101</v>
      </c>
      <c r="H497" s="19" t="s">
        <v>3</v>
      </c>
      <c r="I497" s="23">
        <f t="shared" si="137"/>
        <v>49.5</v>
      </c>
      <c r="J497" s="23">
        <f t="shared" ref="J497:O497" si="148">J498+J499+J500</f>
        <v>0</v>
      </c>
      <c r="K497" s="23">
        <f t="shared" si="148"/>
        <v>0</v>
      </c>
      <c r="L497" s="23">
        <f t="shared" si="148"/>
        <v>49.5</v>
      </c>
      <c r="M497" s="23">
        <f t="shared" si="148"/>
        <v>0</v>
      </c>
      <c r="N497" s="23">
        <f t="shared" si="148"/>
        <v>0</v>
      </c>
      <c r="O497" s="23">
        <f t="shared" si="148"/>
        <v>0</v>
      </c>
      <c r="P497" s="139">
        <v>1157</v>
      </c>
    </row>
    <row r="498" spans="2:16" s="21" customFormat="1" outlineLevel="1" x14ac:dyDescent="0.2">
      <c r="B498" s="140"/>
      <c r="C498" s="132"/>
      <c r="D498" s="140"/>
      <c r="E498" s="140"/>
      <c r="F498" s="140"/>
      <c r="G498" s="140"/>
      <c r="H498" s="19" t="s">
        <v>4</v>
      </c>
      <c r="I498" s="23">
        <f t="shared" si="137"/>
        <v>0</v>
      </c>
      <c r="J498" s="23"/>
      <c r="K498" s="23"/>
      <c r="L498" s="23"/>
      <c r="M498" s="23"/>
      <c r="N498" s="23"/>
      <c r="O498" s="23"/>
      <c r="P498" s="140"/>
    </row>
    <row r="499" spans="2:16" s="21" customFormat="1" outlineLevel="1" x14ac:dyDescent="0.2">
      <c r="B499" s="140"/>
      <c r="C499" s="132"/>
      <c r="D499" s="140"/>
      <c r="E499" s="140"/>
      <c r="F499" s="140"/>
      <c r="G499" s="140"/>
      <c r="H499" s="19" t="s">
        <v>6</v>
      </c>
      <c r="I499" s="23">
        <f t="shared" si="137"/>
        <v>49.5</v>
      </c>
      <c r="J499" s="23"/>
      <c r="K499" s="23"/>
      <c r="L499" s="23">
        <v>49.5</v>
      </c>
      <c r="M499" s="23"/>
      <c r="N499" s="23"/>
      <c r="O499" s="23"/>
      <c r="P499" s="140"/>
    </row>
    <row r="500" spans="2:16" s="21" customFormat="1" outlineLevel="1" x14ac:dyDescent="0.2">
      <c r="B500" s="141"/>
      <c r="C500" s="133"/>
      <c r="D500" s="141"/>
      <c r="E500" s="141"/>
      <c r="F500" s="141"/>
      <c r="G500" s="141"/>
      <c r="H500" s="19" t="s">
        <v>5</v>
      </c>
      <c r="I500" s="23">
        <f t="shared" si="137"/>
        <v>0</v>
      </c>
      <c r="J500" s="23"/>
      <c r="K500" s="23"/>
      <c r="L500" s="23"/>
      <c r="M500" s="23"/>
      <c r="N500" s="23"/>
      <c r="O500" s="23"/>
      <c r="P500" s="141"/>
    </row>
    <row r="501" spans="2:16" s="21" customFormat="1" ht="42.75" outlineLevel="1" x14ac:dyDescent="0.2">
      <c r="B501" s="139" t="s">
        <v>312</v>
      </c>
      <c r="C501" s="139"/>
      <c r="D501" s="139" t="s">
        <v>289</v>
      </c>
      <c r="E501" s="117">
        <v>2023</v>
      </c>
      <c r="F501" s="139" t="s">
        <v>313</v>
      </c>
      <c r="G501" s="139" t="s">
        <v>101</v>
      </c>
      <c r="H501" s="19" t="s">
        <v>3</v>
      </c>
      <c r="I501" s="23">
        <f t="shared" si="137"/>
        <v>23.5</v>
      </c>
      <c r="J501" s="23">
        <f t="shared" ref="J501:O501" si="149">J502+J503+J504</f>
        <v>0</v>
      </c>
      <c r="K501" s="23">
        <f t="shared" si="149"/>
        <v>0</v>
      </c>
      <c r="L501" s="23">
        <f t="shared" si="149"/>
        <v>0</v>
      </c>
      <c r="M501" s="23">
        <f t="shared" si="149"/>
        <v>23.5</v>
      </c>
      <c r="N501" s="23">
        <f t="shared" si="149"/>
        <v>0</v>
      </c>
      <c r="O501" s="23">
        <f t="shared" si="149"/>
        <v>0</v>
      </c>
      <c r="P501" s="139">
        <v>310</v>
      </c>
    </row>
    <row r="502" spans="2:16" s="21" customFormat="1" outlineLevel="1" x14ac:dyDescent="0.2">
      <c r="B502" s="140"/>
      <c r="C502" s="132"/>
      <c r="D502" s="140"/>
      <c r="E502" s="118"/>
      <c r="F502" s="140"/>
      <c r="G502" s="140"/>
      <c r="H502" s="19" t="s">
        <v>4</v>
      </c>
      <c r="I502" s="23">
        <f t="shared" si="137"/>
        <v>0</v>
      </c>
      <c r="J502" s="23"/>
      <c r="K502" s="23"/>
      <c r="L502" s="23"/>
      <c r="M502" s="23"/>
      <c r="N502" s="23"/>
      <c r="O502" s="23"/>
      <c r="P502" s="140"/>
    </row>
    <row r="503" spans="2:16" s="21" customFormat="1" outlineLevel="1" x14ac:dyDescent="0.2">
      <c r="B503" s="140"/>
      <c r="C503" s="132"/>
      <c r="D503" s="140"/>
      <c r="E503" s="118"/>
      <c r="F503" s="140"/>
      <c r="G503" s="140"/>
      <c r="H503" s="19" t="s">
        <v>6</v>
      </c>
      <c r="I503" s="23">
        <f t="shared" si="137"/>
        <v>23.5</v>
      </c>
      <c r="J503" s="23"/>
      <c r="K503" s="23"/>
      <c r="L503" s="23"/>
      <c r="M503" s="23">
        <v>23.5</v>
      </c>
      <c r="N503" s="23"/>
      <c r="O503" s="23"/>
      <c r="P503" s="140"/>
    </row>
    <row r="504" spans="2:16" s="21" customFormat="1" outlineLevel="1" x14ac:dyDescent="0.2">
      <c r="B504" s="141"/>
      <c r="C504" s="133"/>
      <c r="D504" s="141"/>
      <c r="E504" s="119"/>
      <c r="F504" s="141"/>
      <c r="G504" s="141"/>
      <c r="H504" s="19" t="s">
        <v>5</v>
      </c>
      <c r="I504" s="23">
        <f t="shared" si="137"/>
        <v>0</v>
      </c>
      <c r="J504" s="23"/>
      <c r="K504" s="23"/>
      <c r="L504" s="23"/>
      <c r="M504" s="23"/>
      <c r="N504" s="23"/>
      <c r="O504" s="23"/>
      <c r="P504" s="141"/>
    </row>
    <row r="505" spans="2:16" s="21" customFormat="1" ht="42.75" outlineLevel="1" x14ac:dyDescent="0.2">
      <c r="B505" s="139" t="s">
        <v>314</v>
      </c>
      <c r="C505" s="139"/>
      <c r="D505" s="139" t="s">
        <v>289</v>
      </c>
      <c r="E505" s="117">
        <v>2023</v>
      </c>
      <c r="F505" s="139" t="s">
        <v>87</v>
      </c>
      <c r="G505" s="139" t="s">
        <v>101</v>
      </c>
      <c r="H505" s="19" t="s">
        <v>3</v>
      </c>
      <c r="I505" s="23">
        <f t="shared" si="137"/>
        <v>6.5</v>
      </c>
      <c r="J505" s="23">
        <f t="shared" ref="J505:O505" si="150">J506+J507+J508</f>
        <v>0</v>
      </c>
      <c r="K505" s="23">
        <f t="shared" si="150"/>
        <v>0</v>
      </c>
      <c r="L505" s="23">
        <f t="shared" si="150"/>
        <v>0</v>
      </c>
      <c r="M505" s="23">
        <f t="shared" si="150"/>
        <v>6.5</v>
      </c>
      <c r="N505" s="23">
        <f t="shared" si="150"/>
        <v>0</v>
      </c>
      <c r="O505" s="23">
        <f t="shared" si="150"/>
        <v>0</v>
      </c>
      <c r="P505" s="139">
        <v>209</v>
      </c>
    </row>
    <row r="506" spans="2:16" s="21" customFormat="1" outlineLevel="1" x14ac:dyDescent="0.2">
      <c r="B506" s="140"/>
      <c r="C506" s="132"/>
      <c r="D506" s="140"/>
      <c r="E506" s="118"/>
      <c r="F506" s="140"/>
      <c r="G506" s="140"/>
      <c r="H506" s="19" t="s">
        <v>4</v>
      </c>
      <c r="I506" s="23">
        <f t="shared" si="137"/>
        <v>0</v>
      </c>
      <c r="J506" s="23"/>
      <c r="K506" s="23"/>
      <c r="L506" s="23"/>
      <c r="M506" s="23"/>
      <c r="N506" s="23"/>
      <c r="O506" s="23"/>
      <c r="P506" s="140"/>
    </row>
    <row r="507" spans="2:16" s="21" customFormat="1" outlineLevel="1" x14ac:dyDescent="0.2">
      <c r="B507" s="140"/>
      <c r="C507" s="132"/>
      <c r="D507" s="140"/>
      <c r="E507" s="118"/>
      <c r="F507" s="140"/>
      <c r="G507" s="140"/>
      <c r="H507" s="19" t="s">
        <v>6</v>
      </c>
      <c r="I507" s="23">
        <f t="shared" si="137"/>
        <v>6.5</v>
      </c>
      <c r="J507" s="23"/>
      <c r="K507" s="23"/>
      <c r="L507" s="23"/>
      <c r="M507" s="23">
        <v>6.5</v>
      </c>
      <c r="N507" s="23"/>
      <c r="O507" s="23"/>
      <c r="P507" s="140"/>
    </row>
    <row r="508" spans="2:16" s="21" customFormat="1" outlineLevel="1" x14ac:dyDescent="0.2">
      <c r="B508" s="141"/>
      <c r="C508" s="133"/>
      <c r="D508" s="141"/>
      <c r="E508" s="119"/>
      <c r="F508" s="141"/>
      <c r="G508" s="141"/>
      <c r="H508" s="19" t="s">
        <v>5</v>
      </c>
      <c r="I508" s="23">
        <f t="shared" si="137"/>
        <v>0</v>
      </c>
      <c r="J508" s="23"/>
      <c r="K508" s="23"/>
      <c r="L508" s="23"/>
      <c r="M508" s="23"/>
      <c r="N508" s="23"/>
      <c r="O508" s="23"/>
      <c r="P508" s="141"/>
    </row>
    <row r="509" spans="2:16" s="21" customFormat="1" ht="42.75" outlineLevel="1" x14ac:dyDescent="0.2">
      <c r="B509" s="139" t="s">
        <v>315</v>
      </c>
      <c r="C509" s="139"/>
      <c r="D509" s="139" t="s">
        <v>289</v>
      </c>
      <c r="E509" s="117">
        <v>2024</v>
      </c>
      <c r="F509" s="139" t="s">
        <v>300</v>
      </c>
      <c r="G509" s="139" t="s">
        <v>101</v>
      </c>
      <c r="H509" s="19" t="s">
        <v>3</v>
      </c>
      <c r="I509" s="23">
        <f t="shared" si="137"/>
        <v>7.5</v>
      </c>
      <c r="J509" s="23">
        <f t="shared" ref="J509:O509" si="151">J510+J511+J512</f>
        <v>0</v>
      </c>
      <c r="K509" s="23">
        <f t="shared" si="151"/>
        <v>0</v>
      </c>
      <c r="L509" s="23">
        <f t="shared" si="151"/>
        <v>0</v>
      </c>
      <c r="M509" s="23">
        <f t="shared" si="151"/>
        <v>0</v>
      </c>
      <c r="N509" s="23">
        <f t="shared" si="151"/>
        <v>7.5</v>
      </c>
      <c r="O509" s="23">
        <f t="shared" si="151"/>
        <v>0</v>
      </c>
      <c r="P509" s="139">
        <v>526</v>
      </c>
    </row>
    <row r="510" spans="2:16" s="21" customFormat="1" outlineLevel="1" x14ac:dyDescent="0.2">
      <c r="B510" s="140"/>
      <c r="C510" s="132"/>
      <c r="D510" s="140"/>
      <c r="E510" s="118"/>
      <c r="F510" s="140"/>
      <c r="G510" s="140"/>
      <c r="H510" s="19" t="s">
        <v>4</v>
      </c>
      <c r="I510" s="23">
        <f t="shared" si="137"/>
        <v>0</v>
      </c>
      <c r="J510" s="23"/>
      <c r="K510" s="23"/>
      <c r="L510" s="23"/>
      <c r="M510" s="23"/>
      <c r="N510" s="23"/>
      <c r="O510" s="23"/>
      <c r="P510" s="140"/>
    </row>
    <row r="511" spans="2:16" s="21" customFormat="1" outlineLevel="1" x14ac:dyDescent="0.2">
      <c r="B511" s="140"/>
      <c r="C511" s="132"/>
      <c r="D511" s="140"/>
      <c r="E511" s="118"/>
      <c r="F511" s="140"/>
      <c r="G511" s="140"/>
      <c r="H511" s="19" t="s">
        <v>6</v>
      </c>
      <c r="I511" s="23">
        <f t="shared" si="137"/>
        <v>7.5</v>
      </c>
      <c r="J511" s="23"/>
      <c r="K511" s="23"/>
      <c r="L511" s="23"/>
      <c r="M511" s="23"/>
      <c r="N511" s="23">
        <v>7.5</v>
      </c>
      <c r="O511" s="23"/>
      <c r="P511" s="140"/>
    </row>
    <row r="512" spans="2:16" s="21" customFormat="1" outlineLevel="1" x14ac:dyDescent="0.2">
      <c r="B512" s="141"/>
      <c r="C512" s="133"/>
      <c r="D512" s="141"/>
      <c r="E512" s="119"/>
      <c r="F512" s="141"/>
      <c r="G512" s="141"/>
      <c r="H512" s="19" t="s">
        <v>5</v>
      </c>
      <c r="I512" s="23">
        <f t="shared" si="137"/>
        <v>0</v>
      </c>
      <c r="J512" s="23"/>
      <c r="K512" s="23"/>
      <c r="L512" s="23"/>
      <c r="M512" s="23"/>
      <c r="N512" s="23"/>
      <c r="O512" s="23"/>
      <c r="P512" s="141"/>
    </row>
    <row r="513" spans="2:17" s="21" customFormat="1" ht="42.75" outlineLevel="1" x14ac:dyDescent="0.2">
      <c r="B513" s="139" t="s">
        <v>316</v>
      </c>
      <c r="C513" s="139"/>
      <c r="D513" s="139" t="s">
        <v>289</v>
      </c>
      <c r="E513" s="117">
        <v>2024</v>
      </c>
      <c r="F513" s="139" t="s">
        <v>302</v>
      </c>
      <c r="G513" s="139" t="s">
        <v>101</v>
      </c>
      <c r="H513" s="19" t="s">
        <v>3</v>
      </c>
      <c r="I513" s="23">
        <f t="shared" si="137"/>
        <v>11</v>
      </c>
      <c r="J513" s="23">
        <f t="shared" ref="J513:O513" si="152">J514+J515+J516</f>
        <v>0</v>
      </c>
      <c r="K513" s="23">
        <f t="shared" si="152"/>
        <v>0</v>
      </c>
      <c r="L513" s="23">
        <f t="shared" si="152"/>
        <v>0</v>
      </c>
      <c r="M513" s="23">
        <f t="shared" si="152"/>
        <v>0</v>
      </c>
      <c r="N513" s="23">
        <f t="shared" si="152"/>
        <v>11</v>
      </c>
      <c r="O513" s="23">
        <f t="shared" si="152"/>
        <v>0</v>
      </c>
      <c r="P513" s="139">
        <v>161</v>
      </c>
    </row>
    <row r="514" spans="2:17" s="21" customFormat="1" outlineLevel="1" x14ac:dyDescent="0.2">
      <c r="B514" s="140"/>
      <c r="C514" s="132"/>
      <c r="D514" s="140"/>
      <c r="E514" s="118"/>
      <c r="F514" s="140"/>
      <c r="G514" s="140"/>
      <c r="H514" s="19" t="s">
        <v>4</v>
      </c>
      <c r="I514" s="23">
        <f t="shared" si="137"/>
        <v>0</v>
      </c>
      <c r="J514" s="23"/>
      <c r="K514" s="23"/>
      <c r="L514" s="23"/>
      <c r="M514" s="23"/>
      <c r="N514" s="23"/>
      <c r="O514" s="23"/>
      <c r="P514" s="140"/>
    </row>
    <row r="515" spans="2:17" s="21" customFormat="1" outlineLevel="1" x14ac:dyDescent="0.2">
      <c r="B515" s="140"/>
      <c r="C515" s="132"/>
      <c r="D515" s="140"/>
      <c r="E515" s="118"/>
      <c r="F515" s="140"/>
      <c r="G515" s="140"/>
      <c r="H515" s="19" t="s">
        <v>6</v>
      </c>
      <c r="I515" s="23">
        <f t="shared" si="137"/>
        <v>11</v>
      </c>
      <c r="J515" s="23"/>
      <c r="K515" s="23"/>
      <c r="L515" s="23"/>
      <c r="M515" s="23"/>
      <c r="N515" s="23">
        <v>11</v>
      </c>
      <c r="O515" s="23"/>
      <c r="P515" s="140"/>
    </row>
    <row r="516" spans="2:17" s="21" customFormat="1" outlineLevel="1" x14ac:dyDescent="0.2">
      <c r="B516" s="141"/>
      <c r="C516" s="133"/>
      <c r="D516" s="141"/>
      <c r="E516" s="119"/>
      <c r="F516" s="141"/>
      <c r="G516" s="141"/>
      <c r="H516" s="19" t="s">
        <v>5</v>
      </c>
      <c r="I516" s="23">
        <f t="shared" si="137"/>
        <v>0</v>
      </c>
      <c r="J516" s="23"/>
      <c r="K516" s="23"/>
      <c r="L516" s="23"/>
      <c r="M516" s="23"/>
      <c r="N516" s="23"/>
      <c r="O516" s="23"/>
      <c r="P516" s="141"/>
    </row>
    <row r="517" spans="2:17" s="21" customFormat="1" ht="42.75" outlineLevel="1" x14ac:dyDescent="0.2">
      <c r="B517" s="139" t="s">
        <v>317</v>
      </c>
      <c r="C517" s="139"/>
      <c r="D517" s="139" t="s">
        <v>318</v>
      </c>
      <c r="E517" s="117" t="s">
        <v>319</v>
      </c>
      <c r="F517" s="139"/>
      <c r="G517" s="139" t="s">
        <v>83</v>
      </c>
      <c r="H517" s="19" t="s">
        <v>3</v>
      </c>
      <c r="I517" s="23">
        <f t="shared" si="137"/>
        <v>2</v>
      </c>
      <c r="J517" s="23">
        <f t="shared" ref="J517:O517" si="153">J518+J519+J520</f>
        <v>2</v>
      </c>
      <c r="K517" s="23">
        <f t="shared" si="153"/>
        <v>0</v>
      </c>
      <c r="L517" s="23">
        <f t="shared" si="153"/>
        <v>0</v>
      </c>
      <c r="M517" s="23">
        <f t="shared" si="153"/>
        <v>0</v>
      </c>
      <c r="N517" s="23">
        <f t="shared" si="153"/>
        <v>0</v>
      </c>
      <c r="O517" s="23">
        <f t="shared" si="153"/>
        <v>0</v>
      </c>
      <c r="P517" s="144"/>
    </row>
    <row r="518" spans="2:17" s="21" customFormat="1" ht="21.75" customHeight="1" outlineLevel="1" x14ac:dyDescent="0.2">
      <c r="B518" s="140"/>
      <c r="C518" s="132"/>
      <c r="D518" s="140"/>
      <c r="E518" s="118"/>
      <c r="F518" s="140"/>
      <c r="G518" s="140"/>
      <c r="H518" s="19" t="s">
        <v>4</v>
      </c>
      <c r="I518" s="23">
        <f t="shared" ref="I518:I520" si="154">SUM(J518:O518)</f>
        <v>1.9</v>
      </c>
      <c r="J518" s="83">
        <v>1.9</v>
      </c>
      <c r="K518" s="23"/>
      <c r="L518" s="23"/>
      <c r="M518" s="23"/>
      <c r="N518" s="23"/>
      <c r="O518" s="23"/>
      <c r="P518" s="145"/>
    </row>
    <row r="519" spans="2:17" s="21" customFormat="1" outlineLevel="1" x14ac:dyDescent="0.2">
      <c r="B519" s="140"/>
      <c r="C519" s="132"/>
      <c r="D519" s="140"/>
      <c r="E519" s="118"/>
      <c r="F519" s="140"/>
      <c r="G519" s="140"/>
      <c r="H519" s="19" t="s">
        <v>6</v>
      </c>
      <c r="I519" s="23">
        <f t="shared" si="154"/>
        <v>0.1</v>
      </c>
      <c r="J519" s="83">
        <v>0.1</v>
      </c>
      <c r="K519" s="23"/>
      <c r="L519" s="23"/>
      <c r="M519" s="23"/>
      <c r="N519" s="23"/>
      <c r="O519" s="23"/>
      <c r="P519" s="145"/>
    </row>
    <row r="520" spans="2:17" s="21" customFormat="1" outlineLevel="1" x14ac:dyDescent="0.2">
      <c r="B520" s="141"/>
      <c r="C520" s="133"/>
      <c r="D520" s="141"/>
      <c r="E520" s="119"/>
      <c r="F520" s="141"/>
      <c r="G520" s="141"/>
      <c r="H520" s="19" t="s">
        <v>5</v>
      </c>
      <c r="I520" s="23">
        <f t="shared" si="154"/>
        <v>0</v>
      </c>
      <c r="J520" s="23"/>
      <c r="K520" s="23"/>
      <c r="L520" s="23"/>
      <c r="M520" s="23"/>
      <c r="N520" s="23"/>
      <c r="O520" s="23"/>
      <c r="P520" s="146"/>
    </row>
    <row r="521" spans="2:17" ht="42.75" x14ac:dyDescent="0.2">
      <c r="B521" s="128" t="s">
        <v>320</v>
      </c>
      <c r="C521" s="128" t="s">
        <v>38</v>
      </c>
      <c r="D521" s="128" t="s">
        <v>38</v>
      </c>
      <c r="E521" s="128" t="s">
        <v>38</v>
      </c>
      <c r="F521" s="128" t="s">
        <v>38</v>
      </c>
      <c r="G521" s="128" t="s">
        <v>38</v>
      </c>
      <c r="H521" s="84" t="s">
        <v>3</v>
      </c>
      <c r="I521" s="14">
        <f t="shared" ref="I521:O521" si="155">SUMIF($H$453:$H$520,"Объем*",I$453:I$520)</f>
        <v>325.05</v>
      </c>
      <c r="J521" s="14">
        <f t="shared" si="155"/>
        <v>53.199999999999996</v>
      </c>
      <c r="K521" s="14">
        <f t="shared" si="155"/>
        <v>66</v>
      </c>
      <c r="L521" s="14">
        <f t="shared" si="155"/>
        <v>72.400000000000006</v>
      </c>
      <c r="M521" s="14">
        <f t="shared" si="155"/>
        <v>91.75</v>
      </c>
      <c r="N521" s="14">
        <f t="shared" si="155"/>
        <v>41.7</v>
      </c>
      <c r="O521" s="14">
        <f t="shared" si="155"/>
        <v>0</v>
      </c>
      <c r="P521" s="128"/>
      <c r="Q521" s="7"/>
    </row>
    <row r="522" spans="2:17" ht="15.75" x14ac:dyDescent="0.2">
      <c r="B522" s="129"/>
      <c r="C522" s="129"/>
      <c r="D522" s="129"/>
      <c r="E522" s="129"/>
      <c r="F522" s="129"/>
      <c r="G522" s="129"/>
      <c r="H522" s="84" t="s">
        <v>4</v>
      </c>
      <c r="I522" s="14">
        <f t="shared" ref="I522:O522" si="156">SUMIF($H$453:$H$520,"фед*",I$453:I$520)</f>
        <v>1.9</v>
      </c>
      <c r="J522" s="14">
        <f t="shared" si="156"/>
        <v>1.9</v>
      </c>
      <c r="K522" s="14">
        <f t="shared" si="156"/>
        <v>0</v>
      </c>
      <c r="L522" s="14">
        <f t="shared" si="156"/>
        <v>0</v>
      </c>
      <c r="M522" s="14">
        <f t="shared" si="156"/>
        <v>0</v>
      </c>
      <c r="N522" s="14">
        <f t="shared" si="156"/>
        <v>0</v>
      </c>
      <c r="O522" s="14">
        <f t="shared" si="156"/>
        <v>0</v>
      </c>
      <c r="P522" s="129"/>
    </row>
    <row r="523" spans="2:17" ht="15.75" x14ac:dyDescent="0.2">
      <c r="B523" s="129"/>
      <c r="C523" s="129"/>
      <c r="D523" s="129"/>
      <c r="E523" s="129"/>
      <c r="F523" s="129"/>
      <c r="G523" s="129"/>
      <c r="H523" s="84" t="s">
        <v>6</v>
      </c>
      <c r="I523" s="14">
        <f t="shared" ref="I523:O523" si="157">SUMIF($H$453:$H$520,"конс*",I$453:I$520)</f>
        <v>323.15000000000003</v>
      </c>
      <c r="J523" s="14">
        <f t="shared" si="157"/>
        <v>51.3</v>
      </c>
      <c r="K523" s="14">
        <f t="shared" si="157"/>
        <v>66</v>
      </c>
      <c r="L523" s="14">
        <f t="shared" si="157"/>
        <v>72.400000000000006</v>
      </c>
      <c r="M523" s="14">
        <f t="shared" si="157"/>
        <v>91.75</v>
      </c>
      <c r="N523" s="14">
        <f t="shared" si="157"/>
        <v>41.7</v>
      </c>
      <c r="O523" s="14">
        <f t="shared" si="157"/>
        <v>0</v>
      </c>
      <c r="P523" s="129"/>
    </row>
    <row r="524" spans="2:17" ht="15.75" x14ac:dyDescent="0.2">
      <c r="B524" s="130"/>
      <c r="C524" s="130"/>
      <c r="D524" s="130"/>
      <c r="E524" s="130"/>
      <c r="F524" s="130"/>
      <c r="G524" s="130"/>
      <c r="H524" s="84" t="s">
        <v>5</v>
      </c>
      <c r="I524" s="14">
        <f t="shared" ref="I524:O524" si="158">SUMIF($H$453:$H$520,"вне*",I$453:I$520)</f>
        <v>0</v>
      </c>
      <c r="J524" s="14">
        <f t="shared" si="158"/>
        <v>0</v>
      </c>
      <c r="K524" s="14">
        <f t="shared" si="158"/>
        <v>0</v>
      </c>
      <c r="L524" s="14">
        <f t="shared" si="158"/>
        <v>0</v>
      </c>
      <c r="M524" s="14">
        <f t="shared" si="158"/>
        <v>0</v>
      </c>
      <c r="N524" s="14">
        <f t="shared" si="158"/>
        <v>0</v>
      </c>
      <c r="O524" s="14">
        <f t="shared" si="158"/>
        <v>0</v>
      </c>
      <c r="P524" s="130"/>
    </row>
    <row r="525" spans="2:17" ht="25.5" customHeight="1" x14ac:dyDescent="0.2">
      <c r="B525" s="111" t="s">
        <v>321</v>
      </c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3"/>
    </row>
    <row r="526" spans="2:17" s="21" customFormat="1" ht="42.75" outlineLevel="1" x14ac:dyDescent="0.2">
      <c r="B526" s="139" t="s">
        <v>322</v>
      </c>
      <c r="C526" s="139"/>
      <c r="D526" s="139" t="s">
        <v>321</v>
      </c>
      <c r="E526" s="139">
        <v>2022</v>
      </c>
      <c r="F526" s="139" t="s">
        <v>323</v>
      </c>
      <c r="G526" s="139" t="s">
        <v>63</v>
      </c>
      <c r="H526" s="19" t="s">
        <v>3</v>
      </c>
      <c r="I526" s="23">
        <f>SUM(J526:O526)</f>
        <v>5.8</v>
      </c>
      <c r="J526" s="23">
        <f t="shared" ref="J526:O526" si="159">J527+J528+J529</f>
        <v>0</v>
      </c>
      <c r="K526" s="23">
        <f t="shared" si="159"/>
        <v>0</v>
      </c>
      <c r="L526" s="23">
        <f t="shared" si="159"/>
        <v>5.8</v>
      </c>
      <c r="M526" s="23">
        <f t="shared" si="159"/>
        <v>0</v>
      </c>
      <c r="N526" s="23">
        <f t="shared" si="159"/>
        <v>0</v>
      </c>
      <c r="O526" s="23">
        <f t="shared" si="159"/>
        <v>0</v>
      </c>
      <c r="P526" s="117">
        <v>13670</v>
      </c>
    </row>
    <row r="527" spans="2:17" s="21" customFormat="1" outlineLevel="1" x14ac:dyDescent="0.2">
      <c r="B527" s="140"/>
      <c r="C527" s="132"/>
      <c r="D527" s="140"/>
      <c r="E527" s="140"/>
      <c r="F527" s="140"/>
      <c r="G527" s="140"/>
      <c r="H527" s="19" t="s">
        <v>4</v>
      </c>
      <c r="I527" s="23">
        <f t="shared" ref="I527:I553" si="160">SUM(J527:O527)</f>
        <v>0</v>
      </c>
      <c r="J527" s="23"/>
      <c r="K527" s="23"/>
      <c r="L527" s="23"/>
      <c r="M527" s="23"/>
      <c r="N527" s="23"/>
      <c r="O527" s="23"/>
      <c r="P527" s="118"/>
    </row>
    <row r="528" spans="2:17" s="21" customFormat="1" outlineLevel="1" x14ac:dyDescent="0.2">
      <c r="B528" s="140"/>
      <c r="C528" s="132"/>
      <c r="D528" s="140"/>
      <c r="E528" s="140"/>
      <c r="F528" s="140"/>
      <c r="G528" s="140"/>
      <c r="H528" s="19" t="s">
        <v>6</v>
      </c>
      <c r="I528" s="23">
        <f t="shared" si="160"/>
        <v>5.8</v>
      </c>
      <c r="J528" s="23"/>
      <c r="K528" s="23"/>
      <c r="L528" s="23">
        <v>5.8</v>
      </c>
      <c r="M528" s="23"/>
      <c r="N528" s="23"/>
      <c r="O528" s="23"/>
      <c r="P528" s="118"/>
    </row>
    <row r="529" spans="2:16" s="21" customFormat="1" outlineLevel="1" x14ac:dyDescent="0.2">
      <c r="B529" s="141"/>
      <c r="C529" s="133"/>
      <c r="D529" s="141"/>
      <c r="E529" s="141"/>
      <c r="F529" s="141"/>
      <c r="G529" s="141"/>
      <c r="H529" s="19" t="s">
        <v>5</v>
      </c>
      <c r="I529" s="23">
        <f t="shared" si="160"/>
        <v>0</v>
      </c>
      <c r="J529" s="23"/>
      <c r="K529" s="23"/>
      <c r="L529" s="23"/>
      <c r="M529" s="23"/>
      <c r="N529" s="23"/>
      <c r="O529" s="23"/>
      <c r="P529" s="119"/>
    </row>
    <row r="530" spans="2:16" s="21" customFormat="1" ht="42.75" outlineLevel="1" x14ac:dyDescent="0.2">
      <c r="B530" s="139" t="s">
        <v>324</v>
      </c>
      <c r="C530" s="139"/>
      <c r="D530" s="139" t="s">
        <v>321</v>
      </c>
      <c r="E530" s="139">
        <v>2023</v>
      </c>
      <c r="F530" s="139" t="s">
        <v>325</v>
      </c>
      <c r="G530" s="139" t="s">
        <v>83</v>
      </c>
      <c r="H530" s="19" t="s">
        <v>3</v>
      </c>
      <c r="I530" s="23">
        <f t="shared" si="160"/>
        <v>12.84</v>
      </c>
      <c r="J530" s="23">
        <f t="shared" ref="J530:O530" si="161">J531+J532+J533</f>
        <v>0</v>
      </c>
      <c r="K530" s="23">
        <f t="shared" si="161"/>
        <v>0</v>
      </c>
      <c r="L530" s="23">
        <f t="shared" si="161"/>
        <v>0</v>
      </c>
      <c r="M530" s="23">
        <f t="shared" si="161"/>
        <v>12.84</v>
      </c>
      <c r="N530" s="23">
        <f t="shared" si="161"/>
        <v>0</v>
      </c>
      <c r="O530" s="23">
        <f t="shared" si="161"/>
        <v>0</v>
      </c>
      <c r="P530" s="117">
        <v>13670</v>
      </c>
    </row>
    <row r="531" spans="2:16" s="21" customFormat="1" ht="25.5" customHeight="1" outlineLevel="1" x14ac:dyDescent="0.2">
      <c r="B531" s="140"/>
      <c r="C531" s="132"/>
      <c r="D531" s="140"/>
      <c r="E531" s="140"/>
      <c r="F531" s="140"/>
      <c r="G531" s="140"/>
      <c r="H531" s="19" t="s">
        <v>4</v>
      </c>
      <c r="I531" s="23">
        <f t="shared" si="160"/>
        <v>0</v>
      </c>
      <c r="J531" s="23"/>
      <c r="K531" s="23"/>
      <c r="L531" s="23"/>
      <c r="M531" s="23"/>
      <c r="N531" s="23"/>
      <c r="O531" s="23"/>
      <c r="P531" s="118"/>
    </row>
    <row r="532" spans="2:16" s="21" customFormat="1" ht="25.5" customHeight="1" outlineLevel="1" x14ac:dyDescent="0.2">
      <c r="B532" s="140"/>
      <c r="C532" s="132"/>
      <c r="D532" s="140"/>
      <c r="E532" s="140"/>
      <c r="F532" s="140"/>
      <c r="G532" s="140"/>
      <c r="H532" s="19" t="s">
        <v>6</v>
      </c>
      <c r="I532" s="23">
        <f t="shared" si="160"/>
        <v>12.84</v>
      </c>
      <c r="J532" s="23"/>
      <c r="K532" s="23"/>
      <c r="L532" s="23"/>
      <c r="M532" s="23">
        <v>12.84</v>
      </c>
      <c r="N532" s="23"/>
      <c r="O532" s="23"/>
      <c r="P532" s="118"/>
    </row>
    <row r="533" spans="2:16" s="21" customFormat="1" ht="25.5" customHeight="1" outlineLevel="1" x14ac:dyDescent="0.2">
      <c r="B533" s="141"/>
      <c r="C533" s="133"/>
      <c r="D533" s="141"/>
      <c r="E533" s="141"/>
      <c r="F533" s="141"/>
      <c r="G533" s="141"/>
      <c r="H533" s="19" t="s">
        <v>5</v>
      </c>
      <c r="I533" s="23">
        <f t="shared" si="160"/>
        <v>0</v>
      </c>
      <c r="J533" s="23"/>
      <c r="K533" s="23"/>
      <c r="L533" s="23"/>
      <c r="M533" s="23"/>
      <c r="N533" s="23"/>
      <c r="O533" s="23"/>
      <c r="P533" s="119"/>
    </row>
    <row r="534" spans="2:16" s="21" customFormat="1" ht="42.75" outlineLevel="1" x14ac:dyDescent="0.2">
      <c r="B534" s="139" t="s">
        <v>326</v>
      </c>
      <c r="C534" s="139"/>
      <c r="D534" s="139" t="s">
        <v>327</v>
      </c>
      <c r="E534" s="117" t="s">
        <v>209</v>
      </c>
      <c r="F534" s="139" t="s">
        <v>328</v>
      </c>
      <c r="G534" s="139" t="s">
        <v>83</v>
      </c>
      <c r="H534" s="19" t="s">
        <v>3</v>
      </c>
      <c r="I534" s="23">
        <f t="shared" si="160"/>
        <v>31.16</v>
      </c>
      <c r="J534" s="23">
        <f t="shared" ref="J534:O534" si="162">J535+J536+J537</f>
        <v>0</v>
      </c>
      <c r="K534" s="23">
        <f t="shared" si="162"/>
        <v>0</v>
      </c>
      <c r="L534" s="23">
        <f t="shared" si="162"/>
        <v>0</v>
      </c>
      <c r="M534" s="23">
        <f t="shared" si="162"/>
        <v>15.58</v>
      </c>
      <c r="N534" s="23">
        <f t="shared" si="162"/>
        <v>15.58</v>
      </c>
      <c r="O534" s="23">
        <f t="shared" si="162"/>
        <v>0</v>
      </c>
      <c r="P534" s="117">
        <v>13670</v>
      </c>
    </row>
    <row r="535" spans="2:16" s="21" customFormat="1" ht="25.5" customHeight="1" outlineLevel="1" x14ac:dyDescent="0.2">
      <c r="B535" s="140"/>
      <c r="C535" s="132"/>
      <c r="D535" s="140"/>
      <c r="E535" s="118"/>
      <c r="F535" s="140"/>
      <c r="G535" s="140"/>
      <c r="H535" s="19" t="s">
        <v>4</v>
      </c>
      <c r="I535" s="23">
        <f t="shared" si="160"/>
        <v>0</v>
      </c>
      <c r="J535" s="23"/>
      <c r="K535" s="23"/>
      <c r="L535" s="23"/>
      <c r="M535" s="23"/>
      <c r="N535" s="23"/>
      <c r="O535" s="23"/>
      <c r="P535" s="118"/>
    </row>
    <row r="536" spans="2:16" s="21" customFormat="1" ht="25.5" customHeight="1" outlineLevel="1" x14ac:dyDescent="0.2">
      <c r="B536" s="140"/>
      <c r="C536" s="132"/>
      <c r="D536" s="140"/>
      <c r="E536" s="118"/>
      <c r="F536" s="140"/>
      <c r="G536" s="140"/>
      <c r="H536" s="19" t="s">
        <v>6</v>
      </c>
      <c r="I536" s="23">
        <f t="shared" si="160"/>
        <v>31.16</v>
      </c>
      <c r="J536" s="23"/>
      <c r="K536" s="23"/>
      <c r="L536" s="23"/>
      <c r="M536" s="83">
        <v>15.58</v>
      </c>
      <c r="N536" s="83">
        <v>15.58</v>
      </c>
      <c r="O536" s="23"/>
      <c r="P536" s="118"/>
    </row>
    <row r="537" spans="2:16" s="21" customFormat="1" ht="25.5" customHeight="1" outlineLevel="1" x14ac:dyDescent="0.2">
      <c r="B537" s="141"/>
      <c r="C537" s="133"/>
      <c r="D537" s="141"/>
      <c r="E537" s="119"/>
      <c r="F537" s="141"/>
      <c r="G537" s="141"/>
      <c r="H537" s="19" t="s">
        <v>5</v>
      </c>
      <c r="I537" s="23">
        <f t="shared" si="160"/>
        <v>0</v>
      </c>
      <c r="J537" s="23"/>
      <c r="K537" s="23"/>
      <c r="L537" s="23"/>
      <c r="M537" s="23"/>
      <c r="N537" s="23"/>
      <c r="O537" s="23"/>
      <c r="P537" s="119"/>
    </row>
    <row r="538" spans="2:16" s="21" customFormat="1" ht="42.75" outlineLevel="1" x14ac:dyDescent="0.2">
      <c r="B538" s="139" t="s">
        <v>329</v>
      </c>
      <c r="C538" s="139"/>
      <c r="D538" s="139" t="s">
        <v>321</v>
      </c>
      <c r="E538" s="117" t="s">
        <v>330</v>
      </c>
      <c r="F538" s="139" t="s">
        <v>331</v>
      </c>
      <c r="G538" s="139" t="s">
        <v>101</v>
      </c>
      <c r="H538" s="19" t="s">
        <v>3</v>
      </c>
      <c r="I538" s="23">
        <f t="shared" si="160"/>
        <v>6.0359999999999996</v>
      </c>
      <c r="J538" s="23">
        <f t="shared" ref="J538:O538" si="163">J539+J540+J541</f>
        <v>1.0029999999999999</v>
      </c>
      <c r="K538" s="23">
        <f t="shared" si="163"/>
        <v>1.03</v>
      </c>
      <c r="L538" s="23">
        <f t="shared" si="163"/>
        <v>1.0029999999999999</v>
      </c>
      <c r="M538" s="23">
        <f t="shared" si="163"/>
        <v>1</v>
      </c>
      <c r="N538" s="23">
        <f t="shared" si="163"/>
        <v>1</v>
      </c>
      <c r="O538" s="23">
        <f t="shared" si="163"/>
        <v>1</v>
      </c>
      <c r="P538" s="117">
        <v>4600</v>
      </c>
    </row>
    <row r="539" spans="2:16" s="21" customFormat="1" outlineLevel="1" x14ac:dyDescent="0.2">
      <c r="B539" s="140"/>
      <c r="C539" s="132"/>
      <c r="D539" s="140"/>
      <c r="E539" s="118"/>
      <c r="F539" s="140"/>
      <c r="G539" s="140"/>
      <c r="H539" s="19" t="s">
        <v>4</v>
      </c>
      <c r="I539" s="23">
        <f t="shared" si="160"/>
        <v>0</v>
      </c>
      <c r="J539" s="23"/>
      <c r="K539" s="23"/>
      <c r="L539" s="23"/>
      <c r="M539" s="23"/>
      <c r="N539" s="23"/>
      <c r="O539" s="23"/>
      <c r="P539" s="118"/>
    </row>
    <row r="540" spans="2:16" s="21" customFormat="1" outlineLevel="1" x14ac:dyDescent="0.2">
      <c r="B540" s="140"/>
      <c r="C540" s="132"/>
      <c r="D540" s="140"/>
      <c r="E540" s="118"/>
      <c r="F540" s="140"/>
      <c r="G540" s="140"/>
      <c r="H540" s="19" t="s">
        <v>6</v>
      </c>
      <c r="I540" s="23">
        <f t="shared" si="160"/>
        <v>6.0359999999999996</v>
      </c>
      <c r="J540" s="23">
        <v>1.0029999999999999</v>
      </c>
      <c r="K540" s="23">
        <v>1.03</v>
      </c>
      <c r="L540" s="23">
        <v>1.0029999999999999</v>
      </c>
      <c r="M540" s="23">
        <v>1</v>
      </c>
      <c r="N540" s="23">
        <v>1</v>
      </c>
      <c r="O540" s="23">
        <v>1</v>
      </c>
      <c r="P540" s="118"/>
    </row>
    <row r="541" spans="2:16" s="21" customFormat="1" outlineLevel="1" x14ac:dyDescent="0.2">
      <c r="B541" s="141"/>
      <c r="C541" s="133"/>
      <c r="D541" s="141"/>
      <c r="E541" s="119"/>
      <c r="F541" s="141"/>
      <c r="G541" s="141"/>
      <c r="H541" s="19" t="s">
        <v>5</v>
      </c>
      <c r="I541" s="23">
        <f t="shared" si="160"/>
        <v>0</v>
      </c>
      <c r="J541" s="23"/>
      <c r="K541" s="23"/>
      <c r="L541" s="23"/>
      <c r="M541" s="23"/>
      <c r="N541" s="23"/>
      <c r="O541" s="23"/>
      <c r="P541" s="119"/>
    </row>
    <row r="542" spans="2:16" s="21" customFormat="1" ht="42.75" outlineLevel="1" x14ac:dyDescent="0.2">
      <c r="B542" s="139" t="s">
        <v>332</v>
      </c>
      <c r="C542" s="139"/>
      <c r="D542" s="139" t="s">
        <v>321</v>
      </c>
      <c r="E542" s="117" t="s">
        <v>330</v>
      </c>
      <c r="F542" s="139" t="s">
        <v>333</v>
      </c>
      <c r="G542" s="139" t="s">
        <v>101</v>
      </c>
      <c r="H542" s="19" t="s">
        <v>3</v>
      </c>
      <c r="I542" s="23">
        <f t="shared" si="160"/>
        <v>61.177999999999997</v>
      </c>
      <c r="J542" s="23">
        <f>J543+J544+J545</f>
        <v>9.6129999999999995</v>
      </c>
      <c r="K542" s="23">
        <f>K543+K544+K545</f>
        <v>9.6</v>
      </c>
      <c r="L542" s="23">
        <f>L543+L544+L545</f>
        <v>21.265000000000001</v>
      </c>
      <c r="M542" s="23">
        <f t="shared" ref="M542:N542" si="164">M543+M544+M545</f>
        <v>6.9</v>
      </c>
      <c r="N542" s="23">
        <f t="shared" si="164"/>
        <v>6.9</v>
      </c>
      <c r="O542" s="23">
        <f>O543+O544+O545</f>
        <v>6.9</v>
      </c>
      <c r="P542" s="117">
        <v>13670</v>
      </c>
    </row>
    <row r="543" spans="2:16" s="21" customFormat="1" outlineLevel="1" x14ac:dyDescent="0.2">
      <c r="B543" s="140"/>
      <c r="C543" s="132"/>
      <c r="D543" s="140"/>
      <c r="E543" s="118"/>
      <c r="F543" s="140"/>
      <c r="G543" s="140"/>
      <c r="H543" s="19" t="s">
        <v>4</v>
      </c>
      <c r="I543" s="23">
        <f t="shared" si="160"/>
        <v>0</v>
      </c>
      <c r="J543" s="23"/>
      <c r="K543" s="23"/>
      <c r="L543" s="23"/>
      <c r="M543" s="23"/>
      <c r="N543" s="23"/>
      <c r="O543" s="23"/>
      <c r="P543" s="118"/>
    </row>
    <row r="544" spans="2:16" s="21" customFormat="1" outlineLevel="1" x14ac:dyDescent="0.2">
      <c r="B544" s="140"/>
      <c r="C544" s="132"/>
      <c r="D544" s="140"/>
      <c r="E544" s="118"/>
      <c r="F544" s="140"/>
      <c r="G544" s="140"/>
      <c r="H544" s="19" t="s">
        <v>6</v>
      </c>
      <c r="I544" s="23">
        <f t="shared" si="160"/>
        <v>61.177999999999997</v>
      </c>
      <c r="J544" s="23">
        <v>9.6129999999999995</v>
      </c>
      <c r="K544" s="23">
        <v>9.6</v>
      </c>
      <c r="L544" s="23">
        <v>21.265000000000001</v>
      </c>
      <c r="M544" s="23">
        <v>6.9</v>
      </c>
      <c r="N544" s="23">
        <v>6.9</v>
      </c>
      <c r="O544" s="23">
        <v>6.9</v>
      </c>
      <c r="P544" s="118"/>
    </row>
    <row r="545" spans="2:17" s="21" customFormat="1" outlineLevel="1" x14ac:dyDescent="0.2">
      <c r="B545" s="141"/>
      <c r="C545" s="133"/>
      <c r="D545" s="141"/>
      <c r="E545" s="119"/>
      <c r="F545" s="141"/>
      <c r="G545" s="141"/>
      <c r="H545" s="19" t="s">
        <v>5</v>
      </c>
      <c r="I545" s="23">
        <f t="shared" si="160"/>
        <v>0</v>
      </c>
      <c r="J545" s="23"/>
      <c r="K545" s="23"/>
      <c r="L545" s="23"/>
      <c r="M545" s="23"/>
      <c r="N545" s="23"/>
      <c r="O545" s="23"/>
      <c r="P545" s="119"/>
    </row>
    <row r="546" spans="2:17" s="21" customFormat="1" ht="42.75" outlineLevel="1" x14ac:dyDescent="0.2">
      <c r="B546" s="139" t="s">
        <v>334</v>
      </c>
      <c r="C546" s="139"/>
      <c r="D546" s="139" t="s">
        <v>321</v>
      </c>
      <c r="E546" s="117">
        <v>2023</v>
      </c>
      <c r="F546" s="139" t="s">
        <v>131</v>
      </c>
      <c r="G546" s="139" t="s">
        <v>101</v>
      </c>
      <c r="H546" s="19" t="s">
        <v>3</v>
      </c>
      <c r="I546" s="23">
        <f t="shared" si="160"/>
        <v>59</v>
      </c>
      <c r="J546" s="23">
        <f>J547+J548+J549</f>
        <v>0</v>
      </c>
      <c r="K546" s="23"/>
      <c r="L546" s="23">
        <f>L547+L548+L549</f>
        <v>0</v>
      </c>
      <c r="M546" s="23">
        <f>M547+M548+M549</f>
        <v>59</v>
      </c>
      <c r="N546" s="23">
        <f>N547+N548+N549</f>
        <v>0</v>
      </c>
      <c r="O546" s="23">
        <f>O547+O548+O549</f>
        <v>0</v>
      </c>
      <c r="P546" s="139">
        <v>1000</v>
      </c>
    </row>
    <row r="547" spans="2:17" s="21" customFormat="1" outlineLevel="1" x14ac:dyDescent="0.2">
      <c r="B547" s="140"/>
      <c r="C547" s="132"/>
      <c r="D547" s="140"/>
      <c r="E547" s="118"/>
      <c r="F547" s="140"/>
      <c r="G547" s="140"/>
      <c r="H547" s="19" t="s">
        <v>4</v>
      </c>
      <c r="I547" s="23">
        <f t="shared" si="160"/>
        <v>0</v>
      </c>
      <c r="J547" s="23"/>
      <c r="K547" s="23"/>
      <c r="L547" s="23"/>
      <c r="M547" s="23"/>
      <c r="N547" s="23"/>
      <c r="O547" s="23"/>
      <c r="P547" s="140"/>
    </row>
    <row r="548" spans="2:17" s="21" customFormat="1" outlineLevel="1" x14ac:dyDescent="0.2">
      <c r="B548" s="140"/>
      <c r="C548" s="132"/>
      <c r="D548" s="140"/>
      <c r="E548" s="118"/>
      <c r="F548" s="140"/>
      <c r="G548" s="140"/>
      <c r="H548" s="19" t="s">
        <v>6</v>
      </c>
      <c r="I548" s="23">
        <f t="shared" si="160"/>
        <v>59</v>
      </c>
      <c r="J548" s="23"/>
      <c r="K548" s="23"/>
      <c r="L548" s="23"/>
      <c r="M548" s="23">
        <v>59</v>
      </c>
      <c r="N548" s="23"/>
      <c r="O548" s="23"/>
      <c r="P548" s="140"/>
    </row>
    <row r="549" spans="2:17" s="21" customFormat="1" outlineLevel="1" x14ac:dyDescent="0.2">
      <c r="B549" s="141"/>
      <c r="C549" s="133"/>
      <c r="D549" s="141"/>
      <c r="E549" s="119"/>
      <c r="F549" s="141"/>
      <c r="G549" s="141"/>
      <c r="H549" s="19" t="s">
        <v>5</v>
      </c>
      <c r="I549" s="23">
        <f t="shared" si="160"/>
        <v>0</v>
      </c>
      <c r="J549" s="23"/>
      <c r="K549" s="23"/>
      <c r="L549" s="23"/>
      <c r="M549" s="23"/>
      <c r="N549" s="23"/>
      <c r="O549" s="23"/>
      <c r="P549" s="141"/>
    </row>
    <row r="550" spans="2:17" s="21" customFormat="1" ht="42.75" outlineLevel="1" x14ac:dyDescent="0.2">
      <c r="B550" s="139" t="s">
        <v>335</v>
      </c>
      <c r="C550" s="139"/>
      <c r="D550" s="139" t="s">
        <v>321</v>
      </c>
      <c r="E550" s="117">
        <v>2023</v>
      </c>
      <c r="F550" s="139" t="s">
        <v>336</v>
      </c>
      <c r="G550" s="139" t="s">
        <v>101</v>
      </c>
      <c r="H550" s="19" t="s">
        <v>3</v>
      </c>
      <c r="I550" s="23">
        <f t="shared" si="160"/>
        <v>89</v>
      </c>
      <c r="J550" s="23">
        <f t="shared" ref="J550:O550" si="165">J551+J552+J553</f>
        <v>0</v>
      </c>
      <c r="K550" s="23">
        <f t="shared" si="165"/>
        <v>0</v>
      </c>
      <c r="L550" s="23">
        <f t="shared" si="165"/>
        <v>0</v>
      </c>
      <c r="M550" s="23">
        <f t="shared" si="165"/>
        <v>89</v>
      </c>
      <c r="N550" s="23">
        <f t="shared" si="165"/>
        <v>0</v>
      </c>
      <c r="O550" s="23">
        <f t="shared" si="165"/>
        <v>0</v>
      </c>
      <c r="P550" s="139">
        <v>100</v>
      </c>
    </row>
    <row r="551" spans="2:17" s="21" customFormat="1" outlineLevel="1" x14ac:dyDescent="0.2">
      <c r="B551" s="140"/>
      <c r="C551" s="132"/>
      <c r="D551" s="140"/>
      <c r="E551" s="118"/>
      <c r="F551" s="140"/>
      <c r="G551" s="140"/>
      <c r="H551" s="19" t="s">
        <v>4</v>
      </c>
      <c r="I551" s="23">
        <f t="shared" si="160"/>
        <v>0</v>
      </c>
      <c r="J551" s="23"/>
      <c r="K551" s="23"/>
      <c r="L551" s="23"/>
      <c r="M551" s="23"/>
      <c r="N551" s="23"/>
      <c r="O551" s="23"/>
      <c r="P551" s="140"/>
    </row>
    <row r="552" spans="2:17" s="21" customFormat="1" outlineLevel="1" x14ac:dyDescent="0.2">
      <c r="B552" s="140"/>
      <c r="C552" s="132"/>
      <c r="D552" s="140"/>
      <c r="E552" s="118"/>
      <c r="F552" s="140"/>
      <c r="G552" s="140"/>
      <c r="H552" s="19" t="s">
        <v>6</v>
      </c>
      <c r="I552" s="23">
        <f t="shared" si="160"/>
        <v>89</v>
      </c>
      <c r="J552" s="23"/>
      <c r="K552" s="23"/>
      <c r="L552" s="23"/>
      <c r="M552" s="23">
        <v>89</v>
      </c>
      <c r="N552" s="23"/>
      <c r="O552" s="23"/>
      <c r="P552" s="140"/>
    </row>
    <row r="553" spans="2:17" s="21" customFormat="1" outlineLevel="1" x14ac:dyDescent="0.2">
      <c r="B553" s="141"/>
      <c r="C553" s="133"/>
      <c r="D553" s="141"/>
      <c r="E553" s="119"/>
      <c r="F553" s="141"/>
      <c r="G553" s="141"/>
      <c r="H553" s="19" t="s">
        <v>5</v>
      </c>
      <c r="I553" s="23">
        <f t="shared" si="160"/>
        <v>0</v>
      </c>
      <c r="J553" s="23"/>
      <c r="K553" s="23"/>
      <c r="L553" s="23"/>
      <c r="M553" s="23"/>
      <c r="N553" s="23"/>
      <c r="O553" s="23"/>
      <c r="P553" s="141"/>
    </row>
    <row r="554" spans="2:17" ht="42.75" x14ac:dyDescent="0.2">
      <c r="B554" s="128" t="s">
        <v>337</v>
      </c>
      <c r="C554" s="128" t="s">
        <v>38</v>
      </c>
      <c r="D554" s="128" t="s">
        <v>38</v>
      </c>
      <c r="E554" s="128" t="s">
        <v>38</v>
      </c>
      <c r="F554" s="128" t="s">
        <v>38</v>
      </c>
      <c r="G554" s="128" t="s">
        <v>38</v>
      </c>
      <c r="H554" s="84" t="s">
        <v>3</v>
      </c>
      <c r="I554" s="14">
        <f t="shared" ref="I554:O554" si="166">SUMIF($H$526:$H$553,"Объем*",I$526:I$553)</f>
        <v>265.01400000000001</v>
      </c>
      <c r="J554" s="14">
        <f t="shared" si="166"/>
        <v>10.616</v>
      </c>
      <c r="K554" s="14">
        <f t="shared" si="166"/>
        <v>10.629999999999999</v>
      </c>
      <c r="L554" s="14">
        <f t="shared" si="166"/>
        <v>28.068000000000001</v>
      </c>
      <c r="M554" s="14">
        <f t="shared" si="166"/>
        <v>184.32</v>
      </c>
      <c r="N554" s="14">
        <f t="shared" si="166"/>
        <v>23.479999999999997</v>
      </c>
      <c r="O554" s="14">
        <f t="shared" si="166"/>
        <v>7.9</v>
      </c>
      <c r="P554" s="128"/>
      <c r="Q554" s="7"/>
    </row>
    <row r="555" spans="2:17" ht="15.75" x14ac:dyDescent="0.2">
      <c r="B555" s="129"/>
      <c r="C555" s="129"/>
      <c r="D555" s="129"/>
      <c r="E555" s="129"/>
      <c r="F555" s="129"/>
      <c r="G555" s="129"/>
      <c r="H555" s="84" t="s">
        <v>4</v>
      </c>
      <c r="I555" s="14">
        <f t="shared" ref="I555:O555" si="167">SUMIF($H$526:$H$553,"фед*",I$526:I$553)</f>
        <v>0</v>
      </c>
      <c r="J555" s="14">
        <f t="shared" si="167"/>
        <v>0</v>
      </c>
      <c r="K555" s="14">
        <f t="shared" si="167"/>
        <v>0</v>
      </c>
      <c r="L555" s="14">
        <f t="shared" si="167"/>
        <v>0</v>
      </c>
      <c r="M555" s="14">
        <f t="shared" si="167"/>
        <v>0</v>
      </c>
      <c r="N555" s="14">
        <f t="shared" si="167"/>
        <v>0</v>
      </c>
      <c r="O555" s="14">
        <f t="shared" si="167"/>
        <v>0</v>
      </c>
      <c r="P555" s="129"/>
    </row>
    <row r="556" spans="2:17" ht="15.75" x14ac:dyDescent="0.2">
      <c r="B556" s="129"/>
      <c r="C556" s="129"/>
      <c r="D556" s="129"/>
      <c r="E556" s="129"/>
      <c r="F556" s="129"/>
      <c r="G556" s="129"/>
      <c r="H556" s="84" t="s">
        <v>6</v>
      </c>
      <c r="I556" s="14">
        <f t="shared" ref="I556:O556" si="168">SUMIF($H$526:$H$553,"конс*",I$526:I$553)</f>
        <v>265.01400000000001</v>
      </c>
      <c r="J556" s="14">
        <f t="shared" si="168"/>
        <v>10.616</v>
      </c>
      <c r="K556" s="14">
        <f t="shared" si="168"/>
        <v>10.629999999999999</v>
      </c>
      <c r="L556" s="14">
        <f t="shared" si="168"/>
        <v>28.068000000000001</v>
      </c>
      <c r="M556" s="14">
        <f t="shared" si="168"/>
        <v>184.32</v>
      </c>
      <c r="N556" s="14">
        <f t="shared" si="168"/>
        <v>23.479999999999997</v>
      </c>
      <c r="O556" s="14">
        <f t="shared" si="168"/>
        <v>7.9</v>
      </c>
      <c r="P556" s="129"/>
    </row>
    <row r="557" spans="2:17" ht="15.75" x14ac:dyDescent="0.2">
      <c r="B557" s="130"/>
      <c r="C557" s="130"/>
      <c r="D557" s="130"/>
      <c r="E557" s="130"/>
      <c r="F557" s="130"/>
      <c r="G557" s="130"/>
      <c r="H557" s="84" t="s">
        <v>5</v>
      </c>
      <c r="I557" s="14">
        <f t="shared" ref="I557:O557" si="169">SUMIF($H$526:$H$553,"вне*",I$526:I$553)</f>
        <v>0</v>
      </c>
      <c r="J557" s="14">
        <f t="shared" si="169"/>
        <v>0</v>
      </c>
      <c r="K557" s="14">
        <f t="shared" si="169"/>
        <v>0</v>
      </c>
      <c r="L557" s="14">
        <f t="shared" si="169"/>
        <v>0</v>
      </c>
      <c r="M557" s="14">
        <f t="shared" si="169"/>
        <v>0</v>
      </c>
      <c r="N557" s="14">
        <f t="shared" si="169"/>
        <v>0</v>
      </c>
      <c r="O557" s="14">
        <f t="shared" si="169"/>
        <v>0</v>
      </c>
      <c r="P557" s="130"/>
    </row>
    <row r="558" spans="2:17" ht="25.5" customHeight="1" x14ac:dyDescent="0.2">
      <c r="B558" s="111" t="s">
        <v>338</v>
      </c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3"/>
    </row>
    <row r="559" spans="2:17" s="21" customFormat="1" ht="42.75" outlineLevel="1" x14ac:dyDescent="0.2">
      <c r="B559" s="139" t="s">
        <v>339</v>
      </c>
      <c r="C559" s="139"/>
      <c r="D559" s="139" t="s">
        <v>338</v>
      </c>
      <c r="E559" s="139">
        <v>2025</v>
      </c>
      <c r="F559" s="139" t="s">
        <v>340</v>
      </c>
      <c r="G559" s="139" t="s">
        <v>83</v>
      </c>
      <c r="H559" s="19" t="s">
        <v>3</v>
      </c>
      <c r="I559" s="20">
        <f>SUM(J559:O559)</f>
        <v>30</v>
      </c>
      <c r="J559" s="20">
        <f t="shared" ref="J559:O559" si="170">J560+J561+J562</f>
        <v>0</v>
      </c>
      <c r="K559" s="20">
        <f t="shared" si="170"/>
        <v>0</v>
      </c>
      <c r="L559" s="20">
        <f t="shared" si="170"/>
        <v>0</v>
      </c>
      <c r="M559" s="20">
        <f t="shared" si="170"/>
        <v>0</v>
      </c>
      <c r="N559" s="20">
        <f t="shared" si="170"/>
        <v>0</v>
      </c>
      <c r="O559" s="20">
        <f t="shared" si="170"/>
        <v>30</v>
      </c>
      <c r="P559" s="139"/>
    </row>
    <row r="560" spans="2:17" s="21" customFormat="1" outlineLevel="1" x14ac:dyDescent="0.2">
      <c r="B560" s="140"/>
      <c r="C560" s="132"/>
      <c r="D560" s="140"/>
      <c r="E560" s="140"/>
      <c r="F560" s="140"/>
      <c r="G560" s="140"/>
      <c r="H560" s="19" t="s">
        <v>4</v>
      </c>
      <c r="I560" s="20"/>
      <c r="J560" s="20"/>
      <c r="K560" s="20"/>
      <c r="L560" s="20"/>
      <c r="M560" s="20"/>
      <c r="N560" s="20"/>
      <c r="O560" s="20"/>
      <c r="P560" s="140"/>
    </row>
    <row r="561" spans="2:17" s="21" customFormat="1" outlineLevel="1" x14ac:dyDescent="0.2">
      <c r="B561" s="140"/>
      <c r="C561" s="132"/>
      <c r="D561" s="140"/>
      <c r="E561" s="140"/>
      <c r="F561" s="140"/>
      <c r="G561" s="140"/>
      <c r="H561" s="19" t="s">
        <v>6</v>
      </c>
      <c r="I561" s="20">
        <f>SUM(J561:O561)</f>
        <v>30</v>
      </c>
      <c r="J561" s="20"/>
      <c r="K561" s="20"/>
      <c r="L561" s="20"/>
      <c r="M561" s="20"/>
      <c r="N561" s="20"/>
      <c r="O561" s="20">
        <v>30</v>
      </c>
      <c r="P561" s="140"/>
    </row>
    <row r="562" spans="2:17" s="21" customFormat="1" outlineLevel="1" x14ac:dyDescent="0.2">
      <c r="B562" s="141"/>
      <c r="C562" s="133"/>
      <c r="D562" s="141"/>
      <c r="E562" s="141"/>
      <c r="F562" s="141"/>
      <c r="G562" s="141"/>
      <c r="H562" s="19" t="s">
        <v>5</v>
      </c>
      <c r="I562" s="20"/>
      <c r="J562" s="20"/>
      <c r="K562" s="20"/>
      <c r="L562" s="20"/>
      <c r="M562" s="20"/>
      <c r="N562" s="20"/>
      <c r="O562" s="20"/>
      <c r="P562" s="141"/>
    </row>
    <row r="563" spans="2:17" s="21" customFormat="1" ht="42.75" outlineLevel="1" x14ac:dyDescent="0.2">
      <c r="B563" s="139" t="s">
        <v>341</v>
      </c>
      <c r="C563" s="139"/>
      <c r="D563" s="139" t="s">
        <v>338</v>
      </c>
      <c r="E563" s="139" t="s">
        <v>99</v>
      </c>
      <c r="F563" s="117" t="s">
        <v>342</v>
      </c>
      <c r="G563" s="139" t="s">
        <v>101</v>
      </c>
      <c r="H563" s="19" t="s">
        <v>3</v>
      </c>
      <c r="I563" s="20">
        <f>SUM(J563:O563)</f>
        <v>89.563999999999993</v>
      </c>
      <c r="J563" s="20">
        <f t="shared" ref="J563:O563" si="171">J564+J565+J566</f>
        <v>62.994999999999997</v>
      </c>
      <c r="K563" s="20">
        <f t="shared" si="171"/>
        <v>8.3000000000000007</v>
      </c>
      <c r="L563" s="20">
        <f t="shared" si="171"/>
        <v>18.268999999999998</v>
      </c>
      <c r="M563" s="20">
        <f t="shared" si="171"/>
        <v>0</v>
      </c>
      <c r="N563" s="20">
        <f t="shared" si="171"/>
        <v>0</v>
      </c>
      <c r="O563" s="20">
        <f t="shared" si="171"/>
        <v>0</v>
      </c>
      <c r="P563" s="139"/>
    </row>
    <row r="564" spans="2:17" s="21" customFormat="1" outlineLevel="1" x14ac:dyDescent="0.2">
      <c r="B564" s="140"/>
      <c r="C564" s="132"/>
      <c r="D564" s="140"/>
      <c r="E564" s="140"/>
      <c r="F564" s="118"/>
      <c r="G564" s="140"/>
      <c r="H564" s="19" t="s">
        <v>4</v>
      </c>
      <c r="I564" s="20"/>
      <c r="J564" s="20"/>
      <c r="K564" s="20"/>
      <c r="L564" s="20"/>
      <c r="M564" s="20"/>
      <c r="N564" s="20"/>
      <c r="O564" s="20"/>
      <c r="P564" s="140"/>
    </row>
    <row r="565" spans="2:17" s="21" customFormat="1" outlineLevel="1" x14ac:dyDescent="0.2">
      <c r="B565" s="140"/>
      <c r="C565" s="132"/>
      <c r="D565" s="140"/>
      <c r="E565" s="140"/>
      <c r="F565" s="118"/>
      <c r="G565" s="140"/>
      <c r="H565" s="19" t="s">
        <v>6</v>
      </c>
      <c r="I565" s="20">
        <f>SUM(J565:O565)</f>
        <v>89.563999999999993</v>
      </c>
      <c r="J565" s="20">
        <v>62.994999999999997</v>
      </c>
      <c r="K565" s="20">
        <v>8.3000000000000007</v>
      </c>
      <c r="L565" s="20">
        <v>18.268999999999998</v>
      </c>
      <c r="M565" s="20"/>
      <c r="N565" s="20"/>
      <c r="O565" s="20"/>
      <c r="P565" s="140"/>
    </row>
    <row r="566" spans="2:17" s="21" customFormat="1" outlineLevel="1" x14ac:dyDescent="0.2">
      <c r="B566" s="141"/>
      <c r="C566" s="133"/>
      <c r="D566" s="141"/>
      <c r="E566" s="141"/>
      <c r="F566" s="119"/>
      <c r="G566" s="141"/>
      <c r="H566" s="19" t="s">
        <v>5</v>
      </c>
      <c r="I566" s="20"/>
      <c r="J566" s="20"/>
      <c r="K566" s="20"/>
      <c r="L566" s="20"/>
      <c r="M566" s="20"/>
      <c r="N566" s="20"/>
      <c r="O566" s="20"/>
      <c r="P566" s="141"/>
    </row>
    <row r="567" spans="2:17" ht="42.75" x14ac:dyDescent="0.2">
      <c r="B567" s="128" t="s">
        <v>343</v>
      </c>
      <c r="C567" s="128" t="s">
        <v>38</v>
      </c>
      <c r="D567" s="128" t="s">
        <v>38</v>
      </c>
      <c r="E567" s="128" t="s">
        <v>38</v>
      </c>
      <c r="F567" s="128" t="s">
        <v>38</v>
      </c>
      <c r="G567" s="128" t="s">
        <v>38</v>
      </c>
      <c r="H567" s="84" t="s">
        <v>3</v>
      </c>
      <c r="I567" s="14">
        <f t="shared" ref="I567:O567" si="172">SUMIF($H$559:$H$566,"Объем*",I$559:I$566)</f>
        <v>119.56399999999999</v>
      </c>
      <c r="J567" s="14">
        <f t="shared" si="172"/>
        <v>62.994999999999997</v>
      </c>
      <c r="K567" s="14">
        <f t="shared" si="172"/>
        <v>8.3000000000000007</v>
      </c>
      <c r="L567" s="14">
        <f t="shared" si="172"/>
        <v>18.268999999999998</v>
      </c>
      <c r="M567" s="14">
        <f t="shared" si="172"/>
        <v>0</v>
      </c>
      <c r="N567" s="14">
        <f t="shared" si="172"/>
        <v>0</v>
      </c>
      <c r="O567" s="14">
        <f t="shared" si="172"/>
        <v>30</v>
      </c>
      <c r="P567" s="128"/>
      <c r="Q567" s="7"/>
    </row>
    <row r="568" spans="2:17" ht="15.75" x14ac:dyDescent="0.2">
      <c r="B568" s="129"/>
      <c r="C568" s="129"/>
      <c r="D568" s="129"/>
      <c r="E568" s="129"/>
      <c r="F568" s="129"/>
      <c r="G568" s="129"/>
      <c r="H568" s="84" t="s">
        <v>4</v>
      </c>
      <c r="I568" s="14">
        <f t="shared" ref="I568:O568" si="173">SUMIF($H$559:$H$566,"фед*",I$559:I$566)</f>
        <v>0</v>
      </c>
      <c r="J568" s="14">
        <f t="shared" si="173"/>
        <v>0</v>
      </c>
      <c r="K568" s="14">
        <f t="shared" si="173"/>
        <v>0</v>
      </c>
      <c r="L568" s="14">
        <f t="shared" si="173"/>
        <v>0</v>
      </c>
      <c r="M568" s="14">
        <f t="shared" si="173"/>
        <v>0</v>
      </c>
      <c r="N568" s="14">
        <f t="shared" si="173"/>
        <v>0</v>
      </c>
      <c r="O568" s="14">
        <f t="shared" si="173"/>
        <v>0</v>
      </c>
      <c r="P568" s="129"/>
    </row>
    <row r="569" spans="2:17" ht="15.75" x14ac:dyDescent="0.2">
      <c r="B569" s="129"/>
      <c r="C569" s="129"/>
      <c r="D569" s="129"/>
      <c r="E569" s="129"/>
      <c r="F569" s="129"/>
      <c r="G569" s="129"/>
      <c r="H569" s="84" t="s">
        <v>6</v>
      </c>
      <c r="I569" s="14">
        <f t="shared" ref="I569:O569" si="174">SUMIF($H$559:$H$566,"конс*",I$559:I$566)</f>
        <v>119.56399999999999</v>
      </c>
      <c r="J569" s="14">
        <f t="shared" si="174"/>
        <v>62.994999999999997</v>
      </c>
      <c r="K569" s="14">
        <f t="shared" si="174"/>
        <v>8.3000000000000007</v>
      </c>
      <c r="L569" s="14">
        <f t="shared" si="174"/>
        <v>18.268999999999998</v>
      </c>
      <c r="M569" s="14">
        <f t="shared" si="174"/>
        <v>0</v>
      </c>
      <c r="N569" s="14">
        <f t="shared" si="174"/>
        <v>0</v>
      </c>
      <c r="O569" s="14">
        <f t="shared" si="174"/>
        <v>30</v>
      </c>
      <c r="P569" s="129"/>
    </row>
    <row r="570" spans="2:17" ht="15.75" x14ac:dyDescent="0.2">
      <c r="B570" s="130"/>
      <c r="C570" s="130"/>
      <c r="D570" s="130"/>
      <c r="E570" s="130"/>
      <c r="F570" s="130"/>
      <c r="G570" s="130"/>
      <c r="H570" s="84" t="s">
        <v>5</v>
      </c>
      <c r="I570" s="14">
        <f t="shared" ref="I570:O570" si="175">SUMIF($H$559:$H$566,"вне*",I$559:I$566)</f>
        <v>0</v>
      </c>
      <c r="J570" s="14">
        <f t="shared" si="175"/>
        <v>0</v>
      </c>
      <c r="K570" s="14">
        <f t="shared" si="175"/>
        <v>0</v>
      </c>
      <c r="L570" s="14">
        <f t="shared" si="175"/>
        <v>0</v>
      </c>
      <c r="M570" s="14">
        <f t="shared" si="175"/>
        <v>0</v>
      </c>
      <c r="N570" s="14">
        <f t="shared" si="175"/>
        <v>0</v>
      </c>
      <c r="O570" s="14">
        <f t="shared" si="175"/>
        <v>0</v>
      </c>
      <c r="P570" s="130"/>
    </row>
    <row r="571" spans="2:17" ht="25.5" customHeight="1" x14ac:dyDescent="0.2">
      <c r="B571" s="111" t="s">
        <v>344</v>
      </c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3"/>
    </row>
    <row r="572" spans="2:17" s="21" customFormat="1" ht="42.75" outlineLevel="1" x14ac:dyDescent="0.2">
      <c r="B572" s="139" t="s">
        <v>345</v>
      </c>
      <c r="C572" s="139"/>
      <c r="D572" s="139" t="s">
        <v>344</v>
      </c>
      <c r="E572" s="139">
        <v>2022</v>
      </c>
      <c r="F572" s="139" t="s">
        <v>346</v>
      </c>
      <c r="G572" s="139" t="s">
        <v>63</v>
      </c>
      <c r="H572" s="19" t="s">
        <v>3</v>
      </c>
      <c r="I572" s="20">
        <f>SUM(J572:O572)</f>
        <v>22.1</v>
      </c>
      <c r="J572" s="20">
        <f t="shared" ref="J572:O572" si="176">J573+J574+J575</f>
        <v>0</v>
      </c>
      <c r="K572" s="20">
        <f t="shared" si="176"/>
        <v>0</v>
      </c>
      <c r="L572" s="20">
        <v>22.1</v>
      </c>
      <c r="M572" s="20">
        <f t="shared" si="176"/>
        <v>0</v>
      </c>
      <c r="N572" s="20">
        <f t="shared" si="176"/>
        <v>0</v>
      </c>
      <c r="O572" s="20">
        <f t="shared" si="176"/>
        <v>0</v>
      </c>
      <c r="P572" s="139"/>
    </row>
    <row r="573" spans="2:17" s="21" customFormat="1" ht="24" customHeight="1" outlineLevel="1" x14ac:dyDescent="0.2">
      <c r="B573" s="140"/>
      <c r="C573" s="132"/>
      <c r="D573" s="140"/>
      <c r="E573" s="140"/>
      <c r="F573" s="140"/>
      <c r="G573" s="140"/>
      <c r="H573" s="19" t="s">
        <v>4</v>
      </c>
      <c r="I573" s="20"/>
      <c r="J573" s="20"/>
      <c r="K573" s="20"/>
      <c r="L573" s="20"/>
      <c r="M573" s="20"/>
      <c r="N573" s="20"/>
      <c r="O573" s="20"/>
      <c r="P573" s="140"/>
    </row>
    <row r="574" spans="2:17" s="21" customFormat="1" ht="23.25" customHeight="1" outlineLevel="1" x14ac:dyDescent="0.2">
      <c r="B574" s="140"/>
      <c r="C574" s="132"/>
      <c r="D574" s="140"/>
      <c r="E574" s="140"/>
      <c r="F574" s="140"/>
      <c r="G574" s="140"/>
      <c r="H574" s="19" t="s">
        <v>6</v>
      </c>
      <c r="I574" s="20">
        <f>SUM(J574:O574)</f>
        <v>22.1</v>
      </c>
      <c r="J574" s="20"/>
      <c r="K574" s="20"/>
      <c r="L574" s="20">
        <v>22.1</v>
      </c>
      <c r="M574" s="20"/>
      <c r="N574" s="20"/>
      <c r="O574" s="20"/>
      <c r="P574" s="140"/>
    </row>
    <row r="575" spans="2:17" s="21" customFormat="1" outlineLevel="1" x14ac:dyDescent="0.2">
      <c r="B575" s="141"/>
      <c r="C575" s="133"/>
      <c r="D575" s="141"/>
      <c r="E575" s="141"/>
      <c r="F575" s="141"/>
      <c r="G575" s="141"/>
      <c r="H575" s="19" t="s">
        <v>5</v>
      </c>
      <c r="I575" s="20"/>
      <c r="J575" s="20"/>
      <c r="K575" s="20"/>
      <c r="L575" s="20"/>
      <c r="M575" s="20"/>
      <c r="N575" s="20"/>
      <c r="O575" s="20"/>
      <c r="P575" s="141"/>
    </row>
    <row r="576" spans="2:17" s="21" customFormat="1" ht="42.75" outlineLevel="1" x14ac:dyDescent="0.2">
      <c r="B576" s="139" t="s">
        <v>347</v>
      </c>
      <c r="C576" s="139"/>
      <c r="D576" s="139" t="s">
        <v>344</v>
      </c>
      <c r="E576" s="139" t="s">
        <v>50</v>
      </c>
      <c r="F576" s="139">
        <v>1.355</v>
      </c>
      <c r="G576" s="139" t="s">
        <v>63</v>
      </c>
      <c r="H576" s="19" t="s">
        <v>3</v>
      </c>
      <c r="I576" s="20">
        <f>SUM(J576:O576)</f>
        <v>12</v>
      </c>
      <c r="J576" s="20">
        <f t="shared" ref="J576:O576" si="177">J577+J578+J579</f>
        <v>0</v>
      </c>
      <c r="K576" s="20">
        <f t="shared" si="177"/>
        <v>5</v>
      </c>
      <c r="L576" s="20">
        <f t="shared" si="177"/>
        <v>7</v>
      </c>
      <c r="M576" s="20"/>
      <c r="N576" s="20">
        <f t="shared" si="177"/>
        <v>0</v>
      </c>
      <c r="O576" s="20">
        <f t="shared" si="177"/>
        <v>0</v>
      </c>
      <c r="P576" s="139"/>
    </row>
    <row r="577" spans="2:17" s="21" customFormat="1" outlineLevel="1" x14ac:dyDescent="0.2">
      <c r="B577" s="140"/>
      <c r="C577" s="132"/>
      <c r="D577" s="140"/>
      <c r="E577" s="140"/>
      <c r="F577" s="140"/>
      <c r="G577" s="140"/>
      <c r="H577" s="19" t="s">
        <v>4</v>
      </c>
      <c r="I577" s="20"/>
      <c r="J577" s="20"/>
      <c r="K577" s="20"/>
      <c r="L577" s="20"/>
      <c r="M577" s="20"/>
      <c r="N577" s="20"/>
      <c r="O577" s="20"/>
      <c r="P577" s="140"/>
    </row>
    <row r="578" spans="2:17" s="21" customFormat="1" outlineLevel="1" x14ac:dyDescent="0.2">
      <c r="B578" s="140"/>
      <c r="C578" s="132"/>
      <c r="D578" s="140"/>
      <c r="E578" s="140"/>
      <c r="F578" s="140"/>
      <c r="G578" s="140"/>
      <c r="H578" s="19" t="s">
        <v>6</v>
      </c>
      <c r="I578" s="20">
        <f>SUM(J578:O578)</f>
        <v>12</v>
      </c>
      <c r="J578" s="20"/>
      <c r="K578" s="20">
        <v>5</v>
      </c>
      <c r="L578" s="20">
        <v>7</v>
      </c>
      <c r="M578" s="20"/>
      <c r="N578" s="20"/>
      <c r="O578" s="20"/>
      <c r="P578" s="140"/>
    </row>
    <row r="579" spans="2:17" s="21" customFormat="1" ht="20.25" customHeight="1" outlineLevel="1" x14ac:dyDescent="0.2">
      <c r="B579" s="141"/>
      <c r="C579" s="133"/>
      <c r="D579" s="141"/>
      <c r="E579" s="141"/>
      <c r="F579" s="141"/>
      <c r="G579" s="141"/>
      <c r="H579" s="19" t="s">
        <v>5</v>
      </c>
      <c r="I579" s="20"/>
      <c r="J579" s="20"/>
      <c r="K579" s="20"/>
      <c r="L579" s="20"/>
      <c r="M579" s="20"/>
      <c r="N579" s="20"/>
      <c r="O579" s="20"/>
      <c r="P579" s="141"/>
    </row>
    <row r="580" spans="2:17" s="21" customFormat="1" ht="42.75" outlineLevel="1" x14ac:dyDescent="0.2">
      <c r="B580" s="139" t="s">
        <v>348</v>
      </c>
      <c r="C580" s="139"/>
      <c r="D580" s="139" t="s">
        <v>344</v>
      </c>
      <c r="E580" s="139">
        <v>2021</v>
      </c>
      <c r="F580" s="139">
        <v>0.72</v>
      </c>
      <c r="G580" s="139" t="s">
        <v>63</v>
      </c>
      <c r="H580" s="19" t="s">
        <v>3</v>
      </c>
      <c r="I580" s="20">
        <f>SUM(J580:O580)</f>
        <v>6</v>
      </c>
      <c r="J580" s="20"/>
      <c r="K580" s="20">
        <v>6</v>
      </c>
      <c r="L580" s="20"/>
      <c r="M580" s="20">
        <v>0</v>
      </c>
      <c r="N580" s="20">
        <f>N581+N582+N583</f>
        <v>0</v>
      </c>
      <c r="O580" s="20">
        <f>O581+O582+O583</f>
        <v>0</v>
      </c>
      <c r="P580" s="139"/>
    </row>
    <row r="581" spans="2:17" s="21" customFormat="1" outlineLevel="1" x14ac:dyDescent="0.2">
      <c r="B581" s="140"/>
      <c r="C581" s="132"/>
      <c r="D581" s="140"/>
      <c r="E581" s="140"/>
      <c r="F581" s="140"/>
      <c r="G581" s="140"/>
      <c r="H581" s="19" t="s">
        <v>4</v>
      </c>
      <c r="I581" s="20"/>
      <c r="J581" s="20"/>
      <c r="K581" s="20"/>
      <c r="L581" s="20"/>
      <c r="M581" s="20"/>
      <c r="N581" s="20"/>
      <c r="O581" s="20"/>
      <c r="P581" s="140"/>
    </row>
    <row r="582" spans="2:17" s="21" customFormat="1" outlineLevel="1" x14ac:dyDescent="0.2">
      <c r="B582" s="140"/>
      <c r="C582" s="132"/>
      <c r="D582" s="140"/>
      <c r="E582" s="140"/>
      <c r="F582" s="140"/>
      <c r="G582" s="140"/>
      <c r="H582" s="19" t="s">
        <v>6</v>
      </c>
      <c r="I582" s="20">
        <f>SUM(J582:O582)</f>
        <v>6</v>
      </c>
      <c r="J582" s="20"/>
      <c r="K582" s="20">
        <v>6</v>
      </c>
      <c r="L582" s="20"/>
      <c r="M582" s="20"/>
      <c r="N582" s="20"/>
      <c r="O582" s="20"/>
      <c r="P582" s="140"/>
    </row>
    <row r="583" spans="2:17" s="21" customFormat="1" outlineLevel="1" x14ac:dyDescent="0.2">
      <c r="B583" s="141"/>
      <c r="C583" s="133"/>
      <c r="D583" s="141"/>
      <c r="E583" s="141"/>
      <c r="F583" s="141"/>
      <c r="G583" s="141"/>
      <c r="H583" s="19" t="s">
        <v>5</v>
      </c>
      <c r="I583" s="20"/>
      <c r="J583" s="20"/>
      <c r="K583" s="20"/>
      <c r="L583" s="20"/>
      <c r="M583" s="20"/>
      <c r="N583" s="20"/>
      <c r="O583" s="20"/>
      <c r="P583" s="141"/>
    </row>
    <row r="584" spans="2:17" ht="42.75" x14ac:dyDescent="0.2">
      <c r="B584" s="128" t="s">
        <v>349</v>
      </c>
      <c r="C584" s="128" t="s">
        <v>38</v>
      </c>
      <c r="D584" s="128" t="s">
        <v>38</v>
      </c>
      <c r="E584" s="128" t="s">
        <v>38</v>
      </c>
      <c r="F584" s="128" t="s">
        <v>38</v>
      </c>
      <c r="G584" s="128" t="s">
        <v>38</v>
      </c>
      <c r="H584" s="84" t="s">
        <v>3</v>
      </c>
      <c r="I584" s="14">
        <f t="shared" ref="I584:O584" si="178">SUMIF($H$572:$H$583,"Объем*",I$572:I$583)</f>
        <v>40.1</v>
      </c>
      <c r="J584" s="14">
        <f t="shared" si="178"/>
        <v>0</v>
      </c>
      <c r="K584" s="14">
        <f t="shared" si="178"/>
        <v>11</v>
      </c>
      <c r="L584" s="14">
        <f t="shared" si="178"/>
        <v>29.1</v>
      </c>
      <c r="M584" s="14">
        <f t="shared" si="178"/>
        <v>0</v>
      </c>
      <c r="N584" s="14">
        <f t="shared" si="178"/>
        <v>0</v>
      </c>
      <c r="O584" s="14">
        <f t="shared" si="178"/>
        <v>0</v>
      </c>
      <c r="P584" s="128"/>
      <c r="Q584" s="7"/>
    </row>
    <row r="585" spans="2:17" ht="15.75" x14ac:dyDescent="0.2">
      <c r="B585" s="129"/>
      <c r="C585" s="129"/>
      <c r="D585" s="129"/>
      <c r="E585" s="129"/>
      <c r="F585" s="129"/>
      <c r="G585" s="129"/>
      <c r="H585" s="84" t="s">
        <v>4</v>
      </c>
      <c r="I585" s="14">
        <f t="shared" ref="I585:O585" si="179">SUMIF($H$572:$H$583,"фед*",I$572:I$583)</f>
        <v>0</v>
      </c>
      <c r="J585" s="14">
        <f t="shared" si="179"/>
        <v>0</v>
      </c>
      <c r="K585" s="14">
        <f t="shared" si="179"/>
        <v>0</v>
      </c>
      <c r="L585" s="14">
        <f t="shared" si="179"/>
        <v>0</v>
      </c>
      <c r="M585" s="14">
        <f t="shared" si="179"/>
        <v>0</v>
      </c>
      <c r="N585" s="14">
        <f t="shared" si="179"/>
        <v>0</v>
      </c>
      <c r="O585" s="14">
        <f t="shared" si="179"/>
        <v>0</v>
      </c>
      <c r="P585" s="129"/>
    </row>
    <row r="586" spans="2:17" ht="15.75" x14ac:dyDescent="0.2">
      <c r="B586" s="129"/>
      <c r="C586" s="129"/>
      <c r="D586" s="129"/>
      <c r="E586" s="129"/>
      <c r="F586" s="129"/>
      <c r="G586" s="129"/>
      <c r="H586" s="84" t="s">
        <v>6</v>
      </c>
      <c r="I586" s="14">
        <f t="shared" ref="I586:O586" si="180">SUMIF($H$572:$H$583,"конс*",I$572:I$583)</f>
        <v>40.1</v>
      </c>
      <c r="J586" s="14">
        <f t="shared" si="180"/>
        <v>0</v>
      </c>
      <c r="K586" s="14">
        <f t="shared" si="180"/>
        <v>11</v>
      </c>
      <c r="L586" s="14">
        <f t="shared" si="180"/>
        <v>29.1</v>
      </c>
      <c r="M586" s="14">
        <f t="shared" si="180"/>
        <v>0</v>
      </c>
      <c r="N586" s="14">
        <f t="shared" si="180"/>
        <v>0</v>
      </c>
      <c r="O586" s="14">
        <f t="shared" si="180"/>
        <v>0</v>
      </c>
      <c r="P586" s="129"/>
    </row>
    <row r="587" spans="2:17" ht="15.75" x14ac:dyDescent="0.2">
      <c r="B587" s="130"/>
      <c r="C587" s="130"/>
      <c r="D587" s="130"/>
      <c r="E587" s="130"/>
      <c r="F587" s="130"/>
      <c r="G587" s="130"/>
      <c r="H587" s="84" t="s">
        <v>5</v>
      </c>
      <c r="I587" s="14">
        <f t="shared" ref="I587:O587" si="181">SUMIF($H$572:$H$583,"вне*",I$572:I$583)</f>
        <v>0</v>
      </c>
      <c r="J587" s="14">
        <f t="shared" si="181"/>
        <v>0</v>
      </c>
      <c r="K587" s="14">
        <f t="shared" si="181"/>
        <v>0</v>
      </c>
      <c r="L587" s="14">
        <f t="shared" si="181"/>
        <v>0</v>
      </c>
      <c r="M587" s="14">
        <f t="shared" si="181"/>
        <v>0</v>
      </c>
      <c r="N587" s="14">
        <f t="shared" si="181"/>
        <v>0</v>
      </c>
      <c r="O587" s="14">
        <f t="shared" si="181"/>
        <v>0</v>
      </c>
      <c r="P587" s="130"/>
    </row>
    <row r="588" spans="2:17" ht="25.5" customHeight="1" x14ac:dyDescent="0.2">
      <c r="B588" s="111" t="s">
        <v>350</v>
      </c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3"/>
    </row>
    <row r="589" spans="2:17" s="21" customFormat="1" ht="42.75" outlineLevel="1" x14ac:dyDescent="0.2">
      <c r="B589" s="139" t="s">
        <v>351</v>
      </c>
      <c r="C589" s="139"/>
      <c r="D589" s="139" t="s">
        <v>350</v>
      </c>
      <c r="E589" s="139">
        <v>2020</v>
      </c>
      <c r="F589" s="139" t="s">
        <v>352</v>
      </c>
      <c r="G589" s="139" t="s">
        <v>63</v>
      </c>
      <c r="H589" s="19" t="s">
        <v>3</v>
      </c>
      <c r="I589" s="20">
        <f>SUM(J589:O589)</f>
        <v>10.1</v>
      </c>
      <c r="J589" s="20">
        <f t="shared" ref="J589:O589" si="182">J590+J591+J592</f>
        <v>10.1</v>
      </c>
      <c r="K589" s="20">
        <f t="shared" si="182"/>
        <v>0</v>
      </c>
      <c r="L589" s="20">
        <f t="shared" si="182"/>
        <v>0</v>
      </c>
      <c r="M589" s="20">
        <f t="shared" si="182"/>
        <v>0</v>
      </c>
      <c r="N589" s="20">
        <f t="shared" si="182"/>
        <v>0</v>
      </c>
      <c r="O589" s="20">
        <f t="shared" si="182"/>
        <v>0</v>
      </c>
      <c r="P589" s="139"/>
    </row>
    <row r="590" spans="2:17" s="21" customFormat="1" outlineLevel="1" x14ac:dyDescent="0.2">
      <c r="B590" s="140"/>
      <c r="C590" s="132"/>
      <c r="D590" s="140"/>
      <c r="E590" s="140"/>
      <c r="F590" s="140"/>
      <c r="G590" s="140"/>
      <c r="H590" s="19" t="s">
        <v>4</v>
      </c>
      <c r="I590" s="20">
        <f t="shared" ref="I590:I600" si="183">SUM(J590:O590)</f>
        <v>0</v>
      </c>
      <c r="J590" s="20"/>
      <c r="K590" s="20"/>
      <c r="L590" s="20"/>
      <c r="M590" s="20"/>
      <c r="N590" s="20"/>
      <c r="O590" s="20"/>
      <c r="P590" s="140"/>
    </row>
    <row r="591" spans="2:17" s="21" customFormat="1" outlineLevel="1" x14ac:dyDescent="0.2">
      <c r="B591" s="140"/>
      <c r="C591" s="132"/>
      <c r="D591" s="140"/>
      <c r="E591" s="140"/>
      <c r="F591" s="140"/>
      <c r="G591" s="140"/>
      <c r="H591" s="19" t="s">
        <v>6</v>
      </c>
      <c r="I591" s="20">
        <f t="shared" si="183"/>
        <v>10.1</v>
      </c>
      <c r="J591" s="20">
        <v>10.1</v>
      </c>
      <c r="K591" s="20"/>
      <c r="L591" s="20"/>
      <c r="M591" s="20"/>
      <c r="N591" s="20"/>
      <c r="O591" s="20"/>
      <c r="P591" s="140"/>
    </row>
    <row r="592" spans="2:17" s="21" customFormat="1" outlineLevel="1" x14ac:dyDescent="0.2">
      <c r="B592" s="141"/>
      <c r="C592" s="133"/>
      <c r="D592" s="141"/>
      <c r="E592" s="141"/>
      <c r="F592" s="141"/>
      <c r="G592" s="141"/>
      <c r="H592" s="19" t="s">
        <v>5</v>
      </c>
      <c r="I592" s="20">
        <f t="shared" si="183"/>
        <v>0</v>
      </c>
      <c r="J592" s="20"/>
      <c r="K592" s="20"/>
      <c r="L592" s="20"/>
      <c r="M592" s="20"/>
      <c r="N592" s="20"/>
      <c r="O592" s="20"/>
      <c r="P592" s="141"/>
    </row>
    <row r="593" spans="2:17" s="21" customFormat="1" ht="42.75" outlineLevel="1" x14ac:dyDescent="0.2">
      <c r="B593" s="139" t="s">
        <v>353</v>
      </c>
      <c r="C593" s="139"/>
      <c r="D593" s="139" t="s">
        <v>350</v>
      </c>
      <c r="E593" s="139">
        <v>2022</v>
      </c>
      <c r="F593" s="139" t="s">
        <v>354</v>
      </c>
      <c r="G593" s="139" t="s">
        <v>63</v>
      </c>
      <c r="H593" s="19" t="s">
        <v>3</v>
      </c>
      <c r="I593" s="20">
        <f t="shared" si="183"/>
        <v>13</v>
      </c>
      <c r="J593" s="20">
        <f t="shared" ref="J593:O593" si="184">J594+J595+J596</f>
        <v>0</v>
      </c>
      <c r="K593" s="20">
        <f t="shared" si="184"/>
        <v>0</v>
      </c>
      <c r="L593" s="20">
        <v>13</v>
      </c>
      <c r="M593" s="20">
        <f t="shared" si="184"/>
        <v>0</v>
      </c>
      <c r="N593" s="20">
        <f t="shared" si="184"/>
        <v>0</v>
      </c>
      <c r="O593" s="20">
        <f t="shared" si="184"/>
        <v>0</v>
      </c>
      <c r="P593" s="139"/>
    </row>
    <row r="594" spans="2:17" s="21" customFormat="1" outlineLevel="1" x14ac:dyDescent="0.2">
      <c r="B594" s="140"/>
      <c r="C594" s="132"/>
      <c r="D594" s="140"/>
      <c r="E594" s="140"/>
      <c r="F594" s="140"/>
      <c r="G594" s="140"/>
      <c r="H594" s="19" t="s">
        <v>4</v>
      </c>
      <c r="I594" s="20">
        <f t="shared" si="183"/>
        <v>0</v>
      </c>
      <c r="J594" s="20"/>
      <c r="K594" s="20"/>
      <c r="L594" s="20"/>
      <c r="M594" s="20"/>
      <c r="N594" s="20"/>
      <c r="O594" s="20"/>
      <c r="P594" s="140"/>
    </row>
    <row r="595" spans="2:17" s="21" customFormat="1" outlineLevel="1" x14ac:dyDescent="0.2">
      <c r="B595" s="140"/>
      <c r="C595" s="132"/>
      <c r="D595" s="140"/>
      <c r="E595" s="140"/>
      <c r="F595" s="140"/>
      <c r="G595" s="140"/>
      <c r="H595" s="19" t="s">
        <v>6</v>
      </c>
      <c r="I595" s="20">
        <f t="shared" si="183"/>
        <v>13</v>
      </c>
      <c r="J595" s="20"/>
      <c r="K595" s="20"/>
      <c r="L595" s="20">
        <v>13</v>
      </c>
      <c r="M595" s="20"/>
      <c r="N595" s="20"/>
      <c r="O595" s="20"/>
      <c r="P595" s="140"/>
    </row>
    <row r="596" spans="2:17" s="21" customFormat="1" outlineLevel="1" x14ac:dyDescent="0.2">
      <c r="B596" s="141"/>
      <c r="C596" s="133"/>
      <c r="D596" s="141"/>
      <c r="E596" s="141"/>
      <c r="F596" s="141"/>
      <c r="G596" s="141"/>
      <c r="H596" s="19" t="s">
        <v>5</v>
      </c>
      <c r="I596" s="20">
        <f t="shared" si="183"/>
        <v>0</v>
      </c>
      <c r="J596" s="20"/>
      <c r="K596" s="20"/>
      <c r="L596" s="20"/>
      <c r="M596" s="20"/>
      <c r="N596" s="20"/>
      <c r="O596" s="20"/>
      <c r="P596" s="141"/>
    </row>
    <row r="597" spans="2:17" s="21" customFormat="1" ht="42.75" customHeight="1" outlineLevel="1" x14ac:dyDescent="0.2">
      <c r="B597" s="139" t="s">
        <v>355</v>
      </c>
      <c r="C597" s="139"/>
      <c r="D597" s="139" t="s">
        <v>350</v>
      </c>
      <c r="E597" s="139">
        <v>2023</v>
      </c>
      <c r="F597" s="139" t="s">
        <v>356</v>
      </c>
      <c r="G597" s="139" t="s">
        <v>83</v>
      </c>
      <c r="H597" s="19" t="s">
        <v>3</v>
      </c>
      <c r="I597" s="20">
        <f t="shared" si="183"/>
        <v>7.4</v>
      </c>
      <c r="J597" s="20">
        <f t="shared" ref="J597:O597" si="185">J598+J599+J600</f>
        <v>0</v>
      </c>
      <c r="K597" s="20">
        <f t="shared" si="185"/>
        <v>0</v>
      </c>
      <c r="L597" s="20">
        <f t="shared" si="185"/>
        <v>0</v>
      </c>
      <c r="M597" s="20">
        <f t="shared" si="185"/>
        <v>7.4</v>
      </c>
      <c r="N597" s="20">
        <f t="shared" si="185"/>
        <v>0</v>
      </c>
      <c r="O597" s="20">
        <f t="shared" si="185"/>
        <v>0</v>
      </c>
      <c r="P597" s="139"/>
    </row>
    <row r="598" spans="2:17" s="21" customFormat="1" outlineLevel="1" x14ac:dyDescent="0.2">
      <c r="B598" s="140"/>
      <c r="C598" s="140"/>
      <c r="D598" s="140"/>
      <c r="E598" s="140"/>
      <c r="F598" s="140"/>
      <c r="G598" s="140"/>
      <c r="H598" s="19" t="s">
        <v>4</v>
      </c>
      <c r="I598" s="20">
        <f t="shared" si="183"/>
        <v>0</v>
      </c>
      <c r="J598" s="20"/>
      <c r="K598" s="20"/>
      <c r="L598" s="20"/>
      <c r="M598" s="20"/>
      <c r="N598" s="20"/>
      <c r="O598" s="20"/>
      <c r="P598" s="140"/>
    </row>
    <row r="599" spans="2:17" s="21" customFormat="1" outlineLevel="1" x14ac:dyDescent="0.2">
      <c r="B599" s="140"/>
      <c r="C599" s="140"/>
      <c r="D599" s="140"/>
      <c r="E599" s="140"/>
      <c r="F599" s="140"/>
      <c r="G599" s="140"/>
      <c r="H599" s="19" t="s">
        <v>6</v>
      </c>
      <c r="I599" s="20">
        <f t="shared" si="183"/>
        <v>7.4</v>
      </c>
      <c r="J599" s="20"/>
      <c r="K599" s="20"/>
      <c r="L599" s="20"/>
      <c r="M599" s="20">
        <v>7.4</v>
      </c>
      <c r="N599" s="20"/>
      <c r="O599" s="20"/>
      <c r="P599" s="140"/>
    </row>
    <row r="600" spans="2:17" s="21" customFormat="1" outlineLevel="1" x14ac:dyDescent="0.2">
      <c r="B600" s="141"/>
      <c r="C600" s="141"/>
      <c r="D600" s="141"/>
      <c r="E600" s="141"/>
      <c r="F600" s="141"/>
      <c r="G600" s="141"/>
      <c r="H600" s="19" t="s">
        <v>5</v>
      </c>
      <c r="I600" s="20">
        <f t="shared" si="183"/>
        <v>0</v>
      </c>
      <c r="J600" s="20"/>
      <c r="K600" s="20"/>
      <c r="L600" s="20"/>
      <c r="M600" s="20"/>
      <c r="N600" s="20"/>
      <c r="O600" s="20"/>
      <c r="P600" s="141"/>
    </row>
    <row r="601" spans="2:17" ht="42.75" x14ac:dyDescent="0.2">
      <c r="B601" s="128" t="s">
        <v>357</v>
      </c>
      <c r="C601" s="128" t="s">
        <v>38</v>
      </c>
      <c r="D601" s="128" t="s">
        <v>38</v>
      </c>
      <c r="E601" s="128" t="s">
        <v>38</v>
      </c>
      <c r="F601" s="128" t="s">
        <v>38</v>
      </c>
      <c r="G601" s="128" t="s">
        <v>38</v>
      </c>
      <c r="H601" s="84" t="s">
        <v>3</v>
      </c>
      <c r="I601" s="14">
        <f t="shared" ref="I601:O601" si="186">SUMIF($H$589:$H$600,"Объем*",I$589:I$600)</f>
        <v>30.5</v>
      </c>
      <c r="J601" s="14">
        <f t="shared" si="186"/>
        <v>10.1</v>
      </c>
      <c r="K601" s="14">
        <f t="shared" si="186"/>
        <v>0</v>
      </c>
      <c r="L601" s="14">
        <f t="shared" si="186"/>
        <v>13</v>
      </c>
      <c r="M601" s="14">
        <f t="shared" si="186"/>
        <v>7.4</v>
      </c>
      <c r="N601" s="14">
        <f t="shared" si="186"/>
        <v>0</v>
      </c>
      <c r="O601" s="14">
        <f t="shared" si="186"/>
        <v>0</v>
      </c>
      <c r="P601" s="128"/>
      <c r="Q601" s="7"/>
    </row>
    <row r="602" spans="2:17" ht="15.75" x14ac:dyDescent="0.2">
      <c r="B602" s="129"/>
      <c r="C602" s="129"/>
      <c r="D602" s="129"/>
      <c r="E602" s="129"/>
      <c r="F602" s="129"/>
      <c r="G602" s="129"/>
      <c r="H602" s="84" t="s">
        <v>4</v>
      </c>
      <c r="I602" s="14">
        <f t="shared" ref="I602:O602" si="187">SUMIF($H$589:$H$600,"фед*",I$589:I$600)</f>
        <v>0</v>
      </c>
      <c r="J602" s="14">
        <f t="shared" si="187"/>
        <v>0</v>
      </c>
      <c r="K602" s="14">
        <f t="shared" si="187"/>
        <v>0</v>
      </c>
      <c r="L602" s="14">
        <f t="shared" si="187"/>
        <v>0</v>
      </c>
      <c r="M602" s="14">
        <f t="shared" si="187"/>
        <v>0</v>
      </c>
      <c r="N602" s="14">
        <f t="shared" si="187"/>
        <v>0</v>
      </c>
      <c r="O602" s="14">
        <f t="shared" si="187"/>
        <v>0</v>
      </c>
      <c r="P602" s="129"/>
    </row>
    <row r="603" spans="2:17" ht="15.75" x14ac:dyDescent="0.2">
      <c r="B603" s="129"/>
      <c r="C603" s="129"/>
      <c r="D603" s="129"/>
      <c r="E603" s="129"/>
      <c r="F603" s="129"/>
      <c r="G603" s="129"/>
      <c r="H603" s="84" t="s">
        <v>6</v>
      </c>
      <c r="I603" s="14">
        <f t="shared" ref="I603:O603" si="188">SUMIF($H$589:$H$600,"конс*",I$589:I$600)</f>
        <v>30.5</v>
      </c>
      <c r="J603" s="14">
        <f t="shared" si="188"/>
        <v>10.1</v>
      </c>
      <c r="K603" s="14">
        <f t="shared" si="188"/>
        <v>0</v>
      </c>
      <c r="L603" s="14">
        <f t="shared" si="188"/>
        <v>13</v>
      </c>
      <c r="M603" s="14">
        <f t="shared" si="188"/>
        <v>7.4</v>
      </c>
      <c r="N603" s="14">
        <f t="shared" si="188"/>
        <v>0</v>
      </c>
      <c r="O603" s="14">
        <f t="shared" si="188"/>
        <v>0</v>
      </c>
      <c r="P603" s="129"/>
    </row>
    <row r="604" spans="2:17" ht="15.75" x14ac:dyDescent="0.2">
      <c r="B604" s="130"/>
      <c r="C604" s="130"/>
      <c r="D604" s="130"/>
      <c r="E604" s="130"/>
      <c r="F604" s="130"/>
      <c r="G604" s="130"/>
      <c r="H604" s="84" t="s">
        <v>5</v>
      </c>
      <c r="I604" s="14">
        <f t="shared" ref="I604:O604" si="189">SUMIF($H$589:$H$600,"вне*",I$589:I$600)</f>
        <v>0</v>
      </c>
      <c r="J604" s="14">
        <f t="shared" si="189"/>
        <v>0</v>
      </c>
      <c r="K604" s="14">
        <f t="shared" si="189"/>
        <v>0</v>
      </c>
      <c r="L604" s="14">
        <f t="shared" si="189"/>
        <v>0</v>
      </c>
      <c r="M604" s="14">
        <f t="shared" si="189"/>
        <v>0</v>
      </c>
      <c r="N604" s="14">
        <f t="shared" si="189"/>
        <v>0</v>
      </c>
      <c r="O604" s="14">
        <f t="shared" si="189"/>
        <v>0</v>
      </c>
      <c r="P604" s="130"/>
    </row>
    <row r="605" spans="2:17" ht="25.5" customHeight="1" x14ac:dyDescent="0.2">
      <c r="B605" s="111" t="s">
        <v>47</v>
      </c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3"/>
    </row>
    <row r="606" spans="2:17" s="21" customFormat="1" ht="42.75" outlineLevel="1" x14ac:dyDescent="0.2">
      <c r="B606" s="139" t="s">
        <v>358</v>
      </c>
      <c r="C606" s="139"/>
      <c r="D606" s="139" t="s">
        <v>47</v>
      </c>
      <c r="E606" s="139" t="s">
        <v>359</v>
      </c>
      <c r="F606" s="139" t="s">
        <v>131</v>
      </c>
      <c r="G606" s="139" t="s">
        <v>63</v>
      </c>
      <c r="H606" s="19" t="s">
        <v>3</v>
      </c>
      <c r="I606" s="20">
        <f>SUM(J606:O606)</f>
        <v>24.200000000000003</v>
      </c>
      <c r="J606" s="22">
        <f>J607+J608+J609</f>
        <v>3</v>
      </c>
      <c r="K606" s="22">
        <f>K607+K608+K609</f>
        <v>5.4</v>
      </c>
      <c r="L606" s="22">
        <f>L607+L608+L609</f>
        <v>15.8</v>
      </c>
      <c r="M606" s="22">
        <f>M607+M608+M609</f>
        <v>0</v>
      </c>
      <c r="N606" s="22">
        <v>0</v>
      </c>
      <c r="O606" s="22">
        <f>O607+O608+O609</f>
        <v>0</v>
      </c>
      <c r="P606" s="139"/>
    </row>
    <row r="607" spans="2:17" s="21" customFormat="1" outlineLevel="1" x14ac:dyDescent="0.2">
      <c r="B607" s="140"/>
      <c r="C607" s="132"/>
      <c r="D607" s="140"/>
      <c r="E607" s="140"/>
      <c r="F607" s="140"/>
      <c r="G607" s="140"/>
      <c r="H607" s="19" t="s">
        <v>4</v>
      </c>
      <c r="I607" s="20"/>
      <c r="J607" s="22"/>
      <c r="K607" s="22"/>
      <c r="L607" s="22"/>
      <c r="M607" s="22"/>
      <c r="N607" s="22"/>
      <c r="O607" s="22"/>
      <c r="P607" s="140"/>
    </row>
    <row r="608" spans="2:17" s="21" customFormat="1" outlineLevel="1" x14ac:dyDescent="0.2">
      <c r="B608" s="140"/>
      <c r="C608" s="132"/>
      <c r="D608" s="140"/>
      <c r="E608" s="140"/>
      <c r="F608" s="140"/>
      <c r="G608" s="140"/>
      <c r="H608" s="19" t="s">
        <v>6</v>
      </c>
      <c r="I608" s="20">
        <f>SUM(J608:O608)</f>
        <v>24.200000000000003</v>
      </c>
      <c r="J608" s="22">
        <v>3</v>
      </c>
      <c r="K608" s="22">
        <v>5.4</v>
      </c>
      <c r="L608" s="22">
        <v>15.8</v>
      </c>
      <c r="M608" s="22"/>
      <c r="N608" s="22"/>
      <c r="O608" s="22"/>
      <c r="P608" s="140"/>
    </row>
    <row r="609" spans="2:16" s="21" customFormat="1" outlineLevel="1" x14ac:dyDescent="0.2">
      <c r="B609" s="141"/>
      <c r="C609" s="133"/>
      <c r="D609" s="141"/>
      <c r="E609" s="141"/>
      <c r="F609" s="141"/>
      <c r="G609" s="141"/>
      <c r="H609" s="19" t="s">
        <v>5</v>
      </c>
      <c r="I609" s="20"/>
      <c r="J609" s="22"/>
      <c r="K609" s="22"/>
      <c r="L609" s="22"/>
      <c r="M609" s="22"/>
      <c r="N609" s="22"/>
      <c r="O609" s="22"/>
      <c r="P609" s="141"/>
    </row>
    <row r="610" spans="2:16" s="21" customFormat="1" ht="42.75" outlineLevel="1" x14ac:dyDescent="0.2">
      <c r="B610" s="139" t="s">
        <v>360</v>
      </c>
      <c r="C610" s="139"/>
      <c r="D610" s="139" t="s">
        <v>47</v>
      </c>
      <c r="E610" s="139" t="s">
        <v>361</v>
      </c>
      <c r="F610" s="139" t="s">
        <v>131</v>
      </c>
      <c r="G610" s="139" t="s">
        <v>63</v>
      </c>
      <c r="H610" s="19" t="s">
        <v>3</v>
      </c>
      <c r="I610" s="20">
        <f>SUM(J610:O610)</f>
        <v>12.8</v>
      </c>
      <c r="J610" s="22">
        <f>J611+J612+J613</f>
        <v>12.8</v>
      </c>
      <c r="K610" s="22">
        <f>K611+K612+K613</f>
        <v>0</v>
      </c>
      <c r="L610" s="22">
        <f>L611+L612+L613</f>
        <v>0</v>
      </c>
      <c r="M610" s="22">
        <f>M611+M612+M613</f>
        <v>0</v>
      </c>
      <c r="N610" s="22">
        <v>0</v>
      </c>
      <c r="O610" s="22">
        <f>O611+O612+O613</f>
        <v>0</v>
      </c>
      <c r="P610" s="139"/>
    </row>
    <row r="611" spans="2:16" s="21" customFormat="1" outlineLevel="1" x14ac:dyDescent="0.2">
      <c r="B611" s="140"/>
      <c r="C611" s="132"/>
      <c r="D611" s="140"/>
      <c r="E611" s="140"/>
      <c r="F611" s="140"/>
      <c r="G611" s="140"/>
      <c r="H611" s="19" t="s">
        <v>4</v>
      </c>
      <c r="I611" s="20"/>
      <c r="J611" s="22"/>
      <c r="K611" s="22"/>
      <c r="L611" s="22"/>
      <c r="M611" s="22"/>
      <c r="N611" s="22"/>
      <c r="O611" s="22"/>
      <c r="P611" s="140"/>
    </row>
    <row r="612" spans="2:16" s="21" customFormat="1" outlineLevel="1" x14ac:dyDescent="0.2">
      <c r="B612" s="140"/>
      <c r="C612" s="132"/>
      <c r="D612" s="140"/>
      <c r="E612" s="140"/>
      <c r="F612" s="140"/>
      <c r="G612" s="140"/>
      <c r="H612" s="19" t="s">
        <v>6</v>
      </c>
      <c r="I612" s="20">
        <f>SUM(J612:O612)</f>
        <v>12.8</v>
      </c>
      <c r="J612" s="22">
        <v>12.8</v>
      </c>
      <c r="K612" s="22">
        <v>0</v>
      </c>
      <c r="L612" s="22">
        <v>0</v>
      </c>
      <c r="M612" s="22"/>
      <c r="N612" s="22"/>
      <c r="O612" s="22"/>
      <c r="P612" s="140"/>
    </row>
    <row r="613" spans="2:16" s="21" customFormat="1" outlineLevel="1" x14ac:dyDescent="0.2">
      <c r="B613" s="141"/>
      <c r="C613" s="133"/>
      <c r="D613" s="141"/>
      <c r="E613" s="141"/>
      <c r="F613" s="141"/>
      <c r="G613" s="141"/>
      <c r="H613" s="19" t="s">
        <v>5</v>
      </c>
      <c r="I613" s="20"/>
      <c r="J613" s="22"/>
      <c r="K613" s="22"/>
      <c r="L613" s="22"/>
      <c r="M613" s="22"/>
      <c r="N613" s="22"/>
      <c r="O613" s="22"/>
      <c r="P613" s="141"/>
    </row>
    <row r="614" spans="2:16" s="21" customFormat="1" ht="42.75" outlineLevel="1" x14ac:dyDescent="0.2">
      <c r="B614" s="139" t="s">
        <v>362</v>
      </c>
      <c r="C614" s="139"/>
      <c r="D614" s="139" t="s">
        <v>47</v>
      </c>
      <c r="E614" s="139" t="s">
        <v>359</v>
      </c>
      <c r="F614" s="139" t="s">
        <v>363</v>
      </c>
      <c r="G614" s="139" t="s">
        <v>101</v>
      </c>
      <c r="H614" s="19" t="s">
        <v>3</v>
      </c>
      <c r="I614" s="20">
        <f>SUM(J614:O614)</f>
        <v>15.4</v>
      </c>
      <c r="J614" s="22">
        <f t="shared" ref="J614:O614" si="190">J615+J616+J617</f>
        <v>3.3</v>
      </c>
      <c r="K614" s="22">
        <f t="shared" si="190"/>
        <v>3.3</v>
      </c>
      <c r="L614" s="22">
        <f t="shared" si="190"/>
        <v>8.8000000000000007</v>
      </c>
      <c r="M614" s="22">
        <f t="shared" si="190"/>
        <v>0</v>
      </c>
      <c r="N614" s="22">
        <v>0</v>
      </c>
      <c r="O614" s="22">
        <f t="shared" si="190"/>
        <v>0</v>
      </c>
      <c r="P614" s="139">
        <v>256</v>
      </c>
    </row>
    <row r="615" spans="2:16" s="21" customFormat="1" outlineLevel="1" x14ac:dyDescent="0.2">
      <c r="B615" s="140"/>
      <c r="C615" s="132"/>
      <c r="D615" s="140"/>
      <c r="E615" s="140"/>
      <c r="F615" s="140"/>
      <c r="G615" s="140"/>
      <c r="H615" s="19" t="s">
        <v>4</v>
      </c>
      <c r="I615" s="20"/>
      <c r="J615" s="22"/>
      <c r="K615" s="22"/>
      <c r="L615" s="22"/>
      <c r="M615" s="22"/>
      <c r="N615" s="22"/>
      <c r="O615" s="22"/>
      <c r="P615" s="140"/>
    </row>
    <row r="616" spans="2:16" s="21" customFormat="1" outlineLevel="1" x14ac:dyDescent="0.2">
      <c r="B616" s="140"/>
      <c r="C616" s="132"/>
      <c r="D616" s="140"/>
      <c r="E616" s="140"/>
      <c r="F616" s="140"/>
      <c r="G616" s="140"/>
      <c r="H616" s="19" t="s">
        <v>6</v>
      </c>
      <c r="I616" s="20">
        <f>SUM(J616:O616)</f>
        <v>15.4</v>
      </c>
      <c r="J616" s="22">
        <v>3.3</v>
      </c>
      <c r="K616" s="22">
        <v>3.3</v>
      </c>
      <c r="L616" s="22">
        <v>8.8000000000000007</v>
      </c>
      <c r="M616" s="22"/>
      <c r="N616" s="22"/>
      <c r="O616" s="22"/>
      <c r="P616" s="140"/>
    </row>
    <row r="617" spans="2:16" s="21" customFormat="1" outlineLevel="1" x14ac:dyDescent="0.2">
      <c r="B617" s="141"/>
      <c r="C617" s="133"/>
      <c r="D617" s="141"/>
      <c r="E617" s="141"/>
      <c r="F617" s="141"/>
      <c r="G617" s="141"/>
      <c r="H617" s="19" t="s">
        <v>5</v>
      </c>
      <c r="I617" s="20"/>
      <c r="J617" s="22"/>
      <c r="K617" s="22"/>
      <c r="L617" s="22"/>
      <c r="M617" s="22"/>
      <c r="N617" s="22"/>
      <c r="O617" s="22"/>
      <c r="P617" s="141"/>
    </row>
    <row r="618" spans="2:16" s="21" customFormat="1" ht="42.75" outlineLevel="1" x14ac:dyDescent="0.2">
      <c r="B618" s="139" t="s">
        <v>364</v>
      </c>
      <c r="C618" s="139"/>
      <c r="D618" s="139" t="s">
        <v>47</v>
      </c>
      <c r="E618" s="139">
        <v>2020</v>
      </c>
      <c r="F618" s="139" t="s">
        <v>365</v>
      </c>
      <c r="G618" s="139" t="s">
        <v>101</v>
      </c>
      <c r="H618" s="19" t="s">
        <v>3</v>
      </c>
      <c r="I618" s="20">
        <f>SUM(J618:O618)</f>
        <v>1.47</v>
      </c>
      <c r="J618" s="22">
        <v>1.47</v>
      </c>
      <c r="K618" s="22">
        <f t="shared" ref="K618:O618" si="191">K619+K620+K621</f>
        <v>0</v>
      </c>
      <c r="L618" s="22">
        <f t="shared" si="191"/>
        <v>0</v>
      </c>
      <c r="M618" s="22">
        <v>0</v>
      </c>
      <c r="N618" s="22">
        <f t="shared" si="191"/>
        <v>0</v>
      </c>
      <c r="O618" s="22">
        <f t="shared" si="191"/>
        <v>0</v>
      </c>
      <c r="P618" s="139">
        <v>360</v>
      </c>
    </row>
    <row r="619" spans="2:16" s="21" customFormat="1" outlineLevel="1" x14ac:dyDescent="0.2">
      <c r="B619" s="140"/>
      <c r="C619" s="132"/>
      <c r="D619" s="140"/>
      <c r="E619" s="140"/>
      <c r="F619" s="140"/>
      <c r="G619" s="140"/>
      <c r="H619" s="19" t="s">
        <v>4</v>
      </c>
      <c r="I619" s="20"/>
      <c r="J619" s="22"/>
      <c r="K619" s="22"/>
      <c r="L619" s="22"/>
      <c r="M619" s="22"/>
      <c r="N619" s="22"/>
      <c r="O619" s="22"/>
      <c r="P619" s="140"/>
    </row>
    <row r="620" spans="2:16" s="21" customFormat="1" outlineLevel="1" x14ac:dyDescent="0.2">
      <c r="B620" s="140"/>
      <c r="C620" s="132"/>
      <c r="D620" s="140"/>
      <c r="E620" s="140"/>
      <c r="F620" s="140"/>
      <c r="G620" s="140"/>
      <c r="H620" s="19" t="s">
        <v>6</v>
      </c>
      <c r="I620" s="20">
        <f>SUM(J620:O620)</f>
        <v>1.47</v>
      </c>
      <c r="J620" s="22">
        <v>1.47</v>
      </c>
      <c r="K620" s="22"/>
      <c r="L620" s="22"/>
      <c r="M620" s="22"/>
      <c r="N620" s="22"/>
      <c r="O620" s="22"/>
      <c r="P620" s="140"/>
    </row>
    <row r="621" spans="2:16" s="21" customFormat="1" outlineLevel="1" x14ac:dyDescent="0.2">
      <c r="B621" s="141"/>
      <c r="C621" s="133"/>
      <c r="D621" s="141"/>
      <c r="E621" s="141"/>
      <c r="F621" s="141"/>
      <c r="G621" s="141"/>
      <c r="H621" s="19" t="s">
        <v>5</v>
      </c>
      <c r="I621" s="20"/>
      <c r="J621" s="22"/>
      <c r="K621" s="22"/>
      <c r="L621" s="22"/>
      <c r="M621" s="22"/>
      <c r="N621" s="22"/>
      <c r="O621" s="22"/>
      <c r="P621" s="141"/>
    </row>
    <row r="622" spans="2:16" s="21" customFormat="1" ht="42.75" outlineLevel="1" x14ac:dyDescent="0.2">
      <c r="B622" s="139" t="s">
        <v>366</v>
      </c>
      <c r="C622" s="139"/>
      <c r="D622" s="139" t="s">
        <v>47</v>
      </c>
      <c r="E622" s="139">
        <v>2021</v>
      </c>
      <c r="F622" s="139" t="s">
        <v>367</v>
      </c>
      <c r="G622" s="139" t="s">
        <v>101</v>
      </c>
      <c r="H622" s="19" t="s">
        <v>3</v>
      </c>
      <c r="I622" s="20">
        <f>SUM(J622:O622)</f>
        <v>1.73</v>
      </c>
      <c r="J622" s="22">
        <f t="shared" ref="J622" si="192">J623+J624+J625</f>
        <v>0</v>
      </c>
      <c r="K622" s="22">
        <v>1.73</v>
      </c>
      <c r="L622" s="22">
        <f t="shared" ref="L622" si="193">L623+L624+L625</f>
        <v>0</v>
      </c>
      <c r="M622" s="22">
        <v>0</v>
      </c>
      <c r="N622" s="22">
        <f t="shared" ref="N622:O622" si="194">N623+N624+N625</f>
        <v>0</v>
      </c>
      <c r="O622" s="22">
        <f t="shared" si="194"/>
        <v>0</v>
      </c>
      <c r="P622" s="139">
        <v>360</v>
      </c>
    </row>
    <row r="623" spans="2:16" s="21" customFormat="1" outlineLevel="1" x14ac:dyDescent="0.2">
      <c r="B623" s="140"/>
      <c r="C623" s="132"/>
      <c r="D623" s="140"/>
      <c r="E623" s="140"/>
      <c r="F623" s="140"/>
      <c r="G623" s="140"/>
      <c r="H623" s="19" t="s">
        <v>4</v>
      </c>
      <c r="I623" s="20"/>
      <c r="J623" s="22"/>
      <c r="K623" s="22"/>
      <c r="L623" s="22"/>
      <c r="M623" s="22"/>
      <c r="N623" s="22"/>
      <c r="O623" s="22"/>
      <c r="P623" s="140"/>
    </row>
    <row r="624" spans="2:16" s="21" customFormat="1" outlineLevel="1" x14ac:dyDescent="0.2">
      <c r="B624" s="140"/>
      <c r="C624" s="132"/>
      <c r="D624" s="140"/>
      <c r="E624" s="140"/>
      <c r="F624" s="140"/>
      <c r="G624" s="140"/>
      <c r="H624" s="19" t="s">
        <v>6</v>
      </c>
      <c r="I624" s="20">
        <f>SUM(J624:O624)</f>
        <v>1.73</v>
      </c>
      <c r="J624" s="22"/>
      <c r="K624" s="22">
        <v>1.73</v>
      </c>
      <c r="L624" s="22"/>
      <c r="M624" s="22"/>
      <c r="N624" s="22"/>
      <c r="O624" s="22"/>
      <c r="P624" s="140"/>
    </row>
    <row r="625" spans="2:16" s="21" customFormat="1" outlineLevel="1" x14ac:dyDescent="0.2">
      <c r="B625" s="141"/>
      <c r="C625" s="133"/>
      <c r="D625" s="141"/>
      <c r="E625" s="141"/>
      <c r="F625" s="141"/>
      <c r="G625" s="141"/>
      <c r="H625" s="19" t="s">
        <v>5</v>
      </c>
      <c r="I625" s="20"/>
      <c r="J625" s="22"/>
      <c r="K625" s="22"/>
      <c r="L625" s="22"/>
      <c r="M625" s="22"/>
      <c r="N625" s="22"/>
      <c r="O625" s="22"/>
      <c r="P625" s="141"/>
    </row>
    <row r="626" spans="2:16" s="21" customFormat="1" ht="42.75" outlineLevel="1" x14ac:dyDescent="0.2">
      <c r="B626" s="139" t="s">
        <v>368</v>
      </c>
      <c r="C626" s="139"/>
      <c r="D626" s="139" t="s">
        <v>47</v>
      </c>
      <c r="E626" s="139">
        <v>2022</v>
      </c>
      <c r="F626" s="139" t="s">
        <v>367</v>
      </c>
      <c r="G626" s="139" t="s">
        <v>101</v>
      </c>
      <c r="H626" s="19" t="s">
        <v>3</v>
      </c>
      <c r="I626" s="20">
        <f>SUM(J626:O626)</f>
        <v>2</v>
      </c>
      <c r="J626" s="22">
        <f>J627+J628+J629</f>
        <v>0</v>
      </c>
      <c r="K626" s="22">
        <f>K627+K628+K629</f>
        <v>0</v>
      </c>
      <c r="L626" s="22">
        <f>L627+L628+L629</f>
        <v>2</v>
      </c>
      <c r="M626" s="22">
        <v>0</v>
      </c>
      <c r="N626" s="22">
        <f>N627+N628+N629</f>
        <v>0</v>
      </c>
      <c r="O626" s="22">
        <f>O627+O628+O629</f>
        <v>0</v>
      </c>
      <c r="P626" s="139">
        <v>371</v>
      </c>
    </row>
    <row r="627" spans="2:16" s="21" customFormat="1" outlineLevel="1" x14ac:dyDescent="0.2">
      <c r="B627" s="140"/>
      <c r="C627" s="132"/>
      <c r="D627" s="140"/>
      <c r="E627" s="140"/>
      <c r="F627" s="140"/>
      <c r="G627" s="140"/>
      <c r="H627" s="19" t="s">
        <v>4</v>
      </c>
      <c r="I627" s="20"/>
      <c r="J627" s="22"/>
      <c r="K627" s="22"/>
      <c r="L627" s="22"/>
      <c r="M627" s="22"/>
      <c r="N627" s="22"/>
      <c r="O627" s="22"/>
      <c r="P627" s="140"/>
    </row>
    <row r="628" spans="2:16" s="21" customFormat="1" outlineLevel="1" x14ac:dyDescent="0.2">
      <c r="B628" s="140"/>
      <c r="C628" s="132"/>
      <c r="D628" s="140"/>
      <c r="E628" s="140"/>
      <c r="F628" s="140"/>
      <c r="G628" s="140"/>
      <c r="H628" s="19" t="s">
        <v>6</v>
      </c>
      <c r="I628" s="20">
        <f>SUM(J628:O628)</f>
        <v>2</v>
      </c>
      <c r="J628" s="22"/>
      <c r="K628" s="22"/>
      <c r="L628" s="22">
        <v>2</v>
      </c>
      <c r="M628" s="22"/>
      <c r="N628" s="22"/>
      <c r="O628" s="22"/>
      <c r="P628" s="140"/>
    </row>
    <row r="629" spans="2:16" s="21" customFormat="1" outlineLevel="1" x14ac:dyDescent="0.2">
      <c r="B629" s="141"/>
      <c r="C629" s="133"/>
      <c r="D629" s="141"/>
      <c r="E629" s="141"/>
      <c r="F629" s="141"/>
      <c r="G629" s="141"/>
      <c r="H629" s="19" t="s">
        <v>5</v>
      </c>
      <c r="I629" s="20"/>
      <c r="J629" s="22"/>
      <c r="K629" s="22"/>
      <c r="L629" s="22"/>
      <c r="M629" s="22"/>
      <c r="N629" s="22"/>
      <c r="O629" s="22"/>
      <c r="P629" s="141"/>
    </row>
    <row r="630" spans="2:16" s="21" customFormat="1" ht="42.75" outlineLevel="1" x14ac:dyDescent="0.2">
      <c r="B630" s="139" t="s">
        <v>369</v>
      </c>
      <c r="C630" s="139"/>
      <c r="D630" s="139" t="s">
        <v>47</v>
      </c>
      <c r="E630" s="139">
        <v>2023</v>
      </c>
      <c r="F630" s="139" t="s">
        <v>370</v>
      </c>
      <c r="G630" s="139" t="s">
        <v>63</v>
      </c>
      <c r="H630" s="19" t="s">
        <v>3</v>
      </c>
      <c r="I630" s="20">
        <f>SUM(J630:O630)</f>
        <v>5</v>
      </c>
      <c r="J630" s="22">
        <f t="shared" ref="J630:M630" si="195">J631+J632+J633</f>
        <v>0</v>
      </c>
      <c r="K630" s="22">
        <f t="shared" si="195"/>
        <v>0</v>
      </c>
      <c r="L630" s="22">
        <f t="shared" si="195"/>
        <v>0</v>
      </c>
      <c r="M630" s="22">
        <f t="shared" si="195"/>
        <v>5</v>
      </c>
      <c r="N630" s="22">
        <v>0</v>
      </c>
      <c r="O630" s="22">
        <f t="shared" ref="O630" si="196">O631+O632+O633</f>
        <v>0</v>
      </c>
      <c r="P630" s="139">
        <v>2636</v>
      </c>
    </row>
    <row r="631" spans="2:16" s="21" customFormat="1" outlineLevel="1" x14ac:dyDescent="0.2">
      <c r="B631" s="140"/>
      <c r="C631" s="132"/>
      <c r="D631" s="140"/>
      <c r="E631" s="140"/>
      <c r="F631" s="140"/>
      <c r="G631" s="140"/>
      <c r="H631" s="19" t="s">
        <v>4</v>
      </c>
      <c r="I631" s="20"/>
      <c r="J631" s="22"/>
      <c r="K631" s="22"/>
      <c r="L631" s="22"/>
      <c r="M631" s="22"/>
      <c r="N631" s="22"/>
      <c r="O631" s="22"/>
      <c r="P631" s="140"/>
    </row>
    <row r="632" spans="2:16" s="21" customFormat="1" outlineLevel="1" x14ac:dyDescent="0.2">
      <c r="B632" s="140"/>
      <c r="C632" s="132"/>
      <c r="D632" s="140"/>
      <c r="E632" s="140"/>
      <c r="F632" s="140"/>
      <c r="G632" s="140"/>
      <c r="H632" s="19" t="s">
        <v>6</v>
      </c>
      <c r="I632" s="20">
        <f>SUM(J632:O632)</f>
        <v>5</v>
      </c>
      <c r="J632" s="22"/>
      <c r="K632" s="22"/>
      <c r="L632" s="22"/>
      <c r="M632" s="22">
        <v>5</v>
      </c>
      <c r="N632" s="22"/>
      <c r="O632" s="22"/>
      <c r="P632" s="140"/>
    </row>
    <row r="633" spans="2:16" s="21" customFormat="1" outlineLevel="1" x14ac:dyDescent="0.2">
      <c r="B633" s="141"/>
      <c r="C633" s="133"/>
      <c r="D633" s="141"/>
      <c r="E633" s="141"/>
      <c r="F633" s="141"/>
      <c r="G633" s="141"/>
      <c r="H633" s="19" t="s">
        <v>5</v>
      </c>
      <c r="I633" s="20"/>
      <c r="J633" s="22"/>
      <c r="K633" s="22"/>
      <c r="L633" s="22"/>
      <c r="M633" s="22"/>
      <c r="N633" s="22"/>
      <c r="O633" s="22"/>
      <c r="P633" s="141"/>
    </row>
    <row r="634" spans="2:16" s="21" customFormat="1" ht="42.75" outlineLevel="1" x14ac:dyDescent="0.2">
      <c r="B634" s="139" t="s">
        <v>371</v>
      </c>
      <c r="C634" s="139"/>
      <c r="D634" s="139" t="s">
        <v>47</v>
      </c>
      <c r="E634" s="139">
        <v>2023</v>
      </c>
      <c r="F634" s="147" t="s">
        <v>372</v>
      </c>
      <c r="G634" s="139" t="s">
        <v>63</v>
      </c>
      <c r="H634" s="19" t="s">
        <v>3</v>
      </c>
      <c r="I634" s="20">
        <f>SUM(J634:O634)</f>
        <v>194.85400000000001</v>
      </c>
      <c r="J634" s="22">
        <f t="shared" ref="J634:O634" si="197">J635+J636+J637</f>
        <v>0</v>
      </c>
      <c r="K634" s="22">
        <f t="shared" si="197"/>
        <v>0</v>
      </c>
      <c r="L634" s="22">
        <f t="shared" si="197"/>
        <v>0</v>
      </c>
      <c r="M634" s="22">
        <f t="shared" si="197"/>
        <v>194.85400000000001</v>
      </c>
      <c r="N634" s="22">
        <f t="shared" si="197"/>
        <v>0</v>
      </c>
      <c r="O634" s="22">
        <f t="shared" si="197"/>
        <v>0</v>
      </c>
      <c r="P634" s="139">
        <v>500</v>
      </c>
    </row>
    <row r="635" spans="2:16" s="21" customFormat="1" outlineLevel="1" x14ac:dyDescent="0.2">
      <c r="B635" s="140"/>
      <c r="C635" s="132"/>
      <c r="D635" s="140"/>
      <c r="E635" s="140"/>
      <c r="F635" s="148"/>
      <c r="G635" s="140"/>
      <c r="H635" s="19" t="s">
        <v>4</v>
      </c>
      <c r="I635" s="20"/>
      <c r="J635" s="22"/>
      <c r="K635" s="22"/>
      <c r="L635" s="22"/>
      <c r="M635" s="22"/>
      <c r="N635" s="22"/>
      <c r="O635" s="22"/>
      <c r="P635" s="140"/>
    </row>
    <row r="636" spans="2:16" s="21" customFormat="1" outlineLevel="1" x14ac:dyDescent="0.2">
      <c r="B636" s="140"/>
      <c r="C636" s="132"/>
      <c r="D636" s="140"/>
      <c r="E636" s="140"/>
      <c r="F636" s="148"/>
      <c r="G636" s="140"/>
      <c r="H636" s="19" t="s">
        <v>6</v>
      </c>
      <c r="I636" s="20">
        <f>SUM(J636:O636)</f>
        <v>194.85400000000001</v>
      </c>
      <c r="J636" s="22"/>
      <c r="K636" s="22"/>
      <c r="L636" s="22"/>
      <c r="M636" s="22">
        <v>194.85400000000001</v>
      </c>
      <c r="N636" s="22"/>
      <c r="O636" s="22"/>
      <c r="P636" s="140"/>
    </row>
    <row r="637" spans="2:16" s="21" customFormat="1" outlineLevel="1" x14ac:dyDescent="0.2">
      <c r="B637" s="141"/>
      <c r="C637" s="133"/>
      <c r="D637" s="141"/>
      <c r="E637" s="141"/>
      <c r="F637" s="149"/>
      <c r="G637" s="141"/>
      <c r="H637" s="19" t="s">
        <v>5</v>
      </c>
      <c r="I637" s="20"/>
      <c r="J637" s="22"/>
      <c r="K637" s="22"/>
      <c r="L637" s="22"/>
      <c r="M637" s="22"/>
      <c r="N637" s="22"/>
      <c r="O637" s="22"/>
      <c r="P637" s="141"/>
    </row>
    <row r="638" spans="2:16" s="21" customFormat="1" ht="42.75" outlineLevel="1" x14ac:dyDescent="0.2">
      <c r="B638" s="139" t="s">
        <v>373</v>
      </c>
      <c r="C638" s="139"/>
      <c r="D638" s="139" t="s">
        <v>47</v>
      </c>
      <c r="E638" s="139">
        <v>2023</v>
      </c>
      <c r="F638" s="139" t="s">
        <v>124</v>
      </c>
      <c r="G638" s="139" t="s">
        <v>63</v>
      </c>
      <c r="H638" s="19" t="s">
        <v>3</v>
      </c>
      <c r="I638" s="20">
        <f>SUM(J638:O638)</f>
        <v>150</v>
      </c>
      <c r="J638" s="22">
        <f>J639+J640+J641</f>
        <v>0</v>
      </c>
      <c r="K638" s="22">
        <f>K639+K640+K641</f>
        <v>0</v>
      </c>
      <c r="L638" s="22">
        <f>L639+L640+L641</f>
        <v>0</v>
      </c>
      <c r="M638" s="22">
        <f>M639+M640+M641</f>
        <v>150</v>
      </c>
      <c r="N638" s="22">
        <v>0</v>
      </c>
      <c r="O638" s="22">
        <f>O639+O640+O641</f>
        <v>0</v>
      </c>
      <c r="P638" s="139">
        <v>8100</v>
      </c>
    </row>
    <row r="639" spans="2:16" s="21" customFormat="1" outlineLevel="1" x14ac:dyDescent="0.2">
      <c r="B639" s="140"/>
      <c r="C639" s="132"/>
      <c r="D639" s="140"/>
      <c r="E639" s="140"/>
      <c r="F639" s="140"/>
      <c r="G639" s="140"/>
      <c r="H639" s="19" t="s">
        <v>4</v>
      </c>
      <c r="I639" s="20"/>
      <c r="J639" s="22"/>
      <c r="K639" s="22"/>
      <c r="L639" s="22"/>
      <c r="M639" s="22"/>
      <c r="N639" s="22"/>
      <c r="O639" s="22"/>
      <c r="P639" s="140"/>
    </row>
    <row r="640" spans="2:16" s="21" customFormat="1" outlineLevel="1" x14ac:dyDescent="0.2">
      <c r="B640" s="140"/>
      <c r="C640" s="132"/>
      <c r="D640" s="140"/>
      <c r="E640" s="140"/>
      <c r="F640" s="140"/>
      <c r="G640" s="140"/>
      <c r="H640" s="19" t="s">
        <v>6</v>
      </c>
      <c r="I640" s="20">
        <f>SUM(J640:O640)</f>
        <v>150</v>
      </c>
      <c r="J640" s="22"/>
      <c r="K640" s="22"/>
      <c r="L640" s="22"/>
      <c r="M640" s="22">
        <v>150</v>
      </c>
      <c r="N640" s="22"/>
      <c r="O640" s="22"/>
      <c r="P640" s="140"/>
    </row>
    <row r="641" spans="2:16" s="21" customFormat="1" outlineLevel="1" x14ac:dyDescent="0.2">
      <c r="B641" s="141"/>
      <c r="C641" s="133"/>
      <c r="D641" s="141"/>
      <c r="E641" s="141"/>
      <c r="F641" s="141"/>
      <c r="G641" s="141"/>
      <c r="H641" s="19" t="s">
        <v>5</v>
      </c>
      <c r="I641" s="20"/>
      <c r="J641" s="22"/>
      <c r="K641" s="22"/>
      <c r="L641" s="22"/>
      <c r="M641" s="22"/>
      <c r="N641" s="22"/>
      <c r="O641" s="22"/>
      <c r="P641" s="141"/>
    </row>
    <row r="642" spans="2:16" s="21" customFormat="1" ht="42.75" outlineLevel="1" x14ac:dyDescent="0.2">
      <c r="B642" s="139" t="s">
        <v>374</v>
      </c>
      <c r="C642" s="139"/>
      <c r="D642" s="139" t="s">
        <v>47</v>
      </c>
      <c r="E642" s="139">
        <v>2023</v>
      </c>
      <c r="F642" s="139" t="s">
        <v>375</v>
      </c>
      <c r="G642" s="139" t="s">
        <v>101</v>
      </c>
      <c r="H642" s="19" t="s">
        <v>3</v>
      </c>
      <c r="I642" s="20">
        <f>SUM(J642:O642)</f>
        <v>18.2</v>
      </c>
      <c r="J642" s="22">
        <f>J643+J644+J645</f>
        <v>0</v>
      </c>
      <c r="K642" s="22">
        <f>K643+K644+K645</f>
        <v>0</v>
      </c>
      <c r="L642" s="22">
        <f>L643+L644+L645</f>
        <v>0</v>
      </c>
      <c r="M642" s="22">
        <f>M643+M644+M645</f>
        <v>18.2</v>
      </c>
      <c r="N642" s="22">
        <v>0</v>
      </c>
      <c r="O642" s="22">
        <f>O643+O644+O645</f>
        <v>0</v>
      </c>
      <c r="P642" s="139">
        <v>300</v>
      </c>
    </row>
    <row r="643" spans="2:16" s="21" customFormat="1" outlineLevel="1" x14ac:dyDescent="0.2">
      <c r="B643" s="140"/>
      <c r="C643" s="132"/>
      <c r="D643" s="140"/>
      <c r="E643" s="140"/>
      <c r="F643" s="140"/>
      <c r="G643" s="140"/>
      <c r="H643" s="19" t="s">
        <v>4</v>
      </c>
      <c r="I643" s="20"/>
      <c r="J643" s="22"/>
      <c r="K643" s="22"/>
      <c r="L643" s="22"/>
      <c r="M643" s="22"/>
      <c r="N643" s="22"/>
      <c r="O643" s="22"/>
      <c r="P643" s="140"/>
    </row>
    <row r="644" spans="2:16" s="21" customFormat="1" outlineLevel="1" x14ac:dyDescent="0.2">
      <c r="B644" s="140"/>
      <c r="C644" s="132"/>
      <c r="D644" s="140"/>
      <c r="E644" s="140"/>
      <c r="F644" s="140"/>
      <c r="G644" s="140"/>
      <c r="H644" s="19" t="s">
        <v>6</v>
      </c>
      <c r="I644" s="20">
        <f>SUM(J644:O644)</f>
        <v>18.2</v>
      </c>
      <c r="J644" s="22"/>
      <c r="K644" s="22">
        <v>0</v>
      </c>
      <c r="L644" s="22"/>
      <c r="M644" s="22">
        <v>18.2</v>
      </c>
      <c r="N644" s="22"/>
      <c r="O644" s="22"/>
      <c r="P644" s="140"/>
    </row>
    <row r="645" spans="2:16" s="21" customFormat="1" outlineLevel="1" x14ac:dyDescent="0.2">
      <c r="B645" s="141"/>
      <c r="C645" s="133"/>
      <c r="D645" s="141"/>
      <c r="E645" s="141"/>
      <c r="F645" s="141"/>
      <c r="G645" s="141"/>
      <c r="H645" s="19" t="s">
        <v>5</v>
      </c>
      <c r="I645" s="20"/>
      <c r="J645" s="22"/>
      <c r="K645" s="22"/>
      <c r="L645" s="22"/>
      <c r="M645" s="22"/>
      <c r="N645" s="22"/>
      <c r="O645" s="22"/>
      <c r="P645" s="141"/>
    </row>
    <row r="646" spans="2:16" s="21" customFormat="1" ht="42.75" outlineLevel="1" x14ac:dyDescent="0.2">
      <c r="B646" s="139" t="s">
        <v>376</v>
      </c>
      <c r="C646" s="139"/>
      <c r="D646" s="139" t="s">
        <v>47</v>
      </c>
      <c r="E646" s="139">
        <v>2023</v>
      </c>
      <c r="F646" s="139" t="s">
        <v>300</v>
      </c>
      <c r="G646" s="139" t="s">
        <v>101</v>
      </c>
      <c r="H646" s="19" t="s">
        <v>3</v>
      </c>
      <c r="I646" s="20">
        <f>SUM(J646:O646)</f>
        <v>20</v>
      </c>
      <c r="J646" s="22">
        <f t="shared" ref="J646:M646" si="198">J647+J648+J649</f>
        <v>0</v>
      </c>
      <c r="K646" s="22">
        <f t="shared" si="198"/>
        <v>0</v>
      </c>
      <c r="L646" s="22">
        <f t="shared" si="198"/>
        <v>0</v>
      </c>
      <c r="M646" s="22">
        <f t="shared" si="198"/>
        <v>20</v>
      </c>
      <c r="N646" s="22">
        <v>0</v>
      </c>
      <c r="O646" s="22">
        <f t="shared" ref="O646" si="199">O647+O648+O649</f>
        <v>0</v>
      </c>
      <c r="P646" s="139">
        <v>350</v>
      </c>
    </row>
    <row r="647" spans="2:16" s="21" customFormat="1" outlineLevel="1" x14ac:dyDescent="0.2">
      <c r="B647" s="140"/>
      <c r="C647" s="132"/>
      <c r="D647" s="140"/>
      <c r="E647" s="140"/>
      <c r="F647" s="140"/>
      <c r="G647" s="140"/>
      <c r="H647" s="19" t="s">
        <v>4</v>
      </c>
      <c r="I647" s="20"/>
      <c r="J647" s="22"/>
      <c r="K647" s="22"/>
      <c r="L647" s="22"/>
      <c r="M647" s="22"/>
      <c r="N647" s="22"/>
      <c r="O647" s="22"/>
      <c r="P647" s="140"/>
    </row>
    <row r="648" spans="2:16" s="21" customFormat="1" outlineLevel="1" x14ac:dyDescent="0.2">
      <c r="B648" s="140"/>
      <c r="C648" s="132"/>
      <c r="D648" s="140"/>
      <c r="E648" s="140"/>
      <c r="F648" s="140"/>
      <c r="G648" s="140"/>
      <c r="H648" s="19" t="s">
        <v>6</v>
      </c>
      <c r="I648" s="20">
        <f>SUM(J648:O648)</f>
        <v>20</v>
      </c>
      <c r="J648" s="22"/>
      <c r="K648" s="22"/>
      <c r="L648" s="22"/>
      <c r="M648" s="22">
        <v>20</v>
      </c>
      <c r="N648" s="22"/>
      <c r="O648" s="22"/>
      <c r="P648" s="140"/>
    </row>
    <row r="649" spans="2:16" s="21" customFormat="1" outlineLevel="1" x14ac:dyDescent="0.2">
      <c r="B649" s="141"/>
      <c r="C649" s="133"/>
      <c r="D649" s="141"/>
      <c r="E649" s="141"/>
      <c r="F649" s="141"/>
      <c r="G649" s="141"/>
      <c r="H649" s="19" t="s">
        <v>5</v>
      </c>
      <c r="I649" s="20"/>
      <c r="J649" s="22"/>
      <c r="K649" s="22"/>
      <c r="L649" s="22"/>
      <c r="M649" s="22"/>
      <c r="N649" s="22"/>
      <c r="O649" s="22"/>
      <c r="P649" s="141"/>
    </row>
    <row r="650" spans="2:16" s="21" customFormat="1" ht="42.75" outlineLevel="1" x14ac:dyDescent="0.2">
      <c r="B650" s="139" t="s">
        <v>377</v>
      </c>
      <c r="C650" s="139"/>
      <c r="D650" s="139" t="s">
        <v>47</v>
      </c>
      <c r="E650" s="139">
        <v>2023</v>
      </c>
      <c r="F650" s="139" t="s">
        <v>258</v>
      </c>
      <c r="G650" s="139" t="s">
        <v>101</v>
      </c>
      <c r="H650" s="19" t="s">
        <v>3</v>
      </c>
      <c r="I650" s="20">
        <f>SUM(J650:O650)</f>
        <v>35</v>
      </c>
      <c r="J650" s="22"/>
      <c r="K650" s="22">
        <f t="shared" ref="K650:O650" si="200">K651+K652+K653</f>
        <v>0</v>
      </c>
      <c r="L650" s="22">
        <f t="shared" si="200"/>
        <v>0</v>
      </c>
      <c r="M650" s="22">
        <f t="shared" si="200"/>
        <v>35</v>
      </c>
      <c r="N650" s="22">
        <f t="shared" si="200"/>
        <v>0</v>
      </c>
      <c r="O650" s="22">
        <f t="shared" si="200"/>
        <v>0</v>
      </c>
      <c r="P650" s="139">
        <v>350</v>
      </c>
    </row>
    <row r="651" spans="2:16" s="21" customFormat="1" outlineLevel="1" x14ac:dyDescent="0.2">
      <c r="B651" s="140"/>
      <c r="C651" s="132"/>
      <c r="D651" s="140"/>
      <c r="E651" s="140"/>
      <c r="F651" s="140"/>
      <c r="G651" s="140"/>
      <c r="H651" s="19" t="s">
        <v>4</v>
      </c>
      <c r="I651" s="20"/>
      <c r="J651" s="22"/>
      <c r="K651" s="22"/>
      <c r="L651" s="22"/>
      <c r="M651" s="22"/>
      <c r="N651" s="22"/>
      <c r="O651" s="22"/>
      <c r="P651" s="140"/>
    </row>
    <row r="652" spans="2:16" s="21" customFormat="1" outlineLevel="1" x14ac:dyDescent="0.2">
      <c r="B652" s="140"/>
      <c r="C652" s="132"/>
      <c r="D652" s="140"/>
      <c r="E652" s="140"/>
      <c r="F652" s="140"/>
      <c r="G652" s="140"/>
      <c r="H652" s="19" t="s">
        <v>6</v>
      </c>
      <c r="I652" s="20">
        <f>SUM(J652:O652)</f>
        <v>35</v>
      </c>
      <c r="J652" s="22"/>
      <c r="K652" s="22"/>
      <c r="L652" s="22"/>
      <c r="M652" s="22">
        <v>35</v>
      </c>
      <c r="N652" s="22"/>
      <c r="O652" s="22"/>
      <c r="P652" s="140"/>
    </row>
    <row r="653" spans="2:16" s="21" customFormat="1" outlineLevel="1" x14ac:dyDescent="0.2">
      <c r="B653" s="141"/>
      <c r="C653" s="133"/>
      <c r="D653" s="141"/>
      <c r="E653" s="141"/>
      <c r="F653" s="141"/>
      <c r="G653" s="141"/>
      <c r="H653" s="19" t="s">
        <v>5</v>
      </c>
      <c r="I653" s="20"/>
      <c r="J653" s="22"/>
      <c r="K653" s="22"/>
      <c r="L653" s="22"/>
      <c r="M653" s="22"/>
      <c r="N653" s="22"/>
      <c r="O653" s="22"/>
      <c r="P653" s="141"/>
    </row>
    <row r="654" spans="2:16" s="21" customFormat="1" ht="42.75" outlineLevel="1" x14ac:dyDescent="0.2">
      <c r="B654" s="139" t="s">
        <v>378</v>
      </c>
      <c r="C654" s="139"/>
      <c r="D654" s="139" t="s">
        <v>47</v>
      </c>
      <c r="E654" s="139">
        <v>2023</v>
      </c>
      <c r="F654" s="139" t="s">
        <v>256</v>
      </c>
      <c r="G654" s="139" t="s">
        <v>101</v>
      </c>
      <c r="H654" s="19" t="s">
        <v>3</v>
      </c>
      <c r="I654" s="20">
        <f>SUM(J654:O654)</f>
        <v>15</v>
      </c>
      <c r="J654" s="22">
        <f>J655+J656+J657</f>
        <v>0</v>
      </c>
      <c r="K654" s="22">
        <f>K655+K656+K657</f>
        <v>0</v>
      </c>
      <c r="L654" s="22">
        <f>L655+L656+L657</f>
        <v>0</v>
      </c>
      <c r="M654" s="22">
        <f>M655+M656+M657</f>
        <v>15</v>
      </c>
      <c r="N654" s="22">
        <v>0</v>
      </c>
      <c r="O654" s="22">
        <f>O655+O656+O657</f>
        <v>0</v>
      </c>
      <c r="P654" s="139">
        <v>523</v>
      </c>
    </row>
    <row r="655" spans="2:16" s="21" customFormat="1" outlineLevel="1" x14ac:dyDescent="0.2">
      <c r="B655" s="140"/>
      <c r="C655" s="132"/>
      <c r="D655" s="140"/>
      <c r="E655" s="140"/>
      <c r="F655" s="140"/>
      <c r="G655" s="140"/>
      <c r="H655" s="19" t="s">
        <v>4</v>
      </c>
      <c r="I655" s="20"/>
      <c r="J655" s="22"/>
      <c r="K655" s="22"/>
      <c r="L655" s="22"/>
      <c r="M655" s="22"/>
      <c r="N655" s="22"/>
      <c r="O655" s="22"/>
      <c r="P655" s="140"/>
    </row>
    <row r="656" spans="2:16" s="21" customFormat="1" outlineLevel="1" x14ac:dyDescent="0.2">
      <c r="B656" s="140"/>
      <c r="C656" s="132"/>
      <c r="D656" s="140"/>
      <c r="E656" s="140"/>
      <c r="F656" s="140"/>
      <c r="G656" s="140"/>
      <c r="H656" s="19" t="s">
        <v>6</v>
      </c>
      <c r="I656" s="20">
        <f>SUM(J656:O656)</f>
        <v>15</v>
      </c>
      <c r="J656" s="22"/>
      <c r="K656" s="22"/>
      <c r="L656" s="22"/>
      <c r="M656" s="22">
        <v>15</v>
      </c>
      <c r="N656" s="22"/>
      <c r="O656" s="22"/>
      <c r="P656" s="140"/>
    </row>
    <row r="657" spans="2:16" s="21" customFormat="1" outlineLevel="1" x14ac:dyDescent="0.2">
      <c r="B657" s="141"/>
      <c r="C657" s="133"/>
      <c r="D657" s="141"/>
      <c r="E657" s="141"/>
      <c r="F657" s="141"/>
      <c r="G657" s="141"/>
      <c r="H657" s="19" t="s">
        <v>5</v>
      </c>
      <c r="I657" s="20"/>
      <c r="J657" s="22"/>
      <c r="K657" s="22"/>
      <c r="L657" s="22"/>
      <c r="M657" s="22"/>
      <c r="N657" s="22"/>
      <c r="O657" s="22"/>
      <c r="P657" s="141"/>
    </row>
    <row r="658" spans="2:16" s="21" customFormat="1" ht="42.75" outlineLevel="1" x14ac:dyDescent="0.2">
      <c r="B658" s="139" t="s">
        <v>379</v>
      </c>
      <c r="C658" s="139"/>
      <c r="D658" s="139" t="s">
        <v>47</v>
      </c>
      <c r="E658" s="139">
        <v>2023</v>
      </c>
      <c r="F658" s="139" t="s">
        <v>256</v>
      </c>
      <c r="G658" s="139" t="s">
        <v>101</v>
      </c>
      <c r="H658" s="19" t="s">
        <v>3</v>
      </c>
      <c r="I658" s="20">
        <f>SUM(J658:O658)</f>
        <v>15</v>
      </c>
      <c r="J658" s="22">
        <f>J659+J660+J661</f>
        <v>0</v>
      </c>
      <c r="K658" s="22">
        <f>K659+K660+K661</f>
        <v>0</v>
      </c>
      <c r="L658" s="22">
        <f>L659+L660+L661</f>
        <v>0</v>
      </c>
      <c r="M658" s="22">
        <f>M659+M660+M661</f>
        <v>15</v>
      </c>
      <c r="N658" s="22">
        <v>0</v>
      </c>
      <c r="O658" s="22">
        <f>O659+O660+O661</f>
        <v>0</v>
      </c>
      <c r="P658" s="139">
        <v>824</v>
      </c>
    </row>
    <row r="659" spans="2:16" s="21" customFormat="1" outlineLevel="1" x14ac:dyDescent="0.2">
      <c r="B659" s="140"/>
      <c r="C659" s="132"/>
      <c r="D659" s="140"/>
      <c r="E659" s="140"/>
      <c r="F659" s="140"/>
      <c r="G659" s="140"/>
      <c r="H659" s="19" t="s">
        <v>4</v>
      </c>
      <c r="I659" s="20"/>
      <c r="J659" s="22"/>
      <c r="K659" s="22"/>
      <c r="L659" s="22"/>
      <c r="M659" s="22"/>
      <c r="N659" s="22"/>
      <c r="O659" s="22"/>
      <c r="P659" s="140"/>
    </row>
    <row r="660" spans="2:16" s="21" customFormat="1" outlineLevel="1" x14ac:dyDescent="0.2">
      <c r="B660" s="140"/>
      <c r="C660" s="132"/>
      <c r="D660" s="140"/>
      <c r="E660" s="140"/>
      <c r="F660" s="140"/>
      <c r="G660" s="140"/>
      <c r="H660" s="19" t="s">
        <v>6</v>
      </c>
      <c r="I660" s="20">
        <f>SUM(J660:O660)</f>
        <v>15</v>
      </c>
      <c r="J660" s="22"/>
      <c r="K660" s="22">
        <v>0</v>
      </c>
      <c r="L660" s="22"/>
      <c r="M660" s="22">
        <v>15</v>
      </c>
      <c r="N660" s="22"/>
      <c r="O660" s="22"/>
      <c r="P660" s="140"/>
    </row>
    <row r="661" spans="2:16" s="21" customFormat="1" outlineLevel="1" x14ac:dyDescent="0.2">
      <c r="B661" s="141"/>
      <c r="C661" s="133"/>
      <c r="D661" s="141"/>
      <c r="E661" s="141"/>
      <c r="F661" s="141"/>
      <c r="G661" s="141"/>
      <c r="H661" s="19" t="s">
        <v>5</v>
      </c>
      <c r="I661" s="20"/>
      <c r="J661" s="22"/>
      <c r="K661" s="22"/>
      <c r="L661" s="22"/>
      <c r="M661" s="22"/>
      <c r="N661" s="22"/>
      <c r="O661" s="22"/>
      <c r="P661" s="141"/>
    </row>
    <row r="662" spans="2:16" s="21" customFormat="1" ht="42.75" outlineLevel="1" x14ac:dyDescent="0.2">
      <c r="B662" s="139" t="s">
        <v>380</v>
      </c>
      <c r="C662" s="139"/>
      <c r="D662" s="139" t="s">
        <v>47</v>
      </c>
      <c r="E662" s="139" t="s">
        <v>209</v>
      </c>
      <c r="F662" s="139" t="s">
        <v>367</v>
      </c>
      <c r="G662" s="139" t="s">
        <v>101</v>
      </c>
      <c r="H662" s="19" t="s">
        <v>3</v>
      </c>
      <c r="I662" s="20">
        <f>SUM(J662:O662)</f>
        <v>7</v>
      </c>
      <c r="J662" s="22">
        <f t="shared" ref="J662:O662" si="201">J663+J664+J665</f>
        <v>0</v>
      </c>
      <c r="K662" s="22">
        <f t="shared" si="201"/>
        <v>0</v>
      </c>
      <c r="L662" s="22">
        <f t="shared" si="201"/>
        <v>0</v>
      </c>
      <c r="M662" s="22">
        <f t="shared" si="201"/>
        <v>1</v>
      </c>
      <c r="N662" s="22">
        <f t="shared" si="201"/>
        <v>6</v>
      </c>
      <c r="O662" s="22">
        <f t="shared" si="201"/>
        <v>0</v>
      </c>
      <c r="P662" s="139">
        <v>422</v>
      </c>
    </row>
    <row r="663" spans="2:16" s="21" customFormat="1" outlineLevel="1" x14ac:dyDescent="0.2">
      <c r="B663" s="140"/>
      <c r="C663" s="132"/>
      <c r="D663" s="140"/>
      <c r="E663" s="140"/>
      <c r="F663" s="140"/>
      <c r="G663" s="140"/>
      <c r="H663" s="19" t="s">
        <v>4</v>
      </c>
      <c r="I663" s="20"/>
      <c r="J663" s="22"/>
      <c r="K663" s="22"/>
      <c r="L663" s="22"/>
      <c r="M663" s="22"/>
      <c r="N663" s="22"/>
      <c r="O663" s="22"/>
      <c r="P663" s="140"/>
    </row>
    <row r="664" spans="2:16" s="21" customFormat="1" outlineLevel="1" x14ac:dyDescent="0.2">
      <c r="B664" s="140"/>
      <c r="C664" s="132"/>
      <c r="D664" s="140"/>
      <c r="E664" s="140"/>
      <c r="F664" s="140"/>
      <c r="G664" s="140"/>
      <c r="H664" s="19" t="s">
        <v>6</v>
      </c>
      <c r="I664" s="20">
        <f>SUM(J664:O664)</f>
        <v>7</v>
      </c>
      <c r="J664" s="22"/>
      <c r="K664" s="22"/>
      <c r="L664" s="22"/>
      <c r="M664" s="22">
        <v>1</v>
      </c>
      <c r="N664" s="22">
        <v>6</v>
      </c>
      <c r="O664" s="22"/>
      <c r="P664" s="140"/>
    </row>
    <row r="665" spans="2:16" s="21" customFormat="1" outlineLevel="1" x14ac:dyDescent="0.2">
      <c r="B665" s="141"/>
      <c r="C665" s="133"/>
      <c r="D665" s="141"/>
      <c r="E665" s="141"/>
      <c r="F665" s="141"/>
      <c r="G665" s="141"/>
      <c r="H665" s="19" t="s">
        <v>5</v>
      </c>
      <c r="I665" s="20"/>
      <c r="J665" s="22"/>
      <c r="K665" s="22"/>
      <c r="L665" s="22"/>
      <c r="M665" s="22"/>
      <c r="N665" s="22"/>
      <c r="O665" s="22"/>
      <c r="P665" s="141"/>
    </row>
    <row r="666" spans="2:16" s="21" customFormat="1" ht="42.75" outlineLevel="1" x14ac:dyDescent="0.2">
      <c r="B666" s="139" t="s">
        <v>381</v>
      </c>
      <c r="C666" s="139"/>
      <c r="D666" s="139" t="s">
        <v>382</v>
      </c>
      <c r="E666" s="139">
        <v>2023</v>
      </c>
      <c r="F666" s="139" t="s">
        <v>383</v>
      </c>
      <c r="G666" s="139" t="s">
        <v>107</v>
      </c>
      <c r="H666" s="19" t="s">
        <v>3</v>
      </c>
      <c r="I666" s="20">
        <f>SUM(J666:O666)</f>
        <v>7.4450000000000003</v>
      </c>
      <c r="J666" s="29">
        <f>J667+J668+J669</f>
        <v>0</v>
      </c>
      <c r="K666" s="29">
        <f t="shared" ref="K666:L666" si="202">K667+K668+K669</f>
        <v>0</v>
      </c>
      <c r="L666" s="30">
        <f t="shared" si="202"/>
        <v>0</v>
      </c>
      <c r="M666" s="29">
        <f>M667+M668+M669</f>
        <v>7.4450000000000003</v>
      </c>
      <c r="N666" s="29">
        <v>0</v>
      </c>
      <c r="O666" s="29">
        <f>O667+O668+O669</f>
        <v>0</v>
      </c>
      <c r="P666" s="139">
        <v>363</v>
      </c>
    </row>
    <row r="667" spans="2:16" s="21" customFormat="1" outlineLevel="1" x14ac:dyDescent="0.2">
      <c r="B667" s="140"/>
      <c r="C667" s="132"/>
      <c r="D667" s="140"/>
      <c r="E667" s="140"/>
      <c r="F667" s="140"/>
      <c r="G667" s="140"/>
      <c r="H667" s="19" t="s">
        <v>4</v>
      </c>
      <c r="I667" s="20">
        <f>SUM(J667:O667)</f>
        <v>6.6150000000000002</v>
      </c>
      <c r="J667" s="29"/>
      <c r="K667" s="29"/>
      <c r="L667" s="30"/>
      <c r="M667" s="29">
        <v>6.6150000000000002</v>
      </c>
      <c r="N667" s="29"/>
      <c r="O667" s="29"/>
      <c r="P667" s="140"/>
    </row>
    <row r="668" spans="2:16" s="21" customFormat="1" outlineLevel="1" x14ac:dyDescent="0.2">
      <c r="B668" s="140"/>
      <c r="C668" s="132"/>
      <c r="D668" s="140"/>
      <c r="E668" s="140"/>
      <c r="F668" s="140"/>
      <c r="G668" s="140"/>
      <c r="H668" s="19" t="s">
        <v>6</v>
      </c>
      <c r="I668" s="20">
        <f>SUM(J668:O668)</f>
        <v>0.83</v>
      </c>
      <c r="J668" s="29"/>
      <c r="K668" s="29"/>
      <c r="L668" s="30"/>
      <c r="M668" s="29">
        <v>0.83</v>
      </c>
      <c r="N668" s="29"/>
      <c r="O668" s="29"/>
      <c r="P668" s="140"/>
    </row>
    <row r="669" spans="2:16" s="21" customFormat="1" outlineLevel="1" x14ac:dyDescent="0.2">
      <c r="B669" s="141"/>
      <c r="C669" s="133"/>
      <c r="D669" s="141"/>
      <c r="E669" s="141"/>
      <c r="F669" s="141"/>
      <c r="G669" s="141"/>
      <c r="H669" s="19" t="s">
        <v>5</v>
      </c>
      <c r="I669" s="20"/>
      <c r="J669" s="29"/>
      <c r="K669" s="29"/>
      <c r="L669" s="29"/>
      <c r="M669" s="29"/>
      <c r="N669" s="29"/>
      <c r="O669" s="29"/>
      <c r="P669" s="141"/>
    </row>
    <row r="670" spans="2:16" s="21" customFormat="1" ht="42.75" outlineLevel="1" x14ac:dyDescent="0.2">
      <c r="B670" s="139" t="s">
        <v>384</v>
      </c>
      <c r="C670" s="139"/>
      <c r="D670" s="139" t="s">
        <v>49</v>
      </c>
      <c r="E670" s="139">
        <v>2021</v>
      </c>
      <c r="F670" s="139" t="s">
        <v>385</v>
      </c>
      <c r="G670" s="139" t="s">
        <v>107</v>
      </c>
      <c r="H670" s="19" t="s">
        <v>3</v>
      </c>
      <c r="I670" s="20">
        <f>SUM(J670:O670)</f>
        <v>0.3</v>
      </c>
      <c r="J670" s="22">
        <f>J671+J672+J673</f>
        <v>0</v>
      </c>
      <c r="K670" s="22">
        <f>K671+K672+K673</f>
        <v>0.3</v>
      </c>
      <c r="L670" s="22">
        <f>L671+L672+L673</f>
        <v>0</v>
      </c>
      <c r="M670" s="22">
        <f>M671+M672+M673</f>
        <v>0</v>
      </c>
      <c r="N670" s="22">
        <v>0</v>
      </c>
      <c r="O670" s="22">
        <f>O671+O672+O673</f>
        <v>0</v>
      </c>
      <c r="P670" s="139"/>
    </row>
    <row r="671" spans="2:16" s="21" customFormat="1" outlineLevel="1" x14ac:dyDescent="0.2">
      <c r="B671" s="140"/>
      <c r="C671" s="132"/>
      <c r="D671" s="140"/>
      <c r="E671" s="140"/>
      <c r="F671" s="140"/>
      <c r="G671" s="140"/>
      <c r="H671" s="19" t="s">
        <v>4</v>
      </c>
      <c r="I671" s="20">
        <f>SUM(J671:O671)</f>
        <v>0</v>
      </c>
      <c r="J671" s="22"/>
      <c r="K671" s="22"/>
      <c r="L671" s="22"/>
      <c r="M671" s="22"/>
      <c r="N671" s="22"/>
      <c r="O671" s="22"/>
      <c r="P671" s="140"/>
    </row>
    <row r="672" spans="2:16" s="21" customFormat="1" outlineLevel="1" x14ac:dyDescent="0.2">
      <c r="B672" s="140"/>
      <c r="C672" s="132"/>
      <c r="D672" s="140"/>
      <c r="E672" s="140"/>
      <c r="F672" s="140"/>
      <c r="G672" s="140"/>
      <c r="H672" s="19" t="s">
        <v>6</v>
      </c>
      <c r="I672" s="20">
        <f>SUM(J672:O672)</f>
        <v>0.3</v>
      </c>
      <c r="J672" s="22"/>
      <c r="K672" s="22">
        <v>0.3</v>
      </c>
      <c r="L672" s="22">
        <v>0</v>
      </c>
      <c r="M672" s="22"/>
      <c r="N672" s="22"/>
      <c r="O672" s="22"/>
      <c r="P672" s="140"/>
    </row>
    <row r="673" spans="2:16" s="21" customFormat="1" outlineLevel="1" x14ac:dyDescent="0.2">
      <c r="B673" s="141"/>
      <c r="C673" s="133"/>
      <c r="D673" s="141"/>
      <c r="E673" s="141"/>
      <c r="F673" s="141"/>
      <c r="G673" s="141"/>
      <c r="H673" s="19" t="s">
        <v>5</v>
      </c>
      <c r="I673" s="20"/>
      <c r="J673" s="22"/>
      <c r="K673" s="22"/>
      <c r="L673" s="22"/>
      <c r="M673" s="22"/>
      <c r="N673" s="22"/>
      <c r="O673" s="22"/>
      <c r="P673" s="141"/>
    </row>
    <row r="674" spans="2:16" s="21" customFormat="1" ht="42.75" outlineLevel="1" x14ac:dyDescent="0.2">
      <c r="B674" s="139" t="s">
        <v>386</v>
      </c>
      <c r="C674" s="139"/>
      <c r="D674" s="139" t="s">
        <v>49</v>
      </c>
      <c r="E674" s="139">
        <v>2023</v>
      </c>
      <c r="F674" s="139" t="s">
        <v>387</v>
      </c>
      <c r="G674" s="139" t="s">
        <v>107</v>
      </c>
      <c r="H674" s="19" t="s">
        <v>3</v>
      </c>
      <c r="I674" s="20">
        <f>SUM(J674:O674)</f>
        <v>2</v>
      </c>
      <c r="J674" s="22">
        <f t="shared" ref="J674:M674" si="203">J675+J676+J677</f>
        <v>0</v>
      </c>
      <c r="K674" s="22"/>
      <c r="L674" s="22">
        <f t="shared" si="203"/>
        <v>0</v>
      </c>
      <c r="M674" s="22">
        <f t="shared" si="203"/>
        <v>2</v>
      </c>
      <c r="N674" s="22">
        <v>0</v>
      </c>
      <c r="O674" s="22">
        <f t="shared" ref="O674" si="204">O675+O676+O677</f>
        <v>0</v>
      </c>
      <c r="P674" s="139"/>
    </row>
    <row r="675" spans="2:16" s="21" customFormat="1" outlineLevel="1" x14ac:dyDescent="0.2">
      <c r="B675" s="140"/>
      <c r="C675" s="132"/>
      <c r="D675" s="140"/>
      <c r="E675" s="140"/>
      <c r="F675" s="140"/>
      <c r="G675" s="140"/>
      <c r="H675" s="19" t="s">
        <v>4</v>
      </c>
      <c r="I675" s="20">
        <f>SUM(J675:O675)</f>
        <v>1.8</v>
      </c>
      <c r="J675" s="22"/>
      <c r="K675" s="22"/>
      <c r="L675" s="22"/>
      <c r="M675" s="22">
        <v>1.8</v>
      </c>
      <c r="N675" s="22"/>
      <c r="O675" s="22"/>
      <c r="P675" s="140"/>
    </row>
    <row r="676" spans="2:16" s="21" customFormat="1" outlineLevel="1" x14ac:dyDescent="0.2">
      <c r="B676" s="140"/>
      <c r="C676" s="132"/>
      <c r="D676" s="140"/>
      <c r="E676" s="140"/>
      <c r="F676" s="140"/>
      <c r="G676" s="140"/>
      <c r="H676" s="19" t="s">
        <v>6</v>
      </c>
      <c r="I676" s="20">
        <f>SUM(J676:O676)</f>
        <v>0.2</v>
      </c>
      <c r="J676" s="22"/>
      <c r="K676" s="22"/>
      <c r="L676" s="22"/>
      <c r="M676" s="22">
        <v>0.2</v>
      </c>
      <c r="N676" s="22"/>
      <c r="O676" s="22"/>
      <c r="P676" s="140"/>
    </row>
    <row r="677" spans="2:16" s="21" customFormat="1" outlineLevel="1" x14ac:dyDescent="0.2">
      <c r="B677" s="141"/>
      <c r="C677" s="133"/>
      <c r="D677" s="141"/>
      <c r="E677" s="141"/>
      <c r="F677" s="141"/>
      <c r="G677" s="141"/>
      <c r="H677" s="19" t="s">
        <v>5</v>
      </c>
      <c r="I677" s="20"/>
      <c r="J677" s="22"/>
      <c r="K677" s="22"/>
      <c r="L677" s="22"/>
      <c r="M677" s="22"/>
      <c r="N677" s="22"/>
      <c r="O677" s="22"/>
      <c r="P677" s="141"/>
    </row>
    <row r="678" spans="2:16" s="21" customFormat="1" ht="42.75" outlineLevel="1" x14ac:dyDescent="0.2">
      <c r="B678" s="139" t="s">
        <v>388</v>
      </c>
      <c r="C678" s="139"/>
      <c r="D678" s="139" t="s">
        <v>47</v>
      </c>
      <c r="E678" s="139" t="s">
        <v>389</v>
      </c>
      <c r="F678" s="139" t="s">
        <v>390</v>
      </c>
      <c r="G678" s="139" t="s">
        <v>101</v>
      </c>
      <c r="H678" s="19" t="s">
        <v>3</v>
      </c>
      <c r="I678" s="20">
        <f>SUM(J678:O678)</f>
        <v>1.2</v>
      </c>
      <c r="J678" s="22"/>
      <c r="K678" s="22">
        <f t="shared" ref="K678:O678" si="205">K679+K680+K681</f>
        <v>0</v>
      </c>
      <c r="L678" s="22">
        <f t="shared" si="205"/>
        <v>0</v>
      </c>
      <c r="M678" s="22">
        <f>M679+M680+M681</f>
        <v>0.2</v>
      </c>
      <c r="N678" s="22">
        <f t="shared" si="205"/>
        <v>1</v>
      </c>
      <c r="O678" s="22">
        <f t="shared" si="205"/>
        <v>0</v>
      </c>
      <c r="P678" s="139">
        <v>1139</v>
      </c>
    </row>
    <row r="679" spans="2:16" s="21" customFormat="1" outlineLevel="1" x14ac:dyDescent="0.2">
      <c r="B679" s="140"/>
      <c r="C679" s="132"/>
      <c r="D679" s="140"/>
      <c r="E679" s="140"/>
      <c r="F679" s="140"/>
      <c r="G679" s="140"/>
      <c r="H679" s="19" t="s">
        <v>4</v>
      </c>
      <c r="I679" s="20"/>
      <c r="J679" s="22"/>
      <c r="K679" s="22"/>
      <c r="L679" s="22"/>
      <c r="M679" s="22"/>
      <c r="N679" s="22"/>
      <c r="O679" s="22"/>
      <c r="P679" s="140"/>
    </row>
    <row r="680" spans="2:16" s="21" customFormat="1" outlineLevel="1" x14ac:dyDescent="0.2">
      <c r="B680" s="140"/>
      <c r="C680" s="132"/>
      <c r="D680" s="140"/>
      <c r="E680" s="140"/>
      <c r="F680" s="140"/>
      <c r="G680" s="140"/>
      <c r="H680" s="19" t="s">
        <v>6</v>
      </c>
      <c r="I680" s="20">
        <f>SUM(J680:O680)</f>
        <v>1.2</v>
      </c>
      <c r="J680" s="22"/>
      <c r="K680" s="22"/>
      <c r="L680" s="22"/>
      <c r="M680" s="22">
        <v>0.2</v>
      </c>
      <c r="N680" s="22">
        <v>1</v>
      </c>
      <c r="O680" s="22"/>
      <c r="P680" s="140"/>
    </row>
    <row r="681" spans="2:16" s="21" customFormat="1" outlineLevel="1" x14ac:dyDescent="0.2">
      <c r="B681" s="141"/>
      <c r="C681" s="133"/>
      <c r="D681" s="141"/>
      <c r="E681" s="141"/>
      <c r="F681" s="141"/>
      <c r="G681" s="141"/>
      <c r="H681" s="19" t="s">
        <v>5</v>
      </c>
      <c r="I681" s="20"/>
      <c r="J681" s="22"/>
      <c r="K681" s="22"/>
      <c r="L681" s="22"/>
      <c r="M681" s="22"/>
      <c r="N681" s="22"/>
      <c r="O681" s="22"/>
      <c r="P681" s="141"/>
    </row>
    <row r="682" spans="2:16" s="21" customFormat="1" ht="42.75" outlineLevel="1" x14ac:dyDescent="0.2">
      <c r="B682" s="139" t="s">
        <v>391</v>
      </c>
      <c r="C682" s="139"/>
      <c r="D682" s="139" t="s">
        <v>392</v>
      </c>
      <c r="E682" s="139">
        <v>2023</v>
      </c>
      <c r="F682" s="139" t="s">
        <v>214</v>
      </c>
      <c r="G682" s="139" t="s">
        <v>101</v>
      </c>
      <c r="H682" s="19" t="s">
        <v>3</v>
      </c>
      <c r="I682" s="20">
        <f>SUM(J682:O682)</f>
        <v>25</v>
      </c>
      <c r="J682" s="22">
        <f t="shared" ref="J682:O682" si="206">SUM(J683:J685)</f>
        <v>0</v>
      </c>
      <c r="K682" s="22">
        <f t="shared" si="206"/>
        <v>0</v>
      </c>
      <c r="L682" s="22">
        <f t="shared" si="206"/>
        <v>25</v>
      </c>
      <c r="M682" s="22">
        <f t="shared" si="206"/>
        <v>0</v>
      </c>
      <c r="N682" s="22">
        <f t="shared" si="206"/>
        <v>0</v>
      </c>
      <c r="O682" s="22">
        <f t="shared" si="206"/>
        <v>0</v>
      </c>
      <c r="P682" s="139">
        <v>544</v>
      </c>
    </row>
    <row r="683" spans="2:16" s="21" customFormat="1" outlineLevel="1" x14ac:dyDescent="0.2">
      <c r="B683" s="140"/>
      <c r="C683" s="132"/>
      <c r="D683" s="140"/>
      <c r="E683" s="140"/>
      <c r="F683" s="140"/>
      <c r="G683" s="140"/>
      <c r="H683" s="19" t="s">
        <v>4</v>
      </c>
      <c r="I683" s="20"/>
      <c r="J683" s="22"/>
      <c r="K683" s="22"/>
      <c r="L683" s="22"/>
      <c r="M683" s="22"/>
      <c r="N683" s="22"/>
      <c r="O683" s="22"/>
      <c r="P683" s="140"/>
    </row>
    <row r="684" spans="2:16" s="21" customFormat="1" outlineLevel="1" x14ac:dyDescent="0.2">
      <c r="B684" s="140"/>
      <c r="C684" s="132"/>
      <c r="D684" s="140"/>
      <c r="E684" s="140"/>
      <c r="F684" s="140"/>
      <c r="G684" s="140"/>
      <c r="H684" s="19" t="s">
        <v>6</v>
      </c>
      <c r="I684" s="20">
        <f>SUM(J684:O684)</f>
        <v>25</v>
      </c>
      <c r="J684" s="22"/>
      <c r="K684" s="22"/>
      <c r="L684" s="22">
        <v>25</v>
      </c>
      <c r="M684" s="22"/>
      <c r="N684" s="22"/>
      <c r="O684" s="22"/>
      <c r="P684" s="140"/>
    </row>
    <row r="685" spans="2:16" s="21" customFormat="1" outlineLevel="1" x14ac:dyDescent="0.2">
      <c r="B685" s="141"/>
      <c r="C685" s="133"/>
      <c r="D685" s="141"/>
      <c r="E685" s="141"/>
      <c r="F685" s="141"/>
      <c r="G685" s="141"/>
      <c r="H685" s="19" t="s">
        <v>5</v>
      </c>
      <c r="I685" s="20"/>
      <c r="J685" s="22"/>
      <c r="K685" s="22"/>
      <c r="L685" s="22"/>
      <c r="M685" s="22"/>
      <c r="N685" s="22"/>
      <c r="O685" s="22"/>
      <c r="P685" s="141"/>
    </row>
    <row r="686" spans="2:16" s="21" customFormat="1" ht="42.75" outlineLevel="1" x14ac:dyDescent="0.2">
      <c r="B686" s="139" t="s">
        <v>393</v>
      </c>
      <c r="C686" s="139"/>
      <c r="D686" s="139" t="s">
        <v>47</v>
      </c>
      <c r="E686" s="139">
        <v>2023</v>
      </c>
      <c r="F686" s="139" t="s">
        <v>394</v>
      </c>
      <c r="G686" s="139" t="s">
        <v>101</v>
      </c>
      <c r="H686" s="19" t="s">
        <v>3</v>
      </c>
      <c r="I686" s="20">
        <f>SUM(J686:O686)</f>
        <v>255.1</v>
      </c>
      <c r="J686" s="22"/>
      <c r="K686" s="22"/>
      <c r="L686" s="22"/>
      <c r="M686" s="22">
        <f>M687+M688+M689</f>
        <v>255.1</v>
      </c>
      <c r="N686" s="29"/>
      <c r="O686" s="22">
        <f t="shared" ref="O686" si="207">O687+O688+O689</f>
        <v>0</v>
      </c>
      <c r="P686" s="139">
        <v>11200</v>
      </c>
    </row>
    <row r="687" spans="2:16" s="21" customFormat="1" outlineLevel="1" x14ac:dyDescent="0.2">
      <c r="B687" s="140"/>
      <c r="C687" s="132"/>
      <c r="D687" s="140"/>
      <c r="E687" s="140"/>
      <c r="F687" s="140"/>
      <c r="G687" s="140"/>
      <c r="H687" s="19" t="s">
        <v>4</v>
      </c>
      <c r="I687" s="20">
        <f>SUM(J687:O687)</f>
        <v>247</v>
      </c>
      <c r="J687" s="22"/>
      <c r="K687" s="22"/>
      <c r="L687" s="22"/>
      <c r="M687" s="22">
        <v>247</v>
      </c>
      <c r="N687" s="29"/>
      <c r="O687" s="22"/>
      <c r="P687" s="140"/>
    </row>
    <row r="688" spans="2:16" s="21" customFormat="1" outlineLevel="1" x14ac:dyDescent="0.2">
      <c r="B688" s="140"/>
      <c r="C688" s="132"/>
      <c r="D688" s="140"/>
      <c r="E688" s="140"/>
      <c r="F688" s="140"/>
      <c r="G688" s="140"/>
      <c r="H688" s="19" t="s">
        <v>6</v>
      </c>
      <c r="I688" s="20">
        <f>SUM(J688:O688)</f>
        <v>8.1</v>
      </c>
      <c r="J688" s="22"/>
      <c r="K688" s="22"/>
      <c r="L688" s="22"/>
      <c r="M688" s="22">
        <v>8.1</v>
      </c>
      <c r="N688" s="29"/>
      <c r="O688" s="22"/>
      <c r="P688" s="140"/>
    </row>
    <row r="689" spans="2:16" s="21" customFormat="1" outlineLevel="1" x14ac:dyDescent="0.2">
      <c r="B689" s="141"/>
      <c r="C689" s="133"/>
      <c r="D689" s="141"/>
      <c r="E689" s="141"/>
      <c r="F689" s="141"/>
      <c r="G689" s="141"/>
      <c r="H689" s="19" t="s">
        <v>5</v>
      </c>
      <c r="I689" s="20"/>
      <c r="J689" s="22"/>
      <c r="K689" s="22"/>
      <c r="L689" s="22"/>
      <c r="M689" s="22"/>
      <c r="N689" s="22"/>
      <c r="O689" s="22"/>
      <c r="P689" s="141"/>
    </row>
    <row r="690" spans="2:16" s="21" customFormat="1" ht="42.75" outlineLevel="1" x14ac:dyDescent="0.2">
      <c r="B690" s="139" t="s">
        <v>395</v>
      </c>
      <c r="C690" s="139"/>
      <c r="D690" s="139" t="s">
        <v>396</v>
      </c>
      <c r="E690" s="139">
        <v>2023</v>
      </c>
      <c r="F690" s="139" t="s">
        <v>397</v>
      </c>
      <c r="G690" s="139" t="s">
        <v>101</v>
      </c>
      <c r="H690" s="19" t="s">
        <v>3</v>
      </c>
      <c r="I690" s="20">
        <f>SUM(J690:O690)</f>
        <v>6</v>
      </c>
      <c r="J690" s="22"/>
      <c r="K690" s="22"/>
      <c r="L690" s="22"/>
      <c r="M690" s="22">
        <f>M691+M692+M693</f>
        <v>6</v>
      </c>
      <c r="N690" s="29"/>
      <c r="O690" s="22">
        <f t="shared" ref="O690" si="208">O691+O692+O693</f>
        <v>0</v>
      </c>
      <c r="P690" s="139">
        <v>350</v>
      </c>
    </row>
    <row r="691" spans="2:16" s="21" customFormat="1" outlineLevel="1" x14ac:dyDescent="0.2">
      <c r="B691" s="140"/>
      <c r="C691" s="132"/>
      <c r="D691" s="140"/>
      <c r="E691" s="140"/>
      <c r="F691" s="140"/>
      <c r="G691" s="140"/>
      <c r="H691" s="19" t="s">
        <v>4</v>
      </c>
      <c r="I691" s="20"/>
      <c r="J691" s="22"/>
      <c r="K691" s="22"/>
      <c r="L691" s="22"/>
      <c r="M691" s="22"/>
      <c r="N691" s="22"/>
      <c r="O691" s="22"/>
      <c r="P691" s="140"/>
    </row>
    <row r="692" spans="2:16" s="21" customFormat="1" outlineLevel="1" x14ac:dyDescent="0.2">
      <c r="B692" s="140"/>
      <c r="C692" s="132"/>
      <c r="D692" s="140"/>
      <c r="E692" s="140"/>
      <c r="F692" s="140"/>
      <c r="G692" s="140"/>
      <c r="H692" s="19" t="s">
        <v>6</v>
      </c>
      <c r="I692" s="20">
        <f>SUM(J692:O692)</f>
        <v>6</v>
      </c>
      <c r="J692" s="22"/>
      <c r="K692" s="22"/>
      <c r="L692" s="22"/>
      <c r="M692" s="22">
        <v>6</v>
      </c>
      <c r="N692" s="22"/>
      <c r="O692" s="22"/>
      <c r="P692" s="140"/>
    </row>
    <row r="693" spans="2:16" s="21" customFormat="1" outlineLevel="1" x14ac:dyDescent="0.2">
      <c r="B693" s="141"/>
      <c r="C693" s="133"/>
      <c r="D693" s="141"/>
      <c r="E693" s="141"/>
      <c r="F693" s="141"/>
      <c r="G693" s="141"/>
      <c r="H693" s="19" t="s">
        <v>5</v>
      </c>
      <c r="I693" s="20"/>
      <c r="J693" s="22"/>
      <c r="K693" s="22"/>
      <c r="L693" s="22"/>
      <c r="M693" s="22"/>
      <c r="N693" s="22"/>
      <c r="O693" s="22"/>
      <c r="P693" s="141"/>
    </row>
    <row r="694" spans="2:16" s="21" customFormat="1" ht="42.75" outlineLevel="1" x14ac:dyDescent="0.2">
      <c r="B694" s="139" t="s">
        <v>398</v>
      </c>
      <c r="C694" s="139"/>
      <c r="D694" s="139" t="s">
        <v>399</v>
      </c>
      <c r="E694" s="139">
        <v>2023</v>
      </c>
      <c r="F694" s="139" t="s">
        <v>131</v>
      </c>
      <c r="G694" s="139" t="s">
        <v>101</v>
      </c>
      <c r="H694" s="19" t="s">
        <v>3</v>
      </c>
      <c r="I694" s="20">
        <f>SUM(J694:O694)</f>
        <v>65</v>
      </c>
      <c r="J694" s="22"/>
      <c r="K694" s="22"/>
      <c r="L694" s="22"/>
      <c r="M694" s="22">
        <f>M695+M696+M697</f>
        <v>65</v>
      </c>
      <c r="N694" s="22">
        <v>0</v>
      </c>
      <c r="O694" s="22">
        <f>O695+O696+O697</f>
        <v>0</v>
      </c>
      <c r="P694" s="139">
        <v>1139</v>
      </c>
    </row>
    <row r="695" spans="2:16" s="21" customFormat="1" outlineLevel="1" x14ac:dyDescent="0.2">
      <c r="B695" s="140"/>
      <c r="C695" s="132"/>
      <c r="D695" s="140"/>
      <c r="E695" s="140"/>
      <c r="F695" s="140"/>
      <c r="G695" s="140"/>
      <c r="H695" s="19" t="s">
        <v>4</v>
      </c>
      <c r="I695" s="20"/>
      <c r="J695" s="22"/>
      <c r="K695" s="22"/>
      <c r="L695" s="22"/>
      <c r="M695" s="22"/>
      <c r="N695" s="22"/>
      <c r="O695" s="22"/>
      <c r="P695" s="140"/>
    </row>
    <row r="696" spans="2:16" s="21" customFormat="1" outlineLevel="1" x14ac:dyDescent="0.2">
      <c r="B696" s="140"/>
      <c r="C696" s="132"/>
      <c r="D696" s="140"/>
      <c r="E696" s="140"/>
      <c r="F696" s="140"/>
      <c r="G696" s="140"/>
      <c r="H696" s="19" t="s">
        <v>6</v>
      </c>
      <c r="I696" s="20">
        <f>SUM(J696:O696)</f>
        <v>65</v>
      </c>
      <c r="J696" s="22"/>
      <c r="K696" s="22"/>
      <c r="L696" s="22"/>
      <c r="M696" s="22">
        <v>65</v>
      </c>
      <c r="N696" s="22"/>
      <c r="O696" s="22"/>
      <c r="P696" s="140"/>
    </row>
    <row r="697" spans="2:16" s="21" customFormat="1" outlineLevel="1" x14ac:dyDescent="0.2">
      <c r="B697" s="141"/>
      <c r="C697" s="133"/>
      <c r="D697" s="141"/>
      <c r="E697" s="141"/>
      <c r="F697" s="141"/>
      <c r="G697" s="141"/>
      <c r="H697" s="19" t="s">
        <v>5</v>
      </c>
      <c r="I697" s="20"/>
      <c r="J697" s="22"/>
      <c r="K697" s="22"/>
      <c r="L697" s="22"/>
      <c r="M697" s="22"/>
      <c r="N697" s="22"/>
      <c r="O697" s="22"/>
      <c r="P697" s="141"/>
    </row>
    <row r="698" spans="2:16" s="21" customFormat="1" ht="42.75" outlineLevel="1" x14ac:dyDescent="0.2">
      <c r="B698" s="139" t="s">
        <v>400</v>
      </c>
      <c r="C698" s="139"/>
      <c r="D698" s="139" t="s">
        <v>47</v>
      </c>
      <c r="E698" s="139">
        <v>2023</v>
      </c>
      <c r="F698" s="139" t="s">
        <v>300</v>
      </c>
      <c r="G698" s="139" t="s">
        <v>63</v>
      </c>
      <c r="H698" s="19" t="s">
        <v>3</v>
      </c>
      <c r="I698" s="20">
        <f>SUM(J698:O698)</f>
        <v>22.5</v>
      </c>
      <c r="J698" s="22"/>
      <c r="K698" s="22"/>
      <c r="L698" s="22"/>
      <c r="M698" s="22">
        <f>M699+M700+M701</f>
        <v>22.5</v>
      </c>
      <c r="N698" s="22">
        <v>0</v>
      </c>
      <c r="O698" s="22">
        <f>O699+O700+O701</f>
        <v>0</v>
      </c>
      <c r="P698" s="139">
        <v>5191</v>
      </c>
    </row>
    <row r="699" spans="2:16" s="21" customFormat="1" outlineLevel="1" x14ac:dyDescent="0.2">
      <c r="B699" s="140"/>
      <c r="C699" s="132"/>
      <c r="D699" s="140"/>
      <c r="E699" s="140"/>
      <c r="F699" s="140"/>
      <c r="G699" s="140"/>
      <c r="H699" s="19" t="s">
        <v>4</v>
      </c>
      <c r="I699" s="20"/>
      <c r="J699" s="22"/>
      <c r="K699" s="22"/>
      <c r="L699" s="22"/>
      <c r="M699" s="22"/>
      <c r="N699" s="22"/>
      <c r="O699" s="22"/>
      <c r="P699" s="140"/>
    </row>
    <row r="700" spans="2:16" s="21" customFormat="1" outlineLevel="1" x14ac:dyDescent="0.2">
      <c r="B700" s="140"/>
      <c r="C700" s="132"/>
      <c r="D700" s="140"/>
      <c r="E700" s="140"/>
      <c r="F700" s="140"/>
      <c r="G700" s="140"/>
      <c r="H700" s="19" t="s">
        <v>6</v>
      </c>
      <c r="I700" s="20">
        <f>SUM(J700:O700)</f>
        <v>22.5</v>
      </c>
      <c r="J700" s="22"/>
      <c r="K700" s="22"/>
      <c r="L700" s="22"/>
      <c r="M700" s="22">
        <v>22.5</v>
      </c>
      <c r="N700" s="22"/>
      <c r="O700" s="22"/>
      <c r="P700" s="140"/>
    </row>
    <row r="701" spans="2:16" s="21" customFormat="1" outlineLevel="1" x14ac:dyDescent="0.2">
      <c r="B701" s="141"/>
      <c r="C701" s="133"/>
      <c r="D701" s="141"/>
      <c r="E701" s="141"/>
      <c r="F701" s="141"/>
      <c r="G701" s="141"/>
      <c r="H701" s="19" t="s">
        <v>5</v>
      </c>
      <c r="I701" s="20"/>
      <c r="J701" s="22"/>
      <c r="K701" s="22"/>
      <c r="L701" s="22"/>
      <c r="M701" s="22"/>
      <c r="N701" s="22"/>
      <c r="O701" s="22"/>
      <c r="P701" s="141"/>
    </row>
    <row r="702" spans="2:16" s="21" customFormat="1" ht="42.75" outlineLevel="1" x14ac:dyDescent="0.2">
      <c r="B702" s="139" t="s">
        <v>401</v>
      </c>
      <c r="C702" s="139"/>
      <c r="D702" s="139" t="s">
        <v>47</v>
      </c>
      <c r="E702" s="139">
        <v>2023</v>
      </c>
      <c r="F702" s="139" t="s">
        <v>191</v>
      </c>
      <c r="G702" s="139" t="s">
        <v>63</v>
      </c>
      <c r="H702" s="19" t="s">
        <v>3</v>
      </c>
      <c r="I702" s="20">
        <f>SUM(J702:O702)</f>
        <v>15</v>
      </c>
      <c r="J702" s="22"/>
      <c r="K702" s="22">
        <f>K703+K704+K705</f>
        <v>0</v>
      </c>
      <c r="L702" s="22"/>
      <c r="M702" s="22">
        <f>M703+M704+M705</f>
        <v>15</v>
      </c>
      <c r="N702" s="22">
        <v>0</v>
      </c>
      <c r="O702" s="22">
        <f>O703+O704+O705</f>
        <v>0</v>
      </c>
      <c r="P702" s="139">
        <v>5191</v>
      </c>
    </row>
    <row r="703" spans="2:16" s="21" customFormat="1" outlineLevel="1" x14ac:dyDescent="0.2">
      <c r="B703" s="140"/>
      <c r="C703" s="132"/>
      <c r="D703" s="140"/>
      <c r="E703" s="140"/>
      <c r="F703" s="140"/>
      <c r="G703" s="140"/>
      <c r="H703" s="19" t="s">
        <v>4</v>
      </c>
      <c r="I703" s="20"/>
      <c r="J703" s="22"/>
      <c r="K703" s="22"/>
      <c r="L703" s="22"/>
      <c r="M703" s="22"/>
      <c r="N703" s="22"/>
      <c r="O703" s="22"/>
      <c r="P703" s="140"/>
    </row>
    <row r="704" spans="2:16" s="21" customFormat="1" outlineLevel="1" x14ac:dyDescent="0.2">
      <c r="B704" s="140"/>
      <c r="C704" s="132"/>
      <c r="D704" s="140"/>
      <c r="E704" s="140"/>
      <c r="F704" s="140"/>
      <c r="G704" s="140"/>
      <c r="H704" s="19" t="s">
        <v>6</v>
      </c>
      <c r="I704" s="20">
        <f>SUM(J704:O704)</f>
        <v>15</v>
      </c>
      <c r="J704" s="22"/>
      <c r="K704" s="22">
        <v>0</v>
      </c>
      <c r="L704" s="22"/>
      <c r="M704" s="22">
        <v>15</v>
      </c>
      <c r="N704" s="22"/>
      <c r="O704" s="22"/>
      <c r="P704" s="140"/>
    </row>
    <row r="705" spans="2:18" s="21" customFormat="1" outlineLevel="1" x14ac:dyDescent="0.2">
      <c r="B705" s="141"/>
      <c r="C705" s="133"/>
      <c r="D705" s="141"/>
      <c r="E705" s="141"/>
      <c r="F705" s="141"/>
      <c r="G705" s="141"/>
      <c r="H705" s="19" t="s">
        <v>5</v>
      </c>
      <c r="I705" s="20"/>
      <c r="J705" s="22"/>
      <c r="K705" s="22"/>
      <c r="L705" s="22"/>
      <c r="M705" s="22"/>
      <c r="N705" s="22"/>
      <c r="O705" s="22"/>
      <c r="P705" s="140"/>
    </row>
    <row r="706" spans="2:18" s="21" customFormat="1" ht="42.75" outlineLevel="1" x14ac:dyDescent="0.2">
      <c r="B706" s="139" t="s">
        <v>402</v>
      </c>
      <c r="C706" s="139"/>
      <c r="D706" s="139" t="s">
        <v>47</v>
      </c>
      <c r="E706" s="139">
        <v>2023</v>
      </c>
      <c r="F706" s="139" t="s">
        <v>403</v>
      </c>
      <c r="G706" s="139" t="s">
        <v>63</v>
      </c>
      <c r="H706" s="19" t="s">
        <v>3</v>
      </c>
      <c r="I706" s="20">
        <f>SUM(J706:O706)</f>
        <v>5.0999999999999996</v>
      </c>
      <c r="J706" s="22"/>
      <c r="K706" s="22">
        <f>K707+K708+K709</f>
        <v>0</v>
      </c>
      <c r="L706" s="22"/>
      <c r="M706" s="22">
        <f>M707+M708+M709</f>
        <v>5.0999999999999996</v>
      </c>
      <c r="N706" s="22">
        <v>0</v>
      </c>
      <c r="O706" s="22">
        <f>O707+O708+O709</f>
        <v>0</v>
      </c>
      <c r="P706" s="142">
        <v>5191</v>
      </c>
      <c r="Q706" s="31"/>
      <c r="R706" s="32"/>
    </row>
    <row r="707" spans="2:18" s="21" customFormat="1" outlineLevel="1" x14ac:dyDescent="0.2">
      <c r="B707" s="140"/>
      <c r="C707" s="132"/>
      <c r="D707" s="140"/>
      <c r="E707" s="140"/>
      <c r="F707" s="140"/>
      <c r="G707" s="140"/>
      <c r="H707" s="19" t="s">
        <v>4</v>
      </c>
      <c r="I707" s="33">
        <f>SUM(J707:O707)</f>
        <v>0</v>
      </c>
      <c r="J707" s="22"/>
      <c r="K707" s="22"/>
      <c r="L707" s="22"/>
      <c r="M707" s="22"/>
      <c r="N707" s="22"/>
      <c r="O707" s="22"/>
      <c r="P707" s="142"/>
      <c r="R707" s="34"/>
    </row>
    <row r="708" spans="2:18" s="21" customFormat="1" outlineLevel="1" x14ac:dyDescent="0.2">
      <c r="B708" s="140"/>
      <c r="C708" s="132"/>
      <c r="D708" s="140"/>
      <c r="E708" s="140"/>
      <c r="F708" s="140"/>
      <c r="G708" s="140"/>
      <c r="H708" s="19" t="s">
        <v>6</v>
      </c>
      <c r="I708" s="20">
        <f>SUM(J708:O708)</f>
        <v>5.0999999999999996</v>
      </c>
      <c r="J708" s="22"/>
      <c r="K708" s="22">
        <v>0</v>
      </c>
      <c r="L708" s="22"/>
      <c r="M708" s="22">
        <v>5.0999999999999996</v>
      </c>
      <c r="N708" s="22"/>
      <c r="O708" s="22"/>
      <c r="P708" s="142"/>
    </row>
    <row r="709" spans="2:18" s="21" customFormat="1" outlineLevel="1" x14ac:dyDescent="0.2">
      <c r="B709" s="141"/>
      <c r="C709" s="133"/>
      <c r="D709" s="141"/>
      <c r="E709" s="141"/>
      <c r="F709" s="141"/>
      <c r="G709" s="141"/>
      <c r="H709" s="19" t="s">
        <v>5</v>
      </c>
      <c r="I709" s="33"/>
      <c r="J709" s="22"/>
      <c r="K709" s="22"/>
      <c r="L709" s="22"/>
      <c r="M709" s="22"/>
      <c r="N709" s="22"/>
      <c r="O709" s="22"/>
      <c r="P709" s="142"/>
    </row>
    <row r="710" spans="2:18" s="21" customFormat="1" ht="42.75" outlineLevel="1" x14ac:dyDescent="0.2">
      <c r="B710" s="139" t="s">
        <v>404</v>
      </c>
      <c r="C710" s="139"/>
      <c r="D710" s="139" t="s">
        <v>47</v>
      </c>
      <c r="E710" s="139">
        <v>2023</v>
      </c>
      <c r="F710" s="139" t="s">
        <v>405</v>
      </c>
      <c r="G710" s="139" t="s">
        <v>63</v>
      </c>
      <c r="H710" s="19" t="s">
        <v>3</v>
      </c>
      <c r="I710" s="20">
        <f>SUM(J710:O710)</f>
        <v>10.5</v>
      </c>
      <c r="J710" s="22"/>
      <c r="K710" s="22">
        <f>K711+K712+K713</f>
        <v>0</v>
      </c>
      <c r="L710" s="22">
        <f>L711+L712+L713</f>
        <v>0</v>
      </c>
      <c r="M710" s="22">
        <v>10.5</v>
      </c>
      <c r="N710" s="22">
        <v>0</v>
      </c>
      <c r="O710" s="22">
        <f>O711+O712+O713</f>
        <v>0</v>
      </c>
      <c r="P710" s="140">
        <v>5191</v>
      </c>
      <c r="Q710" s="34"/>
    </row>
    <row r="711" spans="2:18" s="21" customFormat="1" outlineLevel="1" x14ac:dyDescent="0.2">
      <c r="B711" s="140"/>
      <c r="C711" s="132"/>
      <c r="D711" s="140"/>
      <c r="E711" s="140"/>
      <c r="F711" s="140"/>
      <c r="G711" s="140"/>
      <c r="H711" s="19" t="s">
        <v>4</v>
      </c>
      <c r="I711" s="20">
        <f>SUM(J711:O711)</f>
        <v>0</v>
      </c>
      <c r="J711" s="22"/>
      <c r="K711" s="22"/>
      <c r="L711" s="22"/>
      <c r="M711" s="22"/>
      <c r="N711" s="22"/>
      <c r="O711" s="22"/>
      <c r="P711" s="140"/>
      <c r="Q711" s="34"/>
    </row>
    <row r="712" spans="2:18" s="21" customFormat="1" outlineLevel="1" x14ac:dyDescent="0.2">
      <c r="B712" s="140"/>
      <c r="C712" s="132"/>
      <c r="D712" s="140"/>
      <c r="E712" s="140"/>
      <c r="F712" s="140"/>
      <c r="G712" s="140"/>
      <c r="H712" s="19" t="s">
        <v>6</v>
      </c>
      <c r="I712" s="20">
        <f>SUM(J712:O712)</f>
        <v>10.5</v>
      </c>
      <c r="J712" s="22"/>
      <c r="K712" s="22">
        <v>0</v>
      </c>
      <c r="L712" s="22">
        <v>0</v>
      </c>
      <c r="M712" s="22">
        <v>10.5</v>
      </c>
      <c r="N712" s="22"/>
      <c r="O712" s="22"/>
      <c r="P712" s="140"/>
    </row>
    <row r="713" spans="2:18" s="21" customFormat="1" outlineLevel="1" x14ac:dyDescent="0.2">
      <c r="B713" s="141"/>
      <c r="C713" s="133"/>
      <c r="D713" s="141"/>
      <c r="E713" s="141"/>
      <c r="F713" s="141"/>
      <c r="G713" s="141"/>
      <c r="H713" s="19" t="s">
        <v>5</v>
      </c>
      <c r="I713" s="20"/>
      <c r="J713" s="22"/>
      <c r="K713" s="22"/>
      <c r="L713" s="22"/>
      <c r="M713" s="22"/>
      <c r="N713" s="22"/>
      <c r="O713" s="22"/>
      <c r="P713" s="141"/>
    </row>
    <row r="714" spans="2:18" s="21" customFormat="1" ht="42.75" outlineLevel="1" x14ac:dyDescent="0.2">
      <c r="B714" s="139" t="s">
        <v>406</v>
      </c>
      <c r="C714" s="139"/>
      <c r="D714" s="139" t="s">
        <v>47</v>
      </c>
      <c r="E714" s="139">
        <v>2024</v>
      </c>
      <c r="F714" s="139" t="s">
        <v>397</v>
      </c>
      <c r="G714" s="139" t="s">
        <v>63</v>
      </c>
      <c r="H714" s="19" t="s">
        <v>3</v>
      </c>
      <c r="I714" s="20">
        <f>SUM(J714:O714)</f>
        <v>12.8</v>
      </c>
      <c r="J714" s="22"/>
      <c r="K714" s="22">
        <f>K715+K716+K717</f>
        <v>0</v>
      </c>
      <c r="L714" s="22">
        <f>L715+L716+L717</f>
        <v>0</v>
      </c>
      <c r="M714" s="22">
        <f>M715+M716+M717</f>
        <v>0</v>
      </c>
      <c r="N714" s="22">
        <v>12.8</v>
      </c>
      <c r="O714" s="22">
        <f>O715+O716+O717</f>
        <v>0</v>
      </c>
      <c r="P714" s="139">
        <v>5191</v>
      </c>
    </row>
    <row r="715" spans="2:18" s="21" customFormat="1" outlineLevel="1" x14ac:dyDescent="0.2">
      <c r="B715" s="140"/>
      <c r="C715" s="132"/>
      <c r="D715" s="140"/>
      <c r="E715" s="140"/>
      <c r="F715" s="140"/>
      <c r="G715" s="140"/>
      <c r="H715" s="19" t="s">
        <v>4</v>
      </c>
      <c r="I715" s="20">
        <f t="shared" ref="I715:I721" si="209">SUM(J715:O715)</f>
        <v>0</v>
      </c>
      <c r="J715" s="22"/>
      <c r="K715" s="22"/>
      <c r="L715" s="22"/>
      <c r="M715" s="22"/>
      <c r="N715" s="22"/>
      <c r="O715" s="22"/>
      <c r="P715" s="140"/>
    </row>
    <row r="716" spans="2:18" s="21" customFormat="1" outlineLevel="1" x14ac:dyDescent="0.2">
      <c r="B716" s="140"/>
      <c r="C716" s="132"/>
      <c r="D716" s="140"/>
      <c r="E716" s="140"/>
      <c r="F716" s="140"/>
      <c r="G716" s="140"/>
      <c r="H716" s="19" t="s">
        <v>6</v>
      </c>
      <c r="I716" s="20">
        <f t="shared" si="209"/>
        <v>12.8</v>
      </c>
      <c r="J716" s="22"/>
      <c r="K716" s="22">
        <v>0</v>
      </c>
      <c r="L716" s="22">
        <v>0</v>
      </c>
      <c r="M716" s="22"/>
      <c r="N716" s="22">
        <v>12.8</v>
      </c>
      <c r="O716" s="22"/>
      <c r="P716" s="140"/>
    </row>
    <row r="717" spans="2:18" s="21" customFormat="1" outlineLevel="1" x14ac:dyDescent="0.2">
      <c r="B717" s="141"/>
      <c r="C717" s="133"/>
      <c r="D717" s="141"/>
      <c r="E717" s="141"/>
      <c r="F717" s="141"/>
      <c r="G717" s="141"/>
      <c r="H717" s="19" t="s">
        <v>5</v>
      </c>
      <c r="I717" s="20">
        <f t="shared" si="209"/>
        <v>0</v>
      </c>
      <c r="J717" s="22"/>
      <c r="K717" s="22"/>
      <c r="L717" s="22"/>
      <c r="M717" s="22"/>
      <c r="N717" s="22"/>
      <c r="O717" s="22"/>
      <c r="P717" s="141"/>
    </row>
    <row r="718" spans="2:18" s="21" customFormat="1" ht="42.75" outlineLevel="1" x14ac:dyDescent="0.2">
      <c r="B718" s="139" t="s">
        <v>407</v>
      </c>
      <c r="C718" s="139"/>
      <c r="D718" s="139" t="s">
        <v>47</v>
      </c>
      <c r="E718" s="139">
        <v>2025</v>
      </c>
      <c r="F718" s="139" t="s">
        <v>408</v>
      </c>
      <c r="G718" s="139" t="s">
        <v>63</v>
      </c>
      <c r="H718" s="19" t="s">
        <v>3</v>
      </c>
      <c r="I718" s="20">
        <f t="shared" si="209"/>
        <v>7.5</v>
      </c>
      <c r="J718" s="22"/>
      <c r="K718" s="22">
        <f>K719+K720+K721</f>
        <v>0</v>
      </c>
      <c r="L718" s="22">
        <f>L719+L720+L721</f>
        <v>0</v>
      </c>
      <c r="M718" s="22">
        <f>M719+M720+M721</f>
        <v>0</v>
      </c>
      <c r="N718" s="22">
        <v>0</v>
      </c>
      <c r="O718" s="22">
        <v>7.5</v>
      </c>
      <c r="P718" s="139">
        <v>5191</v>
      </c>
    </row>
    <row r="719" spans="2:18" s="21" customFormat="1" outlineLevel="1" x14ac:dyDescent="0.2">
      <c r="B719" s="140"/>
      <c r="C719" s="132"/>
      <c r="D719" s="140"/>
      <c r="E719" s="140"/>
      <c r="F719" s="140"/>
      <c r="G719" s="140"/>
      <c r="H719" s="19" t="s">
        <v>4</v>
      </c>
      <c r="I719" s="20">
        <f t="shared" si="209"/>
        <v>0</v>
      </c>
      <c r="J719" s="22"/>
      <c r="K719" s="22"/>
      <c r="L719" s="22"/>
      <c r="M719" s="22"/>
      <c r="N719" s="22"/>
      <c r="O719" s="22"/>
      <c r="P719" s="140"/>
    </row>
    <row r="720" spans="2:18" s="21" customFormat="1" outlineLevel="1" x14ac:dyDescent="0.2">
      <c r="B720" s="140"/>
      <c r="C720" s="132"/>
      <c r="D720" s="140"/>
      <c r="E720" s="140"/>
      <c r="F720" s="140"/>
      <c r="G720" s="140"/>
      <c r="H720" s="19" t="s">
        <v>6</v>
      </c>
      <c r="I720" s="20">
        <f t="shared" si="209"/>
        <v>7.5</v>
      </c>
      <c r="J720" s="22"/>
      <c r="K720" s="22">
        <v>0</v>
      </c>
      <c r="L720" s="22">
        <v>0</v>
      </c>
      <c r="M720" s="22"/>
      <c r="N720" s="22"/>
      <c r="O720" s="22">
        <v>7.5</v>
      </c>
      <c r="P720" s="140"/>
    </row>
    <row r="721" spans="2:17" s="21" customFormat="1" outlineLevel="1" x14ac:dyDescent="0.2">
      <c r="B721" s="141"/>
      <c r="C721" s="133"/>
      <c r="D721" s="141"/>
      <c r="E721" s="141"/>
      <c r="F721" s="141"/>
      <c r="G721" s="141"/>
      <c r="H721" s="19" t="s">
        <v>5</v>
      </c>
      <c r="I721" s="20">
        <f t="shared" si="209"/>
        <v>0</v>
      </c>
      <c r="J721" s="22"/>
      <c r="K721" s="22"/>
      <c r="L721" s="22"/>
      <c r="M721" s="22"/>
      <c r="N721" s="22"/>
      <c r="O721" s="22"/>
      <c r="P721" s="141"/>
    </row>
    <row r="722" spans="2:17" ht="42.75" x14ac:dyDescent="0.2">
      <c r="B722" s="128" t="s">
        <v>57</v>
      </c>
      <c r="C722" s="128" t="s">
        <v>38</v>
      </c>
      <c r="D722" s="128" t="s">
        <v>38</v>
      </c>
      <c r="E722" s="128" t="s">
        <v>38</v>
      </c>
      <c r="F722" s="128" t="s">
        <v>38</v>
      </c>
      <c r="G722" s="128" t="s">
        <v>38</v>
      </c>
      <c r="H722" s="84" t="s">
        <v>3</v>
      </c>
      <c r="I722" s="14">
        <f t="shared" ref="I722:O722" si="210">SUMIF($H$606:$H$721,"Объем*",I$606:I$721)</f>
        <v>953.09900000000005</v>
      </c>
      <c r="J722" s="14">
        <f t="shared" si="210"/>
        <v>20.57</v>
      </c>
      <c r="K722" s="14">
        <f t="shared" si="210"/>
        <v>10.73</v>
      </c>
      <c r="L722" s="14">
        <f t="shared" si="210"/>
        <v>51.6</v>
      </c>
      <c r="M722" s="14">
        <f t="shared" si="210"/>
        <v>842.899</v>
      </c>
      <c r="N722" s="14">
        <f t="shared" si="210"/>
        <v>19.8</v>
      </c>
      <c r="O722" s="14">
        <f t="shared" si="210"/>
        <v>7.5</v>
      </c>
      <c r="P722" s="128"/>
      <c r="Q722" s="7"/>
    </row>
    <row r="723" spans="2:17" ht="15.75" x14ac:dyDescent="0.2">
      <c r="B723" s="129"/>
      <c r="C723" s="129"/>
      <c r="D723" s="129"/>
      <c r="E723" s="129"/>
      <c r="F723" s="129"/>
      <c r="G723" s="129"/>
      <c r="H723" s="84" t="s">
        <v>4</v>
      </c>
      <c r="I723" s="14">
        <f t="shared" ref="I723:O723" si="211">SUMIF($H$606:$H$721,"фед*",I$606:I$721)</f>
        <v>255.41499999999999</v>
      </c>
      <c r="J723" s="14">
        <f t="shared" si="211"/>
        <v>0</v>
      </c>
      <c r="K723" s="14">
        <f t="shared" si="211"/>
        <v>0</v>
      </c>
      <c r="L723" s="14">
        <f t="shared" si="211"/>
        <v>0</v>
      </c>
      <c r="M723" s="14">
        <f t="shared" si="211"/>
        <v>255.41499999999999</v>
      </c>
      <c r="N723" s="14">
        <f t="shared" si="211"/>
        <v>0</v>
      </c>
      <c r="O723" s="14">
        <f t="shared" si="211"/>
        <v>0</v>
      </c>
      <c r="P723" s="129"/>
    </row>
    <row r="724" spans="2:17" ht="15.75" x14ac:dyDescent="0.2">
      <c r="B724" s="129"/>
      <c r="C724" s="129"/>
      <c r="D724" s="129"/>
      <c r="E724" s="129"/>
      <c r="F724" s="129"/>
      <c r="G724" s="129"/>
      <c r="H724" s="84" t="s">
        <v>6</v>
      </c>
      <c r="I724" s="14">
        <f t="shared" ref="I724:O724" si="212">SUMIF($H$606:$H$721,"конс*",I$606:I$721)</f>
        <v>697.68400000000008</v>
      </c>
      <c r="J724" s="14">
        <f t="shared" si="212"/>
        <v>20.57</v>
      </c>
      <c r="K724" s="14">
        <f t="shared" si="212"/>
        <v>10.73</v>
      </c>
      <c r="L724" s="14">
        <f t="shared" si="212"/>
        <v>51.6</v>
      </c>
      <c r="M724" s="14">
        <f t="shared" si="212"/>
        <v>587.48400000000004</v>
      </c>
      <c r="N724" s="14">
        <f t="shared" si="212"/>
        <v>19.8</v>
      </c>
      <c r="O724" s="14">
        <f t="shared" si="212"/>
        <v>7.5</v>
      </c>
      <c r="P724" s="129"/>
    </row>
    <row r="725" spans="2:17" ht="15.75" x14ac:dyDescent="0.2">
      <c r="B725" s="130"/>
      <c r="C725" s="130"/>
      <c r="D725" s="130"/>
      <c r="E725" s="130"/>
      <c r="F725" s="130"/>
      <c r="G725" s="130"/>
      <c r="H725" s="84" t="s">
        <v>5</v>
      </c>
      <c r="I725" s="14">
        <f t="shared" ref="I725:O725" si="213">SUMIF($H$606:$H$721,"вне*",I$606:I$721)</f>
        <v>0</v>
      </c>
      <c r="J725" s="14">
        <f t="shared" si="213"/>
        <v>0</v>
      </c>
      <c r="K725" s="14">
        <f t="shared" si="213"/>
        <v>0</v>
      </c>
      <c r="L725" s="14">
        <f t="shared" si="213"/>
        <v>0</v>
      </c>
      <c r="M725" s="14">
        <f t="shared" si="213"/>
        <v>0</v>
      </c>
      <c r="N725" s="14">
        <f t="shared" si="213"/>
        <v>0</v>
      </c>
      <c r="O725" s="14">
        <f t="shared" si="213"/>
        <v>0</v>
      </c>
      <c r="P725" s="130"/>
    </row>
    <row r="726" spans="2:17" ht="25.5" customHeight="1" x14ac:dyDescent="0.2">
      <c r="B726" s="111" t="s">
        <v>409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3"/>
    </row>
    <row r="727" spans="2:17" s="21" customFormat="1" ht="42.75" outlineLevel="1" x14ac:dyDescent="0.2">
      <c r="B727" s="139" t="s">
        <v>410</v>
      </c>
      <c r="C727" s="139"/>
      <c r="D727" s="139" t="s">
        <v>409</v>
      </c>
      <c r="E727" s="139">
        <v>2020</v>
      </c>
      <c r="F727" s="139">
        <v>1.2</v>
      </c>
      <c r="G727" s="139" t="s">
        <v>63</v>
      </c>
      <c r="H727" s="19" t="s">
        <v>3</v>
      </c>
      <c r="I727" s="20">
        <f>SUM(J727:O727)</f>
        <v>6.7</v>
      </c>
      <c r="J727" s="20">
        <f t="shared" ref="J727:N727" si="214">J728+J729+J730</f>
        <v>0</v>
      </c>
      <c r="K727" s="20">
        <f t="shared" si="214"/>
        <v>6.7</v>
      </c>
      <c r="L727" s="20">
        <f t="shared" si="214"/>
        <v>0</v>
      </c>
      <c r="M727" s="20">
        <f t="shared" si="214"/>
        <v>0</v>
      </c>
      <c r="N727" s="20">
        <f t="shared" si="214"/>
        <v>0</v>
      </c>
      <c r="O727" s="20"/>
      <c r="P727" s="139"/>
    </row>
    <row r="728" spans="2:17" s="21" customFormat="1" outlineLevel="1" x14ac:dyDescent="0.2">
      <c r="B728" s="140"/>
      <c r="C728" s="132"/>
      <c r="D728" s="140"/>
      <c r="E728" s="140"/>
      <c r="F728" s="140"/>
      <c r="G728" s="140"/>
      <c r="H728" s="19" t="s">
        <v>4</v>
      </c>
      <c r="I728" s="20">
        <f t="shared" ref="I728:I738" si="215">SUM(J728:O728)</f>
        <v>0</v>
      </c>
      <c r="J728" s="20"/>
      <c r="K728" s="20"/>
      <c r="L728" s="20"/>
      <c r="M728" s="20"/>
      <c r="N728" s="20"/>
      <c r="O728" s="20"/>
      <c r="P728" s="140"/>
    </row>
    <row r="729" spans="2:17" s="21" customFormat="1" outlineLevel="1" x14ac:dyDescent="0.2">
      <c r="B729" s="140"/>
      <c r="C729" s="132"/>
      <c r="D729" s="140"/>
      <c r="E729" s="140"/>
      <c r="F729" s="140"/>
      <c r="G729" s="140"/>
      <c r="H729" s="19" t="s">
        <v>6</v>
      </c>
      <c r="I729" s="20">
        <f t="shared" si="215"/>
        <v>6.7</v>
      </c>
      <c r="J729" s="20"/>
      <c r="K729" s="20">
        <v>6.7</v>
      </c>
      <c r="L729" s="20"/>
      <c r="M729" s="20"/>
      <c r="N729" s="20"/>
      <c r="O729" s="20"/>
      <c r="P729" s="140"/>
    </row>
    <row r="730" spans="2:17" s="21" customFormat="1" outlineLevel="1" x14ac:dyDescent="0.2">
      <c r="B730" s="141"/>
      <c r="C730" s="133"/>
      <c r="D730" s="141"/>
      <c r="E730" s="141"/>
      <c r="F730" s="141"/>
      <c r="G730" s="141"/>
      <c r="H730" s="19" t="s">
        <v>5</v>
      </c>
      <c r="I730" s="20">
        <f t="shared" si="215"/>
        <v>0</v>
      </c>
      <c r="J730" s="20"/>
      <c r="K730" s="20"/>
      <c r="L730" s="20"/>
      <c r="M730" s="20"/>
      <c r="N730" s="20"/>
      <c r="O730" s="20"/>
      <c r="P730" s="141"/>
    </row>
    <row r="731" spans="2:17" s="21" customFormat="1" ht="42.75" outlineLevel="1" x14ac:dyDescent="0.2">
      <c r="B731" s="139" t="s">
        <v>411</v>
      </c>
      <c r="C731" s="139"/>
      <c r="D731" s="139" t="s">
        <v>409</v>
      </c>
      <c r="E731" s="139">
        <v>2020</v>
      </c>
      <c r="F731" s="139">
        <v>1.6</v>
      </c>
      <c r="G731" s="139" t="s">
        <v>63</v>
      </c>
      <c r="H731" s="19" t="s">
        <v>3</v>
      </c>
      <c r="I731" s="20">
        <f t="shared" si="215"/>
        <v>0.6</v>
      </c>
      <c r="J731" s="20">
        <f t="shared" ref="J731:N731" si="216">J732+J733+J734</f>
        <v>0.6</v>
      </c>
      <c r="K731" s="20">
        <f t="shared" si="216"/>
        <v>0</v>
      </c>
      <c r="L731" s="20">
        <f t="shared" si="216"/>
        <v>0</v>
      </c>
      <c r="M731" s="20">
        <f t="shared" si="216"/>
        <v>0</v>
      </c>
      <c r="N731" s="20">
        <f t="shared" si="216"/>
        <v>0</v>
      </c>
      <c r="O731" s="20"/>
      <c r="P731" s="139"/>
    </row>
    <row r="732" spans="2:17" s="21" customFormat="1" outlineLevel="1" x14ac:dyDescent="0.2">
      <c r="B732" s="140"/>
      <c r="C732" s="132"/>
      <c r="D732" s="140"/>
      <c r="E732" s="140"/>
      <c r="F732" s="140"/>
      <c r="G732" s="140"/>
      <c r="H732" s="19" t="s">
        <v>4</v>
      </c>
      <c r="I732" s="20">
        <f t="shared" si="215"/>
        <v>0</v>
      </c>
      <c r="J732" s="20"/>
      <c r="K732" s="20"/>
      <c r="L732" s="20"/>
      <c r="M732" s="20"/>
      <c r="N732" s="20"/>
      <c r="O732" s="20"/>
      <c r="P732" s="140"/>
    </row>
    <row r="733" spans="2:17" s="21" customFormat="1" outlineLevel="1" x14ac:dyDescent="0.2">
      <c r="B733" s="140"/>
      <c r="C733" s="132"/>
      <c r="D733" s="140"/>
      <c r="E733" s="140"/>
      <c r="F733" s="140"/>
      <c r="G733" s="140"/>
      <c r="H733" s="19" t="s">
        <v>6</v>
      </c>
      <c r="I733" s="20">
        <f t="shared" si="215"/>
        <v>0.6</v>
      </c>
      <c r="J733" s="20">
        <v>0.6</v>
      </c>
      <c r="K733" s="20"/>
      <c r="L733" s="20"/>
      <c r="M733" s="20"/>
      <c r="N733" s="20"/>
      <c r="O733" s="20"/>
      <c r="P733" s="140"/>
    </row>
    <row r="734" spans="2:17" s="21" customFormat="1" outlineLevel="1" x14ac:dyDescent="0.2">
      <c r="B734" s="141"/>
      <c r="C734" s="133"/>
      <c r="D734" s="141"/>
      <c r="E734" s="141"/>
      <c r="F734" s="141"/>
      <c r="G734" s="141"/>
      <c r="H734" s="19" t="s">
        <v>5</v>
      </c>
      <c r="I734" s="20">
        <f t="shared" si="215"/>
        <v>0</v>
      </c>
      <c r="J734" s="20"/>
      <c r="K734" s="20"/>
      <c r="L734" s="20"/>
      <c r="M734" s="20"/>
      <c r="N734" s="20"/>
      <c r="O734" s="20"/>
      <c r="P734" s="141"/>
    </row>
    <row r="735" spans="2:17" s="21" customFormat="1" ht="42.75" outlineLevel="1" x14ac:dyDescent="0.2">
      <c r="B735" s="139" t="s">
        <v>412</v>
      </c>
      <c r="C735" s="139"/>
      <c r="D735" s="139" t="s">
        <v>409</v>
      </c>
      <c r="E735" s="139" t="s">
        <v>319</v>
      </c>
      <c r="F735" s="139" t="s">
        <v>413</v>
      </c>
      <c r="G735" s="139" t="s">
        <v>63</v>
      </c>
      <c r="H735" s="19" t="s">
        <v>3</v>
      </c>
      <c r="I735" s="20">
        <f t="shared" si="215"/>
        <v>6.7</v>
      </c>
      <c r="J735" s="20">
        <f t="shared" ref="J735:N735" si="217">J736+J737+J738</f>
        <v>6.7</v>
      </c>
      <c r="K735" s="20">
        <f t="shared" si="217"/>
        <v>0</v>
      </c>
      <c r="L735" s="20">
        <f t="shared" si="217"/>
        <v>0</v>
      </c>
      <c r="M735" s="20">
        <f t="shared" si="217"/>
        <v>0</v>
      </c>
      <c r="N735" s="20">
        <f t="shared" si="217"/>
        <v>0</v>
      </c>
      <c r="O735" s="20">
        <v>0</v>
      </c>
      <c r="P735" s="139"/>
    </row>
    <row r="736" spans="2:17" s="21" customFormat="1" outlineLevel="1" x14ac:dyDescent="0.2">
      <c r="B736" s="140"/>
      <c r="C736" s="132"/>
      <c r="D736" s="140"/>
      <c r="E736" s="140"/>
      <c r="F736" s="140"/>
      <c r="G736" s="140"/>
      <c r="H736" s="19" t="s">
        <v>4</v>
      </c>
      <c r="I736" s="20">
        <f t="shared" si="215"/>
        <v>0</v>
      </c>
      <c r="J736" s="20"/>
      <c r="K736" s="20"/>
      <c r="L736" s="20"/>
      <c r="M736" s="20"/>
      <c r="N736" s="20"/>
      <c r="O736" s="20"/>
      <c r="P736" s="140"/>
    </row>
    <row r="737" spans="2:16" s="21" customFormat="1" outlineLevel="1" x14ac:dyDescent="0.2">
      <c r="B737" s="140"/>
      <c r="C737" s="132"/>
      <c r="D737" s="140"/>
      <c r="E737" s="140"/>
      <c r="F737" s="140"/>
      <c r="G737" s="140"/>
      <c r="H737" s="19" t="s">
        <v>6</v>
      </c>
      <c r="I737" s="20">
        <f t="shared" si="215"/>
        <v>6.7</v>
      </c>
      <c r="J737" s="20">
        <v>6.7</v>
      </c>
      <c r="K737" s="20"/>
      <c r="L737" s="20"/>
      <c r="M737" s="20"/>
      <c r="N737" s="20"/>
      <c r="O737" s="20"/>
      <c r="P737" s="140"/>
    </row>
    <row r="738" spans="2:16" s="21" customFormat="1" outlineLevel="1" x14ac:dyDescent="0.2">
      <c r="B738" s="141"/>
      <c r="C738" s="133"/>
      <c r="D738" s="141"/>
      <c r="E738" s="141"/>
      <c r="F738" s="141"/>
      <c r="G738" s="141"/>
      <c r="H738" s="19" t="s">
        <v>5</v>
      </c>
      <c r="I738" s="20">
        <f t="shared" si="215"/>
        <v>0</v>
      </c>
      <c r="J738" s="20"/>
      <c r="K738" s="20"/>
      <c r="L738" s="20"/>
      <c r="M738" s="20"/>
      <c r="N738" s="20"/>
      <c r="O738" s="20"/>
      <c r="P738" s="141"/>
    </row>
    <row r="739" spans="2:16" ht="42.75" x14ac:dyDescent="0.2">
      <c r="B739" s="128" t="s">
        <v>414</v>
      </c>
      <c r="C739" s="128" t="s">
        <v>38</v>
      </c>
      <c r="D739" s="128" t="s">
        <v>38</v>
      </c>
      <c r="E739" s="128" t="s">
        <v>38</v>
      </c>
      <c r="F739" s="128" t="s">
        <v>38</v>
      </c>
      <c r="G739" s="128" t="s">
        <v>38</v>
      </c>
      <c r="H739" s="84" t="s">
        <v>3</v>
      </c>
      <c r="I739" s="14">
        <f t="shared" ref="I739:O739" si="218">SUMIF($H$727:$H$738,"Объем*",I$727:I$738)</f>
        <v>14</v>
      </c>
      <c r="J739" s="14">
        <f t="shared" si="218"/>
        <v>7.3</v>
      </c>
      <c r="K739" s="14">
        <f t="shared" si="218"/>
        <v>6.7</v>
      </c>
      <c r="L739" s="14">
        <f t="shared" si="218"/>
        <v>0</v>
      </c>
      <c r="M739" s="14">
        <f t="shared" si="218"/>
        <v>0</v>
      </c>
      <c r="N739" s="14">
        <f t="shared" si="218"/>
        <v>0</v>
      </c>
      <c r="O739" s="14">
        <f t="shared" si="218"/>
        <v>0</v>
      </c>
      <c r="P739" s="128"/>
    </row>
    <row r="740" spans="2:16" ht="15.75" x14ac:dyDescent="0.2">
      <c r="B740" s="129"/>
      <c r="C740" s="129"/>
      <c r="D740" s="129"/>
      <c r="E740" s="129"/>
      <c r="F740" s="129"/>
      <c r="G740" s="129"/>
      <c r="H740" s="84" t="s">
        <v>4</v>
      </c>
      <c r="I740" s="14">
        <f t="shared" ref="I740:O740" si="219">SUMIF($H$727:$H$738,"фед*",I$727:I$738)</f>
        <v>0</v>
      </c>
      <c r="J740" s="14">
        <f t="shared" si="219"/>
        <v>0</v>
      </c>
      <c r="K740" s="14">
        <f t="shared" si="219"/>
        <v>0</v>
      </c>
      <c r="L740" s="14">
        <f t="shared" si="219"/>
        <v>0</v>
      </c>
      <c r="M740" s="14">
        <f t="shared" si="219"/>
        <v>0</v>
      </c>
      <c r="N740" s="14">
        <f t="shared" si="219"/>
        <v>0</v>
      </c>
      <c r="O740" s="14">
        <f t="shared" si="219"/>
        <v>0</v>
      </c>
      <c r="P740" s="129"/>
    </row>
    <row r="741" spans="2:16" ht="15.75" x14ac:dyDescent="0.2">
      <c r="B741" s="129"/>
      <c r="C741" s="129"/>
      <c r="D741" s="129"/>
      <c r="E741" s="129"/>
      <c r="F741" s="129"/>
      <c r="G741" s="129"/>
      <c r="H741" s="84" t="s">
        <v>6</v>
      </c>
      <c r="I741" s="14">
        <f t="shared" ref="I741:O741" si="220">SUMIF($H$727:$H$738,"конс*",I$727:I$738)</f>
        <v>14</v>
      </c>
      <c r="J741" s="14">
        <f t="shared" si="220"/>
        <v>7.3</v>
      </c>
      <c r="K741" s="14">
        <f t="shared" si="220"/>
        <v>6.7</v>
      </c>
      <c r="L741" s="14">
        <f t="shared" si="220"/>
        <v>0</v>
      </c>
      <c r="M741" s="14">
        <f t="shared" si="220"/>
        <v>0</v>
      </c>
      <c r="N741" s="14">
        <f t="shared" si="220"/>
        <v>0</v>
      </c>
      <c r="O741" s="14">
        <f t="shared" si="220"/>
        <v>0</v>
      </c>
      <c r="P741" s="129"/>
    </row>
    <row r="742" spans="2:16" ht="15.75" x14ac:dyDescent="0.2">
      <c r="B742" s="130"/>
      <c r="C742" s="130"/>
      <c r="D742" s="130"/>
      <c r="E742" s="130"/>
      <c r="F742" s="130"/>
      <c r="G742" s="130"/>
      <c r="H742" s="84" t="s">
        <v>5</v>
      </c>
      <c r="I742" s="14">
        <f t="shared" ref="I742:O742" si="221">SUMIF($H$727:$H$738,"вне*",I$727:I$738)</f>
        <v>0</v>
      </c>
      <c r="J742" s="14">
        <f t="shared" si="221"/>
        <v>0</v>
      </c>
      <c r="K742" s="14">
        <f t="shared" si="221"/>
        <v>0</v>
      </c>
      <c r="L742" s="14">
        <f t="shared" si="221"/>
        <v>0</v>
      </c>
      <c r="M742" s="14">
        <f t="shared" si="221"/>
        <v>0</v>
      </c>
      <c r="N742" s="14">
        <f t="shared" si="221"/>
        <v>0</v>
      </c>
      <c r="O742" s="14">
        <f t="shared" si="221"/>
        <v>0</v>
      </c>
      <c r="P742" s="130"/>
    </row>
    <row r="743" spans="2:16" ht="25.5" customHeight="1" x14ac:dyDescent="0.2">
      <c r="B743" s="111" t="s">
        <v>58</v>
      </c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3"/>
    </row>
    <row r="744" spans="2:16" s="21" customFormat="1" ht="49.5" customHeight="1" outlineLevel="1" x14ac:dyDescent="0.2">
      <c r="B744" s="139" t="s">
        <v>415</v>
      </c>
      <c r="C744" s="139"/>
      <c r="D744" s="139" t="s">
        <v>58</v>
      </c>
      <c r="E744" s="139">
        <v>2024</v>
      </c>
      <c r="F744" s="139" t="s">
        <v>416</v>
      </c>
      <c r="G744" s="139" t="s">
        <v>83</v>
      </c>
      <c r="H744" s="19" t="s">
        <v>3</v>
      </c>
      <c r="I744" s="20">
        <f t="shared" ref="I744:I767" si="222">SUM(J744:O744)</f>
        <v>2.2999999999999998</v>
      </c>
      <c r="J744" s="20">
        <f t="shared" ref="J744:O744" si="223">J745+J746+J747</f>
        <v>0</v>
      </c>
      <c r="K744" s="20">
        <f t="shared" si="223"/>
        <v>0</v>
      </c>
      <c r="L744" s="20">
        <f t="shared" si="223"/>
        <v>0</v>
      </c>
      <c r="M744" s="20">
        <f t="shared" si="223"/>
        <v>0</v>
      </c>
      <c r="N744" s="20">
        <f t="shared" si="223"/>
        <v>2.2999999999999998</v>
      </c>
      <c r="O744" s="20">
        <f t="shared" si="223"/>
        <v>0</v>
      </c>
      <c r="P744" s="139"/>
    </row>
    <row r="745" spans="2:16" s="21" customFormat="1" ht="24" customHeight="1" outlineLevel="1" x14ac:dyDescent="0.2">
      <c r="B745" s="140"/>
      <c r="C745" s="132"/>
      <c r="D745" s="140"/>
      <c r="E745" s="140"/>
      <c r="F745" s="140"/>
      <c r="G745" s="140"/>
      <c r="H745" s="19" t="s">
        <v>4</v>
      </c>
      <c r="I745" s="20">
        <f t="shared" si="222"/>
        <v>0</v>
      </c>
      <c r="J745" s="20"/>
      <c r="K745" s="20"/>
      <c r="L745" s="20"/>
      <c r="M745" s="20"/>
      <c r="N745" s="20"/>
      <c r="O745" s="20"/>
      <c r="P745" s="140"/>
    </row>
    <row r="746" spans="2:16" s="21" customFormat="1" ht="24" customHeight="1" outlineLevel="1" x14ac:dyDescent="0.2">
      <c r="B746" s="140"/>
      <c r="C746" s="132"/>
      <c r="D746" s="140"/>
      <c r="E746" s="140"/>
      <c r="F746" s="140"/>
      <c r="G746" s="140"/>
      <c r="H746" s="19" t="s">
        <v>6</v>
      </c>
      <c r="I746" s="20">
        <f t="shared" si="222"/>
        <v>2.2999999999999998</v>
      </c>
      <c r="J746" s="20"/>
      <c r="K746" s="20"/>
      <c r="L746" s="20"/>
      <c r="M746" s="20"/>
      <c r="N746" s="20">
        <v>2.2999999999999998</v>
      </c>
      <c r="O746" s="20"/>
      <c r="P746" s="140"/>
    </row>
    <row r="747" spans="2:16" s="21" customFormat="1" ht="24" customHeight="1" outlineLevel="1" x14ac:dyDescent="0.2">
      <c r="B747" s="141"/>
      <c r="C747" s="133"/>
      <c r="D747" s="141"/>
      <c r="E747" s="141"/>
      <c r="F747" s="141"/>
      <c r="G747" s="141"/>
      <c r="H747" s="19" t="s">
        <v>5</v>
      </c>
      <c r="I747" s="20">
        <f t="shared" si="222"/>
        <v>0</v>
      </c>
      <c r="J747" s="20"/>
      <c r="K747" s="20"/>
      <c r="L747" s="20"/>
      <c r="M747" s="20"/>
      <c r="N747" s="20"/>
      <c r="O747" s="20"/>
      <c r="P747" s="141"/>
    </row>
    <row r="748" spans="2:16" s="21" customFormat="1" ht="57.75" customHeight="1" outlineLevel="1" x14ac:dyDescent="0.2">
      <c r="B748" s="139" t="s">
        <v>417</v>
      </c>
      <c r="C748" s="139"/>
      <c r="D748" s="139" t="s">
        <v>418</v>
      </c>
      <c r="E748" s="117">
        <v>2024</v>
      </c>
      <c r="F748" s="139"/>
      <c r="G748" s="139" t="s">
        <v>419</v>
      </c>
      <c r="H748" s="19" t="s">
        <v>3</v>
      </c>
      <c r="I748" s="20">
        <f t="shared" si="222"/>
        <v>15</v>
      </c>
      <c r="J748" s="20">
        <f t="shared" ref="J748:L748" si="224">J749+J750+J751</f>
        <v>0</v>
      </c>
      <c r="K748" s="20">
        <f t="shared" si="224"/>
        <v>0</v>
      </c>
      <c r="L748" s="20">
        <f t="shared" si="224"/>
        <v>0</v>
      </c>
      <c r="M748" s="20"/>
      <c r="N748" s="20">
        <f t="shared" ref="N748:O748" si="225">N749+N750+N751</f>
        <v>15</v>
      </c>
      <c r="O748" s="20">
        <f t="shared" si="225"/>
        <v>0</v>
      </c>
      <c r="P748" s="139"/>
    </row>
    <row r="749" spans="2:16" s="21" customFormat="1" outlineLevel="1" x14ac:dyDescent="0.2">
      <c r="B749" s="140"/>
      <c r="C749" s="132"/>
      <c r="D749" s="140"/>
      <c r="E749" s="118"/>
      <c r="F749" s="140"/>
      <c r="G749" s="140"/>
      <c r="H749" s="19" t="s">
        <v>4</v>
      </c>
      <c r="I749" s="20">
        <f t="shared" si="222"/>
        <v>15</v>
      </c>
      <c r="J749" s="20"/>
      <c r="K749" s="20"/>
      <c r="L749" s="20"/>
      <c r="M749" s="20"/>
      <c r="N749" s="20">
        <v>15</v>
      </c>
      <c r="O749" s="20"/>
      <c r="P749" s="140"/>
    </row>
    <row r="750" spans="2:16" s="21" customFormat="1" outlineLevel="1" x14ac:dyDescent="0.2">
      <c r="B750" s="140"/>
      <c r="C750" s="132"/>
      <c r="D750" s="140"/>
      <c r="E750" s="118"/>
      <c r="F750" s="140"/>
      <c r="G750" s="140"/>
      <c r="H750" s="19" t="s">
        <v>6</v>
      </c>
      <c r="I750" s="20">
        <f t="shared" si="222"/>
        <v>0</v>
      </c>
      <c r="J750" s="20"/>
      <c r="K750" s="20"/>
      <c r="L750" s="20"/>
      <c r="M750" s="20"/>
      <c r="N750" s="20"/>
      <c r="O750" s="20"/>
      <c r="P750" s="140"/>
    </row>
    <row r="751" spans="2:16" s="21" customFormat="1" outlineLevel="1" x14ac:dyDescent="0.2">
      <c r="B751" s="141"/>
      <c r="C751" s="133"/>
      <c r="D751" s="141"/>
      <c r="E751" s="119"/>
      <c r="F751" s="141"/>
      <c r="G751" s="141"/>
      <c r="H751" s="19" t="s">
        <v>5</v>
      </c>
      <c r="I751" s="20">
        <f t="shared" si="222"/>
        <v>0</v>
      </c>
      <c r="J751" s="20"/>
      <c r="K751" s="20"/>
      <c r="L751" s="20"/>
      <c r="M751" s="20"/>
      <c r="N751" s="20"/>
      <c r="O751" s="20"/>
      <c r="P751" s="141"/>
    </row>
    <row r="752" spans="2:16" s="21" customFormat="1" ht="78.75" customHeight="1" outlineLevel="1" x14ac:dyDescent="0.2">
      <c r="B752" s="139" t="s">
        <v>420</v>
      </c>
      <c r="C752" s="139" t="s">
        <v>421</v>
      </c>
      <c r="D752" s="139" t="s">
        <v>58</v>
      </c>
      <c r="E752" s="117">
        <v>2023</v>
      </c>
      <c r="F752" s="139" t="s">
        <v>422</v>
      </c>
      <c r="G752" s="139" t="s">
        <v>63</v>
      </c>
      <c r="H752" s="19" t="s">
        <v>3</v>
      </c>
      <c r="I752" s="20">
        <f t="shared" si="222"/>
        <v>35</v>
      </c>
      <c r="J752" s="20">
        <f t="shared" ref="J752:O752" si="226">J753+J754+J755</f>
        <v>0</v>
      </c>
      <c r="K752" s="20">
        <f t="shared" si="226"/>
        <v>0</v>
      </c>
      <c r="L752" s="20">
        <f t="shared" si="226"/>
        <v>0</v>
      </c>
      <c r="M752" s="20">
        <f t="shared" si="226"/>
        <v>35</v>
      </c>
      <c r="N752" s="20">
        <f t="shared" si="226"/>
        <v>0</v>
      </c>
      <c r="O752" s="20">
        <f t="shared" si="226"/>
        <v>0</v>
      </c>
      <c r="P752" s="139">
        <v>700</v>
      </c>
    </row>
    <row r="753" spans="2:17" s="21" customFormat="1" outlineLevel="1" x14ac:dyDescent="0.2">
      <c r="B753" s="140"/>
      <c r="C753" s="132"/>
      <c r="D753" s="140"/>
      <c r="E753" s="118"/>
      <c r="F753" s="140"/>
      <c r="G753" s="140"/>
      <c r="H753" s="19" t="s">
        <v>4</v>
      </c>
      <c r="I753" s="20">
        <f t="shared" si="222"/>
        <v>0</v>
      </c>
      <c r="J753" s="20"/>
      <c r="K753" s="20"/>
      <c r="L753" s="20"/>
      <c r="M753" s="20"/>
      <c r="N753" s="20"/>
      <c r="O753" s="20"/>
      <c r="P753" s="140"/>
    </row>
    <row r="754" spans="2:17" s="21" customFormat="1" outlineLevel="1" x14ac:dyDescent="0.2">
      <c r="B754" s="140"/>
      <c r="C754" s="132"/>
      <c r="D754" s="140"/>
      <c r="E754" s="118"/>
      <c r="F754" s="140"/>
      <c r="G754" s="140"/>
      <c r="H754" s="19" t="s">
        <v>6</v>
      </c>
      <c r="I754" s="20">
        <f t="shared" si="222"/>
        <v>35</v>
      </c>
      <c r="J754" s="20"/>
      <c r="K754" s="20"/>
      <c r="L754" s="20"/>
      <c r="M754" s="20">
        <v>35</v>
      </c>
      <c r="N754" s="20"/>
      <c r="O754" s="20"/>
      <c r="P754" s="140"/>
    </row>
    <row r="755" spans="2:17" s="21" customFormat="1" outlineLevel="1" x14ac:dyDescent="0.2">
      <c r="B755" s="141"/>
      <c r="C755" s="133"/>
      <c r="D755" s="141"/>
      <c r="E755" s="119"/>
      <c r="F755" s="141"/>
      <c r="G755" s="141"/>
      <c r="H755" s="19" t="s">
        <v>5</v>
      </c>
      <c r="I755" s="20">
        <f t="shared" si="222"/>
        <v>0</v>
      </c>
      <c r="J755" s="20"/>
      <c r="K755" s="20"/>
      <c r="L755" s="20"/>
      <c r="M755" s="20"/>
      <c r="N755" s="20"/>
      <c r="O755" s="20"/>
      <c r="P755" s="141"/>
    </row>
    <row r="756" spans="2:17" s="21" customFormat="1" ht="42.75" outlineLevel="1" x14ac:dyDescent="0.2">
      <c r="B756" s="139" t="s">
        <v>423</v>
      </c>
      <c r="C756" s="139" t="s">
        <v>424</v>
      </c>
      <c r="D756" s="139" t="s">
        <v>58</v>
      </c>
      <c r="E756" s="117" t="s">
        <v>209</v>
      </c>
      <c r="F756" s="139" t="s">
        <v>425</v>
      </c>
      <c r="G756" s="139" t="s">
        <v>63</v>
      </c>
      <c r="H756" s="19" t="s">
        <v>3</v>
      </c>
      <c r="I756" s="20">
        <f t="shared" si="222"/>
        <v>53.4</v>
      </c>
      <c r="J756" s="20">
        <f>J757+J758+J759</f>
        <v>0</v>
      </c>
      <c r="K756" s="20">
        <f t="shared" ref="K756:N756" si="227">K757+K758+K759</f>
        <v>0</v>
      </c>
      <c r="L756" s="20">
        <f t="shared" si="227"/>
        <v>0</v>
      </c>
      <c r="M756" s="20">
        <f t="shared" si="227"/>
        <v>30</v>
      </c>
      <c r="N756" s="20">
        <f t="shared" si="227"/>
        <v>23.4</v>
      </c>
      <c r="O756" s="20"/>
      <c r="P756" s="139">
        <v>1215</v>
      </c>
    </row>
    <row r="757" spans="2:17" s="21" customFormat="1" outlineLevel="1" x14ac:dyDescent="0.2">
      <c r="B757" s="140"/>
      <c r="C757" s="132"/>
      <c r="D757" s="140"/>
      <c r="E757" s="118"/>
      <c r="F757" s="140"/>
      <c r="G757" s="140"/>
      <c r="H757" s="19" t="s">
        <v>4</v>
      </c>
      <c r="I757" s="20">
        <f t="shared" si="222"/>
        <v>0</v>
      </c>
      <c r="J757" s="20"/>
      <c r="K757" s="20"/>
      <c r="L757" s="20"/>
      <c r="M757" s="20"/>
      <c r="N757" s="20"/>
      <c r="O757" s="20"/>
      <c r="P757" s="140"/>
    </row>
    <row r="758" spans="2:17" s="21" customFormat="1" outlineLevel="1" x14ac:dyDescent="0.2">
      <c r="B758" s="140"/>
      <c r="C758" s="132"/>
      <c r="D758" s="140"/>
      <c r="E758" s="118"/>
      <c r="F758" s="140"/>
      <c r="G758" s="140"/>
      <c r="H758" s="19" t="s">
        <v>6</v>
      </c>
      <c r="I758" s="20">
        <f t="shared" si="222"/>
        <v>53.4</v>
      </c>
      <c r="J758" s="20"/>
      <c r="K758" s="20"/>
      <c r="L758" s="20"/>
      <c r="M758" s="20">
        <v>30</v>
      </c>
      <c r="N758" s="20">
        <v>23.4</v>
      </c>
      <c r="O758" s="20"/>
      <c r="P758" s="140"/>
    </row>
    <row r="759" spans="2:17" s="21" customFormat="1" outlineLevel="1" x14ac:dyDescent="0.2">
      <c r="B759" s="141"/>
      <c r="C759" s="133"/>
      <c r="D759" s="141"/>
      <c r="E759" s="119"/>
      <c r="F759" s="141"/>
      <c r="G759" s="141"/>
      <c r="H759" s="19" t="s">
        <v>5</v>
      </c>
      <c r="I759" s="20">
        <f t="shared" si="222"/>
        <v>0</v>
      </c>
      <c r="J759" s="20"/>
      <c r="K759" s="20"/>
      <c r="L759" s="20"/>
      <c r="M759" s="20"/>
      <c r="N759" s="20"/>
      <c r="O759" s="20"/>
      <c r="P759" s="141"/>
    </row>
    <row r="760" spans="2:17" s="21" customFormat="1" ht="42.75" outlineLevel="1" x14ac:dyDescent="0.2">
      <c r="B760" s="139" t="s">
        <v>426</v>
      </c>
      <c r="C760" s="139"/>
      <c r="D760" s="139" t="s">
        <v>58</v>
      </c>
      <c r="E760" s="117">
        <v>2022</v>
      </c>
      <c r="F760" s="139"/>
      <c r="G760" s="139" t="s">
        <v>427</v>
      </c>
      <c r="H760" s="19" t="s">
        <v>3</v>
      </c>
      <c r="I760" s="20">
        <f t="shared" si="222"/>
        <v>13.1</v>
      </c>
      <c r="J760" s="20">
        <f>J761+J762+J763</f>
        <v>0</v>
      </c>
      <c r="K760" s="20">
        <f t="shared" ref="K760:N760" si="228">K761+K762+K763</f>
        <v>0</v>
      </c>
      <c r="L760" s="20">
        <f t="shared" si="228"/>
        <v>13.1</v>
      </c>
      <c r="M760" s="20">
        <f t="shared" si="228"/>
        <v>0</v>
      </c>
      <c r="N760" s="20">
        <f t="shared" si="228"/>
        <v>0</v>
      </c>
      <c r="O760" s="20"/>
      <c r="P760" s="139"/>
    </row>
    <row r="761" spans="2:17" s="21" customFormat="1" outlineLevel="1" x14ac:dyDescent="0.2">
      <c r="B761" s="140"/>
      <c r="C761" s="140"/>
      <c r="D761" s="140"/>
      <c r="E761" s="118"/>
      <c r="F761" s="140"/>
      <c r="G761" s="140"/>
      <c r="H761" s="19" t="s">
        <v>4</v>
      </c>
      <c r="I761" s="20">
        <f t="shared" si="222"/>
        <v>0</v>
      </c>
      <c r="J761" s="20"/>
      <c r="K761" s="20"/>
      <c r="L761" s="20"/>
      <c r="M761" s="20"/>
      <c r="N761" s="20"/>
      <c r="O761" s="20"/>
      <c r="P761" s="140"/>
    </row>
    <row r="762" spans="2:17" s="21" customFormat="1" outlineLevel="1" x14ac:dyDescent="0.2">
      <c r="B762" s="140"/>
      <c r="C762" s="140"/>
      <c r="D762" s="140"/>
      <c r="E762" s="118"/>
      <c r="F762" s="140"/>
      <c r="G762" s="140"/>
      <c r="H762" s="19" t="s">
        <v>6</v>
      </c>
      <c r="I762" s="20">
        <f t="shared" si="222"/>
        <v>13.1</v>
      </c>
      <c r="J762" s="20"/>
      <c r="K762" s="20"/>
      <c r="L762" s="20">
        <v>13.1</v>
      </c>
      <c r="M762" s="20"/>
      <c r="N762" s="20"/>
      <c r="O762" s="20"/>
      <c r="P762" s="140"/>
    </row>
    <row r="763" spans="2:17" s="21" customFormat="1" outlineLevel="1" x14ac:dyDescent="0.2">
      <c r="B763" s="141"/>
      <c r="C763" s="141"/>
      <c r="D763" s="141"/>
      <c r="E763" s="119"/>
      <c r="F763" s="141"/>
      <c r="G763" s="141"/>
      <c r="H763" s="19" t="s">
        <v>5</v>
      </c>
      <c r="I763" s="20">
        <f t="shared" si="222"/>
        <v>0</v>
      </c>
      <c r="J763" s="20"/>
      <c r="K763" s="20"/>
      <c r="L763" s="20"/>
      <c r="M763" s="20"/>
      <c r="N763" s="20"/>
      <c r="O763" s="20"/>
      <c r="P763" s="141"/>
    </row>
    <row r="764" spans="2:17" s="21" customFormat="1" ht="90" customHeight="1" outlineLevel="1" x14ac:dyDescent="0.2">
      <c r="B764" s="139" t="s">
        <v>428</v>
      </c>
      <c r="C764" s="139" t="s">
        <v>429</v>
      </c>
      <c r="D764" s="139" t="s">
        <v>58</v>
      </c>
      <c r="E764" s="117" t="s">
        <v>209</v>
      </c>
      <c r="F764" s="139" t="s">
        <v>425</v>
      </c>
      <c r="G764" s="139" t="s">
        <v>63</v>
      </c>
      <c r="H764" s="19" t="s">
        <v>3</v>
      </c>
      <c r="I764" s="20">
        <f t="shared" si="222"/>
        <v>10</v>
      </c>
      <c r="J764" s="20">
        <f>J765+J766+J767</f>
        <v>0</v>
      </c>
      <c r="K764" s="20">
        <f t="shared" ref="K764:N764" si="229">K765+K766+K767</f>
        <v>0</v>
      </c>
      <c r="L764" s="20">
        <f t="shared" si="229"/>
        <v>0</v>
      </c>
      <c r="M764" s="20">
        <f t="shared" si="229"/>
        <v>5</v>
      </c>
      <c r="N764" s="20">
        <f t="shared" si="229"/>
        <v>5</v>
      </c>
      <c r="O764" s="20"/>
      <c r="P764" s="139"/>
    </row>
    <row r="765" spans="2:17" s="21" customFormat="1" outlineLevel="1" x14ac:dyDescent="0.2">
      <c r="B765" s="140"/>
      <c r="C765" s="132"/>
      <c r="D765" s="140"/>
      <c r="E765" s="118"/>
      <c r="F765" s="140"/>
      <c r="G765" s="140"/>
      <c r="H765" s="19" t="s">
        <v>4</v>
      </c>
      <c r="I765" s="20">
        <f t="shared" si="222"/>
        <v>0</v>
      </c>
      <c r="J765" s="20"/>
      <c r="K765" s="20"/>
      <c r="L765" s="20"/>
      <c r="M765" s="20"/>
      <c r="N765" s="20"/>
      <c r="O765" s="20"/>
      <c r="P765" s="140"/>
    </row>
    <row r="766" spans="2:17" s="21" customFormat="1" outlineLevel="1" x14ac:dyDescent="0.2">
      <c r="B766" s="140"/>
      <c r="C766" s="132"/>
      <c r="D766" s="140"/>
      <c r="E766" s="118"/>
      <c r="F766" s="140"/>
      <c r="G766" s="140"/>
      <c r="H766" s="19" t="s">
        <v>6</v>
      </c>
      <c r="I766" s="20">
        <f t="shared" si="222"/>
        <v>10</v>
      </c>
      <c r="J766" s="20"/>
      <c r="K766" s="20"/>
      <c r="L766" s="20"/>
      <c r="M766" s="20">
        <v>5</v>
      </c>
      <c r="N766" s="20">
        <v>5</v>
      </c>
      <c r="O766" s="20"/>
      <c r="P766" s="140"/>
    </row>
    <row r="767" spans="2:17" s="21" customFormat="1" outlineLevel="1" x14ac:dyDescent="0.2">
      <c r="B767" s="141"/>
      <c r="C767" s="133"/>
      <c r="D767" s="141"/>
      <c r="E767" s="119"/>
      <c r="F767" s="141"/>
      <c r="G767" s="141"/>
      <c r="H767" s="19" t="s">
        <v>5</v>
      </c>
      <c r="I767" s="20">
        <f t="shared" si="222"/>
        <v>0</v>
      </c>
      <c r="J767" s="20"/>
      <c r="K767" s="20"/>
      <c r="L767" s="20"/>
      <c r="M767" s="20"/>
      <c r="N767" s="20"/>
      <c r="O767" s="20"/>
      <c r="P767" s="141"/>
    </row>
    <row r="768" spans="2:17" ht="42.75" x14ac:dyDescent="0.2">
      <c r="B768" s="128" t="s">
        <v>64</v>
      </c>
      <c r="C768" s="128" t="s">
        <v>38</v>
      </c>
      <c r="D768" s="128" t="s">
        <v>38</v>
      </c>
      <c r="E768" s="128" t="s">
        <v>38</v>
      </c>
      <c r="F768" s="128" t="s">
        <v>38</v>
      </c>
      <c r="G768" s="128" t="s">
        <v>38</v>
      </c>
      <c r="H768" s="84" t="s">
        <v>3</v>
      </c>
      <c r="I768" s="14">
        <f t="shared" ref="I768:O768" si="230">SUMIF($H$744:$H$767,"Объем*",I$744:I$767)</f>
        <v>128.79999999999998</v>
      </c>
      <c r="J768" s="14">
        <f t="shared" si="230"/>
        <v>0</v>
      </c>
      <c r="K768" s="14">
        <f t="shared" si="230"/>
        <v>0</v>
      </c>
      <c r="L768" s="14">
        <f t="shared" si="230"/>
        <v>13.1</v>
      </c>
      <c r="M768" s="14">
        <f t="shared" si="230"/>
        <v>70</v>
      </c>
      <c r="N768" s="14">
        <f t="shared" si="230"/>
        <v>45.7</v>
      </c>
      <c r="O768" s="14">
        <f t="shared" si="230"/>
        <v>0</v>
      </c>
      <c r="P768" s="128"/>
      <c r="Q768" s="7"/>
    </row>
    <row r="769" spans="2:16" ht="15.75" x14ac:dyDescent="0.2">
      <c r="B769" s="129"/>
      <c r="C769" s="129"/>
      <c r="D769" s="129"/>
      <c r="E769" s="129"/>
      <c r="F769" s="129"/>
      <c r="G769" s="129"/>
      <c r="H769" s="84" t="s">
        <v>4</v>
      </c>
      <c r="I769" s="14">
        <f t="shared" ref="I769:O769" si="231">SUMIF($H$744:$H$767,"фед*",I$744:I$767)</f>
        <v>15</v>
      </c>
      <c r="J769" s="14">
        <f t="shared" si="231"/>
        <v>0</v>
      </c>
      <c r="K769" s="14">
        <f t="shared" si="231"/>
        <v>0</v>
      </c>
      <c r="L769" s="14">
        <f t="shared" si="231"/>
        <v>0</v>
      </c>
      <c r="M769" s="14">
        <f t="shared" si="231"/>
        <v>0</v>
      </c>
      <c r="N769" s="14">
        <f t="shared" si="231"/>
        <v>15</v>
      </c>
      <c r="O769" s="14">
        <f t="shared" si="231"/>
        <v>0</v>
      </c>
      <c r="P769" s="129"/>
    </row>
    <row r="770" spans="2:16" ht="15.75" x14ac:dyDescent="0.2">
      <c r="B770" s="129"/>
      <c r="C770" s="129"/>
      <c r="D770" s="129"/>
      <c r="E770" s="129"/>
      <c r="F770" s="129"/>
      <c r="G770" s="129"/>
      <c r="H770" s="84" t="s">
        <v>6</v>
      </c>
      <c r="I770" s="14">
        <f t="shared" ref="I770:O770" si="232">SUMIF($H$744:$H$767,"конс*",I$744:I$767)</f>
        <v>113.79999999999998</v>
      </c>
      <c r="J770" s="14">
        <f t="shared" si="232"/>
        <v>0</v>
      </c>
      <c r="K770" s="14">
        <f t="shared" si="232"/>
        <v>0</v>
      </c>
      <c r="L770" s="14">
        <f t="shared" si="232"/>
        <v>13.1</v>
      </c>
      <c r="M770" s="14">
        <f t="shared" si="232"/>
        <v>70</v>
      </c>
      <c r="N770" s="14">
        <f t="shared" si="232"/>
        <v>30.7</v>
      </c>
      <c r="O770" s="14">
        <f t="shared" si="232"/>
        <v>0</v>
      </c>
      <c r="P770" s="129"/>
    </row>
    <row r="771" spans="2:16" ht="15.75" x14ac:dyDescent="0.2">
      <c r="B771" s="130"/>
      <c r="C771" s="130"/>
      <c r="D771" s="130"/>
      <c r="E771" s="130"/>
      <c r="F771" s="130"/>
      <c r="G771" s="130"/>
      <c r="H771" s="84" t="s">
        <v>5</v>
      </c>
      <c r="I771" s="14">
        <f t="shared" ref="I771:O771" si="233">SUMIF($H$744:$H$767,"вне*",I$744:I$767)</f>
        <v>0</v>
      </c>
      <c r="J771" s="14">
        <f t="shared" si="233"/>
        <v>0</v>
      </c>
      <c r="K771" s="14">
        <f t="shared" si="233"/>
        <v>0</v>
      </c>
      <c r="L771" s="14">
        <f t="shared" si="233"/>
        <v>0</v>
      </c>
      <c r="M771" s="14">
        <f t="shared" si="233"/>
        <v>0</v>
      </c>
      <c r="N771" s="14">
        <f t="shared" si="233"/>
        <v>0</v>
      </c>
      <c r="O771" s="14">
        <f t="shared" si="233"/>
        <v>0</v>
      </c>
      <c r="P771" s="130"/>
    </row>
    <row r="772" spans="2:16" ht="25.5" customHeight="1" x14ac:dyDescent="0.2">
      <c r="B772" s="111" t="s">
        <v>430</v>
      </c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3"/>
    </row>
    <row r="773" spans="2:16" s="21" customFormat="1" ht="42.75" customHeight="1" outlineLevel="1" x14ac:dyDescent="0.2">
      <c r="B773" s="117" t="s">
        <v>431</v>
      </c>
      <c r="C773" s="117"/>
      <c r="D773" s="117" t="s">
        <v>430</v>
      </c>
      <c r="E773" s="117">
        <v>2020</v>
      </c>
      <c r="F773" s="117" t="s">
        <v>432</v>
      </c>
      <c r="G773" s="117" t="s">
        <v>83</v>
      </c>
      <c r="H773" s="19" t="s">
        <v>3</v>
      </c>
      <c r="I773" s="83">
        <f>SUM(J773:O773)</f>
        <v>2.6</v>
      </c>
      <c r="J773" s="83">
        <f t="shared" ref="J773:O773" si="234">J774+J775+J776</f>
        <v>2.6</v>
      </c>
      <c r="K773" s="83">
        <f t="shared" si="234"/>
        <v>0</v>
      </c>
      <c r="L773" s="83">
        <f t="shared" si="234"/>
        <v>0</v>
      </c>
      <c r="M773" s="83">
        <f t="shared" si="234"/>
        <v>0</v>
      </c>
      <c r="N773" s="83">
        <f t="shared" si="234"/>
        <v>0</v>
      </c>
      <c r="O773" s="83">
        <f t="shared" si="234"/>
        <v>0</v>
      </c>
      <c r="P773" s="139"/>
    </row>
    <row r="774" spans="2:16" s="21" customFormat="1" outlineLevel="1" x14ac:dyDescent="0.2">
      <c r="B774" s="118"/>
      <c r="C774" s="132"/>
      <c r="D774" s="118"/>
      <c r="E774" s="118"/>
      <c r="F774" s="118"/>
      <c r="G774" s="118"/>
      <c r="H774" s="19" t="s">
        <v>4</v>
      </c>
      <c r="I774" s="83">
        <f t="shared" ref="I774:I808" si="235">SUM(J774:O774)</f>
        <v>0</v>
      </c>
      <c r="J774" s="83"/>
      <c r="K774" s="83"/>
      <c r="L774" s="83"/>
      <c r="M774" s="83"/>
      <c r="N774" s="83"/>
      <c r="O774" s="83"/>
      <c r="P774" s="140"/>
    </row>
    <row r="775" spans="2:16" s="21" customFormat="1" outlineLevel="1" x14ac:dyDescent="0.2">
      <c r="B775" s="118"/>
      <c r="C775" s="132"/>
      <c r="D775" s="118"/>
      <c r="E775" s="118"/>
      <c r="F775" s="118"/>
      <c r="G775" s="118"/>
      <c r="H775" s="19" t="s">
        <v>6</v>
      </c>
      <c r="I775" s="83">
        <f t="shared" si="235"/>
        <v>2.6</v>
      </c>
      <c r="J775" s="83">
        <v>2.6</v>
      </c>
      <c r="K775" s="83"/>
      <c r="L775" s="83"/>
      <c r="M775" s="83"/>
      <c r="N775" s="83"/>
      <c r="O775" s="83"/>
      <c r="P775" s="140"/>
    </row>
    <row r="776" spans="2:16" s="21" customFormat="1" outlineLevel="1" x14ac:dyDescent="0.2">
      <c r="B776" s="119"/>
      <c r="C776" s="133"/>
      <c r="D776" s="119"/>
      <c r="E776" s="119"/>
      <c r="F776" s="119"/>
      <c r="G776" s="119"/>
      <c r="H776" s="19" t="s">
        <v>5</v>
      </c>
      <c r="I776" s="83">
        <f t="shared" si="235"/>
        <v>0</v>
      </c>
      <c r="J776" s="83"/>
      <c r="K776" s="83"/>
      <c r="L776" s="83"/>
      <c r="M776" s="83"/>
      <c r="N776" s="83"/>
      <c r="O776" s="83"/>
      <c r="P776" s="141"/>
    </row>
    <row r="777" spans="2:16" s="21" customFormat="1" ht="42.75" customHeight="1" outlineLevel="1" x14ac:dyDescent="0.2">
      <c r="B777" s="117" t="s">
        <v>433</v>
      </c>
      <c r="C777" s="117"/>
      <c r="D777" s="117" t="s">
        <v>430</v>
      </c>
      <c r="E777" s="117">
        <v>2024</v>
      </c>
      <c r="F777" s="117" t="s">
        <v>434</v>
      </c>
      <c r="G777" s="117" t="s">
        <v>83</v>
      </c>
      <c r="H777" s="19" t="s">
        <v>3</v>
      </c>
      <c r="I777" s="83">
        <f t="shared" si="235"/>
        <v>35</v>
      </c>
      <c r="J777" s="83">
        <f t="shared" ref="J777:O777" si="236">J778+J779+J780</f>
        <v>0</v>
      </c>
      <c r="K777" s="83">
        <f t="shared" si="236"/>
        <v>0</v>
      </c>
      <c r="L777" s="83">
        <f t="shared" si="236"/>
        <v>0</v>
      </c>
      <c r="M777" s="83">
        <f t="shared" si="236"/>
        <v>0</v>
      </c>
      <c r="N777" s="83">
        <f t="shared" si="236"/>
        <v>35</v>
      </c>
      <c r="O777" s="83">
        <f t="shared" si="236"/>
        <v>0</v>
      </c>
      <c r="P777" s="139"/>
    </row>
    <row r="778" spans="2:16" s="21" customFormat="1" outlineLevel="1" x14ac:dyDescent="0.2">
      <c r="B778" s="118"/>
      <c r="C778" s="132"/>
      <c r="D778" s="118"/>
      <c r="E778" s="118"/>
      <c r="F778" s="118"/>
      <c r="G778" s="118"/>
      <c r="H778" s="19" t="s">
        <v>4</v>
      </c>
      <c r="I778" s="83">
        <f t="shared" si="235"/>
        <v>0</v>
      </c>
      <c r="J778" s="83"/>
      <c r="K778" s="83"/>
      <c r="L778" s="83"/>
      <c r="M778" s="83"/>
      <c r="N778" s="83"/>
      <c r="O778" s="83"/>
      <c r="P778" s="140"/>
    </row>
    <row r="779" spans="2:16" s="21" customFormat="1" outlineLevel="1" x14ac:dyDescent="0.2">
      <c r="B779" s="118"/>
      <c r="C779" s="132"/>
      <c r="D779" s="118"/>
      <c r="E779" s="118"/>
      <c r="F779" s="118"/>
      <c r="G779" s="118"/>
      <c r="H779" s="19" t="s">
        <v>6</v>
      </c>
      <c r="I779" s="83">
        <f t="shared" si="235"/>
        <v>35</v>
      </c>
      <c r="J779" s="83"/>
      <c r="K779" s="83"/>
      <c r="L779" s="83"/>
      <c r="M779" s="83"/>
      <c r="N779" s="83">
        <v>35</v>
      </c>
      <c r="O779" s="83"/>
      <c r="P779" s="140"/>
    </row>
    <row r="780" spans="2:16" s="21" customFormat="1" outlineLevel="1" x14ac:dyDescent="0.2">
      <c r="B780" s="119"/>
      <c r="C780" s="133"/>
      <c r="D780" s="119"/>
      <c r="E780" s="119"/>
      <c r="F780" s="119"/>
      <c r="G780" s="119"/>
      <c r="H780" s="19" t="s">
        <v>5</v>
      </c>
      <c r="I780" s="83">
        <f t="shared" si="235"/>
        <v>0</v>
      </c>
      <c r="J780" s="83"/>
      <c r="K780" s="83"/>
      <c r="L780" s="83"/>
      <c r="M780" s="83"/>
      <c r="N780" s="83"/>
      <c r="O780" s="83"/>
      <c r="P780" s="141"/>
    </row>
    <row r="781" spans="2:16" s="21" customFormat="1" ht="42.75" customHeight="1" outlineLevel="1" x14ac:dyDescent="0.2">
      <c r="B781" s="117" t="s">
        <v>435</v>
      </c>
      <c r="C781" s="117"/>
      <c r="D781" s="117" t="s">
        <v>430</v>
      </c>
      <c r="E781" s="117" t="s">
        <v>94</v>
      </c>
      <c r="F781" s="117" t="s">
        <v>436</v>
      </c>
      <c r="G781" s="117" t="s">
        <v>83</v>
      </c>
      <c r="H781" s="19" t="s">
        <v>3</v>
      </c>
      <c r="I781" s="83">
        <f t="shared" si="235"/>
        <v>16</v>
      </c>
      <c r="J781" s="83">
        <f t="shared" ref="J781:O781" si="237">J782+J783+J784</f>
        <v>0</v>
      </c>
      <c r="K781" s="83">
        <f t="shared" si="237"/>
        <v>0</v>
      </c>
      <c r="L781" s="83">
        <f t="shared" si="237"/>
        <v>0</v>
      </c>
      <c r="M781" s="83">
        <f t="shared" si="237"/>
        <v>0</v>
      </c>
      <c r="N781" s="83">
        <f t="shared" si="237"/>
        <v>0</v>
      </c>
      <c r="O781" s="83">
        <f t="shared" si="237"/>
        <v>16</v>
      </c>
      <c r="P781" s="139"/>
    </row>
    <row r="782" spans="2:16" s="21" customFormat="1" outlineLevel="1" x14ac:dyDescent="0.2">
      <c r="B782" s="118"/>
      <c r="C782" s="132"/>
      <c r="D782" s="118"/>
      <c r="E782" s="118"/>
      <c r="F782" s="118"/>
      <c r="G782" s="118"/>
      <c r="H782" s="19" t="s">
        <v>4</v>
      </c>
      <c r="I782" s="83">
        <f t="shared" si="235"/>
        <v>0</v>
      </c>
      <c r="J782" s="83"/>
      <c r="K782" s="83"/>
      <c r="L782" s="83"/>
      <c r="M782" s="83"/>
      <c r="N782" s="83"/>
      <c r="O782" s="83"/>
      <c r="P782" s="140"/>
    </row>
    <row r="783" spans="2:16" s="21" customFormat="1" outlineLevel="1" x14ac:dyDescent="0.2">
      <c r="B783" s="118"/>
      <c r="C783" s="132"/>
      <c r="D783" s="118"/>
      <c r="E783" s="118"/>
      <c r="F783" s="118"/>
      <c r="G783" s="118"/>
      <c r="H783" s="19" t="s">
        <v>6</v>
      </c>
      <c r="I783" s="83">
        <f t="shared" si="235"/>
        <v>16</v>
      </c>
      <c r="J783" s="83"/>
      <c r="K783" s="83"/>
      <c r="L783" s="83"/>
      <c r="M783" s="83"/>
      <c r="N783" s="83"/>
      <c r="O783" s="83">
        <v>16</v>
      </c>
      <c r="P783" s="140"/>
    </row>
    <row r="784" spans="2:16" s="21" customFormat="1" outlineLevel="1" x14ac:dyDescent="0.2">
      <c r="B784" s="119"/>
      <c r="C784" s="133"/>
      <c r="D784" s="119"/>
      <c r="E784" s="119"/>
      <c r="F784" s="119"/>
      <c r="G784" s="119"/>
      <c r="H784" s="19" t="s">
        <v>5</v>
      </c>
      <c r="I784" s="83">
        <f t="shared" si="235"/>
        <v>0</v>
      </c>
      <c r="J784" s="83"/>
      <c r="K784" s="83"/>
      <c r="L784" s="83"/>
      <c r="M784" s="83"/>
      <c r="N784" s="83"/>
      <c r="O784" s="83"/>
      <c r="P784" s="141"/>
    </row>
    <row r="785" spans="2:16" s="21" customFormat="1" ht="42.75" customHeight="1" outlineLevel="1" x14ac:dyDescent="0.2">
      <c r="B785" s="117" t="s">
        <v>437</v>
      </c>
      <c r="C785" s="117"/>
      <c r="D785" s="117" t="s">
        <v>430</v>
      </c>
      <c r="E785" s="117">
        <v>2024</v>
      </c>
      <c r="F785" s="117" t="s">
        <v>438</v>
      </c>
      <c r="G785" s="117" t="s">
        <v>83</v>
      </c>
      <c r="H785" s="19" t="s">
        <v>3</v>
      </c>
      <c r="I785" s="83">
        <f t="shared" si="235"/>
        <v>0.66</v>
      </c>
      <c r="J785" s="83">
        <f t="shared" ref="J785:O785" si="238">J786+J787+J788</f>
        <v>0</v>
      </c>
      <c r="K785" s="83">
        <f t="shared" si="238"/>
        <v>0</v>
      </c>
      <c r="L785" s="83">
        <f t="shared" si="238"/>
        <v>0</v>
      </c>
      <c r="M785" s="83">
        <f t="shared" si="238"/>
        <v>0</v>
      </c>
      <c r="N785" s="83">
        <f t="shared" si="238"/>
        <v>0.66</v>
      </c>
      <c r="O785" s="83">
        <f t="shared" si="238"/>
        <v>0</v>
      </c>
      <c r="P785" s="139"/>
    </row>
    <row r="786" spans="2:16" s="21" customFormat="1" outlineLevel="1" x14ac:dyDescent="0.2">
      <c r="B786" s="118"/>
      <c r="C786" s="132"/>
      <c r="D786" s="118"/>
      <c r="E786" s="118"/>
      <c r="F786" s="118"/>
      <c r="G786" s="118"/>
      <c r="H786" s="19" t="s">
        <v>4</v>
      </c>
      <c r="I786" s="83">
        <f t="shared" si="235"/>
        <v>0</v>
      </c>
      <c r="J786" s="83"/>
      <c r="K786" s="83"/>
      <c r="L786" s="83"/>
      <c r="M786" s="83"/>
      <c r="N786" s="83"/>
      <c r="O786" s="83"/>
      <c r="P786" s="140"/>
    </row>
    <row r="787" spans="2:16" s="21" customFormat="1" outlineLevel="1" x14ac:dyDescent="0.2">
      <c r="B787" s="118"/>
      <c r="C787" s="132"/>
      <c r="D787" s="118"/>
      <c r="E787" s="118"/>
      <c r="F787" s="118"/>
      <c r="G787" s="118"/>
      <c r="H787" s="19" t="s">
        <v>6</v>
      </c>
      <c r="I787" s="83">
        <f t="shared" si="235"/>
        <v>0.66</v>
      </c>
      <c r="J787" s="83"/>
      <c r="K787" s="83"/>
      <c r="L787" s="83"/>
      <c r="M787" s="83"/>
      <c r="N787" s="83">
        <v>0.66</v>
      </c>
      <c r="O787" s="83"/>
      <c r="P787" s="140"/>
    </row>
    <row r="788" spans="2:16" s="21" customFormat="1" outlineLevel="1" x14ac:dyDescent="0.2">
      <c r="B788" s="119"/>
      <c r="C788" s="133"/>
      <c r="D788" s="119"/>
      <c r="E788" s="119"/>
      <c r="F788" s="119"/>
      <c r="G788" s="119"/>
      <c r="H788" s="19" t="s">
        <v>5</v>
      </c>
      <c r="I788" s="83">
        <f t="shared" si="235"/>
        <v>0</v>
      </c>
      <c r="J788" s="83"/>
      <c r="K788" s="83"/>
      <c r="L788" s="83"/>
      <c r="M788" s="83"/>
      <c r="N788" s="83"/>
      <c r="O788" s="83"/>
      <c r="P788" s="141"/>
    </row>
    <row r="789" spans="2:16" s="21" customFormat="1" ht="42.75" customHeight="1" outlineLevel="1" x14ac:dyDescent="0.2">
      <c r="B789" s="117" t="s">
        <v>439</v>
      </c>
      <c r="C789" s="117"/>
      <c r="D789" s="117" t="s">
        <v>430</v>
      </c>
      <c r="E789" s="117">
        <v>2024</v>
      </c>
      <c r="F789" s="117" t="s">
        <v>440</v>
      </c>
      <c r="G789" s="117" t="s">
        <v>83</v>
      </c>
      <c r="H789" s="19" t="s">
        <v>3</v>
      </c>
      <c r="I789" s="83">
        <f t="shared" si="235"/>
        <v>7.2</v>
      </c>
      <c r="J789" s="83">
        <f t="shared" ref="J789:O789" si="239">J790+J791+J792</f>
        <v>0</v>
      </c>
      <c r="K789" s="83">
        <f t="shared" si="239"/>
        <v>0</v>
      </c>
      <c r="L789" s="83">
        <f t="shared" si="239"/>
        <v>0</v>
      </c>
      <c r="M789" s="83">
        <f t="shared" si="239"/>
        <v>0</v>
      </c>
      <c r="N789" s="83">
        <f t="shared" si="239"/>
        <v>7.2</v>
      </c>
      <c r="O789" s="83">
        <f t="shared" si="239"/>
        <v>0</v>
      </c>
      <c r="P789" s="139"/>
    </row>
    <row r="790" spans="2:16" s="21" customFormat="1" outlineLevel="1" x14ac:dyDescent="0.2">
      <c r="B790" s="118"/>
      <c r="C790" s="132"/>
      <c r="D790" s="118"/>
      <c r="E790" s="118"/>
      <c r="F790" s="118"/>
      <c r="G790" s="118"/>
      <c r="H790" s="19" t="s">
        <v>4</v>
      </c>
      <c r="I790" s="83">
        <f t="shared" si="235"/>
        <v>0</v>
      </c>
      <c r="J790" s="83"/>
      <c r="K790" s="83"/>
      <c r="L790" s="83"/>
      <c r="M790" s="83"/>
      <c r="N790" s="83"/>
      <c r="O790" s="83"/>
      <c r="P790" s="140"/>
    </row>
    <row r="791" spans="2:16" s="21" customFormat="1" outlineLevel="1" x14ac:dyDescent="0.2">
      <c r="B791" s="118"/>
      <c r="C791" s="132"/>
      <c r="D791" s="118"/>
      <c r="E791" s="118"/>
      <c r="F791" s="118"/>
      <c r="G791" s="118"/>
      <c r="H791" s="19" t="s">
        <v>6</v>
      </c>
      <c r="I791" s="83">
        <f t="shared" si="235"/>
        <v>7.2</v>
      </c>
      <c r="J791" s="83"/>
      <c r="K791" s="83"/>
      <c r="L791" s="83"/>
      <c r="M791" s="83"/>
      <c r="N791" s="83">
        <v>7.2</v>
      </c>
      <c r="O791" s="83"/>
      <c r="P791" s="140"/>
    </row>
    <row r="792" spans="2:16" s="21" customFormat="1" outlineLevel="1" x14ac:dyDescent="0.2">
      <c r="B792" s="119"/>
      <c r="C792" s="133"/>
      <c r="D792" s="119"/>
      <c r="E792" s="119"/>
      <c r="F792" s="119"/>
      <c r="G792" s="119"/>
      <c r="H792" s="19" t="s">
        <v>5</v>
      </c>
      <c r="I792" s="83">
        <f t="shared" si="235"/>
        <v>0</v>
      </c>
      <c r="J792" s="83"/>
      <c r="K792" s="83"/>
      <c r="L792" s="83"/>
      <c r="M792" s="83"/>
      <c r="N792" s="83"/>
      <c r="O792" s="83"/>
      <c r="P792" s="141"/>
    </row>
    <row r="793" spans="2:16" s="21" customFormat="1" ht="42.75" customHeight="1" outlineLevel="1" x14ac:dyDescent="0.2">
      <c r="B793" s="117" t="s">
        <v>441</v>
      </c>
      <c r="C793" s="117"/>
      <c r="D793" s="117" t="s">
        <v>430</v>
      </c>
      <c r="E793" s="117">
        <v>2024</v>
      </c>
      <c r="F793" s="117" t="s">
        <v>442</v>
      </c>
      <c r="G793" s="117" t="s">
        <v>83</v>
      </c>
      <c r="H793" s="19" t="s">
        <v>3</v>
      </c>
      <c r="I793" s="83">
        <f t="shared" si="235"/>
        <v>9.3000000000000007</v>
      </c>
      <c r="J793" s="83">
        <f t="shared" ref="J793:O793" si="240">J794+J795+J796</f>
        <v>0</v>
      </c>
      <c r="K793" s="83">
        <f t="shared" si="240"/>
        <v>0</v>
      </c>
      <c r="L793" s="83">
        <f t="shared" si="240"/>
        <v>0</v>
      </c>
      <c r="M793" s="83">
        <f t="shared" si="240"/>
        <v>0</v>
      </c>
      <c r="N793" s="83">
        <f t="shared" si="240"/>
        <v>9.3000000000000007</v>
      </c>
      <c r="O793" s="83">
        <f t="shared" si="240"/>
        <v>0</v>
      </c>
      <c r="P793" s="139"/>
    </row>
    <row r="794" spans="2:16" s="21" customFormat="1" outlineLevel="1" x14ac:dyDescent="0.2">
      <c r="B794" s="118"/>
      <c r="C794" s="132"/>
      <c r="D794" s="118"/>
      <c r="E794" s="118"/>
      <c r="F794" s="118"/>
      <c r="G794" s="118"/>
      <c r="H794" s="19" t="s">
        <v>4</v>
      </c>
      <c r="I794" s="83">
        <f t="shared" si="235"/>
        <v>0</v>
      </c>
      <c r="J794" s="83"/>
      <c r="K794" s="83"/>
      <c r="L794" s="83"/>
      <c r="M794" s="83"/>
      <c r="N794" s="83"/>
      <c r="O794" s="83"/>
      <c r="P794" s="140"/>
    </row>
    <row r="795" spans="2:16" s="21" customFormat="1" outlineLevel="1" x14ac:dyDescent="0.2">
      <c r="B795" s="118"/>
      <c r="C795" s="132"/>
      <c r="D795" s="118"/>
      <c r="E795" s="118"/>
      <c r="F795" s="118"/>
      <c r="G795" s="118"/>
      <c r="H795" s="19" t="s">
        <v>6</v>
      </c>
      <c r="I795" s="83">
        <f t="shared" si="235"/>
        <v>9.3000000000000007</v>
      </c>
      <c r="J795" s="83"/>
      <c r="K795" s="83"/>
      <c r="L795" s="83"/>
      <c r="M795" s="83"/>
      <c r="N795" s="83">
        <v>9.3000000000000007</v>
      </c>
      <c r="O795" s="83"/>
      <c r="P795" s="140"/>
    </row>
    <row r="796" spans="2:16" s="21" customFormat="1" outlineLevel="1" x14ac:dyDescent="0.2">
      <c r="B796" s="119"/>
      <c r="C796" s="133"/>
      <c r="D796" s="119"/>
      <c r="E796" s="119"/>
      <c r="F796" s="119"/>
      <c r="G796" s="119"/>
      <c r="H796" s="19" t="s">
        <v>5</v>
      </c>
      <c r="I796" s="83">
        <f t="shared" si="235"/>
        <v>0</v>
      </c>
      <c r="J796" s="83"/>
      <c r="K796" s="83"/>
      <c r="L796" s="83"/>
      <c r="M796" s="83"/>
      <c r="N796" s="83"/>
      <c r="O796" s="83"/>
      <c r="P796" s="141"/>
    </row>
    <row r="797" spans="2:16" s="21" customFormat="1" ht="42.75" customHeight="1" outlineLevel="1" x14ac:dyDescent="0.2">
      <c r="B797" s="117" t="s">
        <v>443</v>
      </c>
      <c r="C797" s="117"/>
      <c r="D797" s="117" t="s">
        <v>430</v>
      </c>
      <c r="E797" s="117">
        <v>2024</v>
      </c>
      <c r="F797" s="117" t="s">
        <v>442</v>
      </c>
      <c r="G797" s="117" t="s">
        <v>444</v>
      </c>
      <c r="H797" s="19" t="s">
        <v>3</v>
      </c>
      <c r="I797" s="83">
        <f t="shared" si="235"/>
        <v>17.8</v>
      </c>
      <c r="J797" s="83">
        <f t="shared" ref="J797:O797" si="241">J798+J799+J800</f>
        <v>0</v>
      </c>
      <c r="K797" s="83">
        <f t="shared" si="241"/>
        <v>0</v>
      </c>
      <c r="L797" s="83">
        <f t="shared" si="241"/>
        <v>0</v>
      </c>
      <c r="M797" s="83">
        <f t="shared" si="241"/>
        <v>0</v>
      </c>
      <c r="N797" s="83">
        <f t="shared" si="241"/>
        <v>17.8</v>
      </c>
      <c r="O797" s="83">
        <f t="shared" si="241"/>
        <v>0</v>
      </c>
      <c r="P797" s="139">
        <v>400</v>
      </c>
    </row>
    <row r="798" spans="2:16" s="21" customFormat="1" outlineLevel="1" x14ac:dyDescent="0.2">
      <c r="B798" s="118"/>
      <c r="C798" s="132"/>
      <c r="D798" s="118"/>
      <c r="E798" s="118"/>
      <c r="F798" s="118"/>
      <c r="G798" s="118"/>
      <c r="H798" s="19" t="s">
        <v>4</v>
      </c>
      <c r="I798" s="83">
        <f t="shared" si="235"/>
        <v>0</v>
      </c>
      <c r="J798" s="83"/>
      <c r="K798" s="83"/>
      <c r="L798" s="83"/>
      <c r="M798" s="83"/>
      <c r="N798" s="83"/>
      <c r="O798" s="83"/>
      <c r="P798" s="140"/>
    </row>
    <row r="799" spans="2:16" s="21" customFormat="1" outlineLevel="1" x14ac:dyDescent="0.2">
      <c r="B799" s="118"/>
      <c r="C799" s="132"/>
      <c r="D799" s="118"/>
      <c r="E799" s="118"/>
      <c r="F799" s="118"/>
      <c r="G799" s="118"/>
      <c r="H799" s="19" t="s">
        <v>6</v>
      </c>
      <c r="I799" s="83">
        <f t="shared" si="235"/>
        <v>17.8</v>
      </c>
      <c r="J799" s="83"/>
      <c r="K799" s="83"/>
      <c r="L799" s="83"/>
      <c r="M799" s="83"/>
      <c r="N799" s="83">
        <v>17.8</v>
      </c>
      <c r="O799" s="83"/>
      <c r="P799" s="140"/>
    </row>
    <row r="800" spans="2:16" s="21" customFormat="1" outlineLevel="1" x14ac:dyDescent="0.2">
      <c r="B800" s="119"/>
      <c r="C800" s="133"/>
      <c r="D800" s="119"/>
      <c r="E800" s="119"/>
      <c r="F800" s="119"/>
      <c r="G800" s="119"/>
      <c r="H800" s="19" t="s">
        <v>5</v>
      </c>
      <c r="I800" s="83">
        <f t="shared" si="235"/>
        <v>0</v>
      </c>
      <c r="J800" s="83"/>
      <c r="K800" s="83"/>
      <c r="L800" s="83"/>
      <c r="M800" s="83"/>
      <c r="N800" s="83"/>
      <c r="O800" s="83"/>
      <c r="P800" s="141"/>
    </row>
    <row r="801" spans="2:17" s="21" customFormat="1" ht="42.75" customHeight="1" outlineLevel="1" x14ac:dyDescent="0.2">
      <c r="B801" s="117" t="s">
        <v>445</v>
      </c>
      <c r="C801" s="117"/>
      <c r="D801" s="117" t="s">
        <v>430</v>
      </c>
      <c r="E801" s="117">
        <v>2024</v>
      </c>
      <c r="F801" s="117" t="s">
        <v>446</v>
      </c>
      <c r="G801" s="117" t="s">
        <v>444</v>
      </c>
      <c r="H801" s="19" t="s">
        <v>3</v>
      </c>
      <c r="I801" s="83">
        <f t="shared" si="235"/>
        <v>13.2</v>
      </c>
      <c r="J801" s="83">
        <f t="shared" ref="J801:O801" si="242">J802+J803+J804</f>
        <v>0</v>
      </c>
      <c r="K801" s="83">
        <f t="shared" si="242"/>
        <v>0</v>
      </c>
      <c r="L801" s="83">
        <f t="shared" si="242"/>
        <v>0</v>
      </c>
      <c r="M801" s="83">
        <f t="shared" si="242"/>
        <v>0</v>
      </c>
      <c r="N801" s="83">
        <f t="shared" si="242"/>
        <v>13.2</v>
      </c>
      <c r="O801" s="83">
        <f t="shared" si="242"/>
        <v>0</v>
      </c>
      <c r="P801" s="139">
        <v>1500</v>
      </c>
    </row>
    <row r="802" spans="2:17" s="21" customFormat="1" outlineLevel="1" x14ac:dyDescent="0.2">
      <c r="B802" s="118"/>
      <c r="C802" s="132"/>
      <c r="D802" s="118"/>
      <c r="E802" s="118"/>
      <c r="F802" s="118"/>
      <c r="G802" s="118"/>
      <c r="H802" s="19" t="s">
        <v>4</v>
      </c>
      <c r="I802" s="83">
        <f t="shared" si="235"/>
        <v>0</v>
      </c>
      <c r="J802" s="83"/>
      <c r="K802" s="83"/>
      <c r="L802" s="83"/>
      <c r="M802" s="83"/>
      <c r="N802" s="83"/>
      <c r="O802" s="83"/>
      <c r="P802" s="140"/>
    </row>
    <row r="803" spans="2:17" s="21" customFormat="1" outlineLevel="1" x14ac:dyDescent="0.2">
      <c r="B803" s="118"/>
      <c r="C803" s="132"/>
      <c r="D803" s="118"/>
      <c r="E803" s="118"/>
      <c r="F803" s="118"/>
      <c r="G803" s="118"/>
      <c r="H803" s="19" t="s">
        <v>6</v>
      </c>
      <c r="I803" s="83">
        <f t="shared" si="235"/>
        <v>13.2</v>
      </c>
      <c r="J803" s="83"/>
      <c r="K803" s="83"/>
      <c r="L803" s="83"/>
      <c r="M803" s="83"/>
      <c r="N803" s="83">
        <v>13.2</v>
      </c>
      <c r="O803" s="83"/>
      <c r="P803" s="140"/>
    </row>
    <row r="804" spans="2:17" s="21" customFormat="1" outlineLevel="1" x14ac:dyDescent="0.2">
      <c r="B804" s="119"/>
      <c r="C804" s="133"/>
      <c r="D804" s="119"/>
      <c r="E804" s="119"/>
      <c r="F804" s="119"/>
      <c r="G804" s="119"/>
      <c r="H804" s="19" t="s">
        <v>5</v>
      </c>
      <c r="I804" s="83">
        <f t="shared" si="235"/>
        <v>0</v>
      </c>
      <c r="J804" s="83"/>
      <c r="K804" s="83"/>
      <c r="L804" s="83"/>
      <c r="M804" s="83"/>
      <c r="N804" s="83"/>
      <c r="O804" s="83"/>
      <c r="P804" s="141"/>
    </row>
    <row r="805" spans="2:17" s="21" customFormat="1" ht="42.75" customHeight="1" outlineLevel="1" x14ac:dyDescent="0.2">
      <c r="B805" s="117" t="s">
        <v>447</v>
      </c>
      <c r="C805" s="117"/>
      <c r="D805" s="117" t="s">
        <v>430</v>
      </c>
      <c r="E805" s="117">
        <v>2024</v>
      </c>
      <c r="F805" s="117" t="s">
        <v>251</v>
      </c>
      <c r="G805" s="117" t="s">
        <v>444</v>
      </c>
      <c r="H805" s="19" t="s">
        <v>3</v>
      </c>
      <c r="I805" s="83">
        <f t="shared" si="235"/>
        <v>3.2</v>
      </c>
      <c r="J805" s="83">
        <f t="shared" ref="J805:O805" si="243">J806+J807+J808</f>
        <v>0</v>
      </c>
      <c r="K805" s="83">
        <f t="shared" si="243"/>
        <v>0</v>
      </c>
      <c r="L805" s="83">
        <f t="shared" si="243"/>
        <v>0</v>
      </c>
      <c r="M805" s="83">
        <f t="shared" si="243"/>
        <v>0</v>
      </c>
      <c r="N805" s="83">
        <f t="shared" si="243"/>
        <v>3.2</v>
      </c>
      <c r="O805" s="83">
        <f t="shared" si="243"/>
        <v>0</v>
      </c>
      <c r="P805" s="139">
        <v>400</v>
      </c>
    </row>
    <row r="806" spans="2:17" s="21" customFormat="1" outlineLevel="1" x14ac:dyDescent="0.2">
      <c r="B806" s="118"/>
      <c r="C806" s="132"/>
      <c r="D806" s="118"/>
      <c r="E806" s="118"/>
      <c r="F806" s="118"/>
      <c r="G806" s="118"/>
      <c r="H806" s="19" t="s">
        <v>4</v>
      </c>
      <c r="I806" s="83">
        <f t="shared" si="235"/>
        <v>0</v>
      </c>
      <c r="J806" s="83"/>
      <c r="K806" s="83"/>
      <c r="L806" s="83"/>
      <c r="M806" s="83"/>
      <c r="N806" s="83"/>
      <c r="O806" s="83"/>
      <c r="P806" s="140"/>
    </row>
    <row r="807" spans="2:17" s="21" customFormat="1" outlineLevel="1" x14ac:dyDescent="0.2">
      <c r="B807" s="118"/>
      <c r="C807" s="132"/>
      <c r="D807" s="118"/>
      <c r="E807" s="118"/>
      <c r="F807" s="118"/>
      <c r="G807" s="118"/>
      <c r="H807" s="19" t="s">
        <v>6</v>
      </c>
      <c r="I807" s="83">
        <f t="shared" si="235"/>
        <v>3.2</v>
      </c>
      <c r="J807" s="83"/>
      <c r="K807" s="83"/>
      <c r="L807" s="83"/>
      <c r="M807" s="83"/>
      <c r="N807" s="83">
        <v>3.2</v>
      </c>
      <c r="O807" s="83"/>
      <c r="P807" s="140"/>
    </row>
    <row r="808" spans="2:17" s="21" customFormat="1" outlineLevel="1" x14ac:dyDescent="0.2">
      <c r="B808" s="119"/>
      <c r="C808" s="133"/>
      <c r="D808" s="119"/>
      <c r="E808" s="119"/>
      <c r="F808" s="119"/>
      <c r="G808" s="119"/>
      <c r="H808" s="19" t="s">
        <v>5</v>
      </c>
      <c r="I808" s="83">
        <f t="shared" si="235"/>
        <v>0</v>
      </c>
      <c r="J808" s="83"/>
      <c r="K808" s="83"/>
      <c r="L808" s="83"/>
      <c r="M808" s="83"/>
      <c r="N808" s="83"/>
      <c r="O808" s="83"/>
      <c r="P808" s="141"/>
    </row>
    <row r="809" spans="2:17" ht="42.75" x14ac:dyDescent="0.2">
      <c r="B809" s="128" t="s">
        <v>448</v>
      </c>
      <c r="C809" s="128" t="s">
        <v>38</v>
      </c>
      <c r="D809" s="128" t="s">
        <v>38</v>
      </c>
      <c r="E809" s="128" t="s">
        <v>38</v>
      </c>
      <c r="F809" s="128" t="s">
        <v>38</v>
      </c>
      <c r="G809" s="128" t="s">
        <v>38</v>
      </c>
      <c r="H809" s="84" t="s">
        <v>3</v>
      </c>
      <c r="I809" s="14">
        <f t="shared" ref="I809:O809" si="244">SUMIF($H$773:$H$808,"Объем*",I$773:I$808)</f>
        <v>104.96000000000001</v>
      </c>
      <c r="J809" s="14">
        <f t="shared" si="244"/>
        <v>2.6</v>
      </c>
      <c r="K809" s="14">
        <f t="shared" si="244"/>
        <v>0</v>
      </c>
      <c r="L809" s="14">
        <f t="shared" si="244"/>
        <v>0</v>
      </c>
      <c r="M809" s="14">
        <f t="shared" si="244"/>
        <v>0</v>
      </c>
      <c r="N809" s="14">
        <f t="shared" si="244"/>
        <v>86.36</v>
      </c>
      <c r="O809" s="14">
        <f t="shared" si="244"/>
        <v>16</v>
      </c>
      <c r="P809" s="128"/>
      <c r="Q809" s="7"/>
    </row>
    <row r="810" spans="2:17" ht="15.75" x14ac:dyDescent="0.2">
      <c r="B810" s="129"/>
      <c r="C810" s="129"/>
      <c r="D810" s="129"/>
      <c r="E810" s="129"/>
      <c r="F810" s="129"/>
      <c r="G810" s="129"/>
      <c r="H810" s="84" t="s">
        <v>4</v>
      </c>
      <c r="I810" s="14">
        <f t="shared" ref="I810:O810" si="245">SUMIF($H$773:$H$808,"фед*",I$773:I$808)</f>
        <v>0</v>
      </c>
      <c r="J810" s="14">
        <f t="shared" si="245"/>
        <v>0</v>
      </c>
      <c r="K810" s="14">
        <f t="shared" si="245"/>
        <v>0</v>
      </c>
      <c r="L810" s="14">
        <f t="shared" si="245"/>
        <v>0</v>
      </c>
      <c r="M810" s="14">
        <f t="shared" si="245"/>
        <v>0</v>
      </c>
      <c r="N810" s="14">
        <f t="shared" si="245"/>
        <v>0</v>
      </c>
      <c r="O810" s="14">
        <f t="shared" si="245"/>
        <v>0</v>
      </c>
      <c r="P810" s="129"/>
    </row>
    <row r="811" spans="2:17" ht="15.75" x14ac:dyDescent="0.2">
      <c r="B811" s="129"/>
      <c r="C811" s="129"/>
      <c r="D811" s="129"/>
      <c r="E811" s="129"/>
      <c r="F811" s="129"/>
      <c r="G811" s="129"/>
      <c r="H811" s="84" t="s">
        <v>6</v>
      </c>
      <c r="I811" s="14">
        <f t="shared" ref="I811:O811" si="246">SUMIF($H$773:$H$808,"конс*",I$773:I$808)</f>
        <v>104.96000000000001</v>
      </c>
      <c r="J811" s="14">
        <f t="shared" si="246"/>
        <v>2.6</v>
      </c>
      <c r="K811" s="14">
        <f t="shared" si="246"/>
        <v>0</v>
      </c>
      <c r="L811" s="14">
        <f t="shared" si="246"/>
        <v>0</v>
      </c>
      <c r="M811" s="14">
        <f t="shared" si="246"/>
        <v>0</v>
      </c>
      <c r="N811" s="14">
        <f t="shared" si="246"/>
        <v>86.36</v>
      </c>
      <c r="O811" s="14">
        <f t="shared" si="246"/>
        <v>16</v>
      </c>
      <c r="P811" s="129"/>
    </row>
    <row r="812" spans="2:17" ht="15.75" x14ac:dyDescent="0.2">
      <c r="B812" s="130"/>
      <c r="C812" s="130"/>
      <c r="D812" s="130"/>
      <c r="E812" s="130"/>
      <c r="F812" s="130"/>
      <c r="G812" s="130"/>
      <c r="H812" s="84" t="s">
        <v>5</v>
      </c>
      <c r="I812" s="14">
        <f t="shared" ref="I812:O812" si="247">SUMIF($H$773:$H$808,"вне*",I$773:I$808)</f>
        <v>0</v>
      </c>
      <c r="J812" s="14">
        <f t="shared" si="247"/>
        <v>0</v>
      </c>
      <c r="K812" s="14">
        <f t="shared" si="247"/>
        <v>0</v>
      </c>
      <c r="L812" s="14">
        <f t="shared" si="247"/>
        <v>0</v>
      </c>
      <c r="M812" s="14">
        <f t="shared" si="247"/>
        <v>0</v>
      </c>
      <c r="N812" s="14">
        <f t="shared" si="247"/>
        <v>0</v>
      </c>
      <c r="O812" s="14">
        <f t="shared" si="247"/>
        <v>0</v>
      </c>
      <c r="P812" s="130"/>
    </row>
    <row r="813" spans="2:17" ht="25.5" customHeight="1" x14ac:dyDescent="0.2">
      <c r="B813" s="111" t="s">
        <v>449</v>
      </c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3"/>
    </row>
    <row r="814" spans="2:17" s="21" customFormat="1" ht="42.75" customHeight="1" outlineLevel="1" x14ac:dyDescent="0.2">
      <c r="B814" s="139" t="s">
        <v>450</v>
      </c>
      <c r="C814" s="139"/>
      <c r="D814" s="139" t="s">
        <v>449</v>
      </c>
      <c r="E814" s="139">
        <v>2021</v>
      </c>
      <c r="F814" s="139" t="s">
        <v>451</v>
      </c>
      <c r="G814" s="139" t="s">
        <v>63</v>
      </c>
      <c r="H814" s="19" t="s">
        <v>3</v>
      </c>
      <c r="I814" s="20">
        <f t="shared" ref="I814:I817" si="248">SUM(J814:O814)</f>
        <v>11.2</v>
      </c>
      <c r="J814" s="20">
        <f t="shared" ref="J814:O814" si="249">J815+J816+J817</f>
        <v>0</v>
      </c>
      <c r="K814" s="20">
        <f t="shared" si="249"/>
        <v>11.2</v>
      </c>
      <c r="L814" s="20">
        <f t="shared" si="249"/>
        <v>0</v>
      </c>
      <c r="M814" s="20">
        <f t="shared" si="249"/>
        <v>0</v>
      </c>
      <c r="N814" s="20">
        <f t="shared" si="249"/>
        <v>0</v>
      </c>
      <c r="O814" s="20">
        <f t="shared" si="249"/>
        <v>0</v>
      </c>
      <c r="P814" s="139"/>
    </row>
    <row r="815" spans="2:17" s="21" customFormat="1" outlineLevel="1" x14ac:dyDescent="0.2">
      <c r="B815" s="140"/>
      <c r="C815" s="132"/>
      <c r="D815" s="140"/>
      <c r="E815" s="140"/>
      <c r="F815" s="140"/>
      <c r="G815" s="140"/>
      <c r="H815" s="19" t="s">
        <v>4</v>
      </c>
      <c r="I815" s="20">
        <f t="shared" si="248"/>
        <v>0</v>
      </c>
      <c r="J815" s="20"/>
      <c r="K815" s="20"/>
      <c r="L815" s="20"/>
      <c r="M815" s="20"/>
      <c r="N815" s="20"/>
      <c r="O815" s="20"/>
      <c r="P815" s="140"/>
    </row>
    <row r="816" spans="2:17" s="21" customFormat="1" outlineLevel="1" x14ac:dyDescent="0.2">
      <c r="B816" s="140"/>
      <c r="C816" s="132"/>
      <c r="D816" s="140"/>
      <c r="E816" s="140"/>
      <c r="F816" s="140"/>
      <c r="G816" s="140"/>
      <c r="H816" s="19" t="s">
        <v>6</v>
      </c>
      <c r="I816" s="20">
        <f t="shared" si="248"/>
        <v>11.2</v>
      </c>
      <c r="J816" s="20"/>
      <c r="K816" s="20">
        <v>11.2</v>
      </c>
      <c r="L816" s="20"/>
      <c r="M816" s="20"/>
      <c r="N816" s="20"/>
      <c r="O816" s="20"/>
      <c r="P816" s="140"/>
    </row>
    <row r="817" spans="2:16" s="21" customFormat="1" outlineLevel="1" x14ac:dyDescent="0.2">
      <c r="B817" s="141"/>
      <c r="C817" s="133"/>
      <c r="D817" s="141"/>
      <c r="E817" s="141"/>
      <c r="F817" s="141"/>
      <c r="G817" s="141"/>
      <c r="H817" s="19" t="s">
        <v>5</v>
      </c>
      <c r="I817" s="20">
        <f t="shared" si="248"/>
        <v>0</v>
      </c>
      <c r="J817" s="20"/>
      <c r="K817" s="20"/>
      <c r="L817" s="20"/>
      <c r="M817" s="20"/>
      <c r="N817" s="20"/>
      <c r="O817" s="20"/>
      <c r="P817" s="141"/>
    </row>
    <row r="818" spans="2:16" ht="42.75" x14ac:dyDescent="0.2">
      <c r="B818" s="128" t="s">
        <v>452</v>
      </c>
      <c r="C818" s="128" t="s">
        <v>38</v>
      </c>
      <c r="D818" s="128" t="s">
        <v>38</v>
      </c>
      <c r="E818" s="128" t="s">
        <v>38</v>
      </c>
      <c r="F818" s="128" t="s">
        <v>38</v>
      </c>
      <c r="G818" s="128" t="s">
        <v>38</v>
      </c>
      <c r="H818" s="84" t="s">
        <v>3</v>
      </c>
      <c r="I818" s="14">
        <f t="shared" ref="I818:O818" si="250">SUMIF($H$814:$H$817,"Объем*",I$814:I$817)</f>
        <v>11.2</v>
      </c>
      <c r="J818" s="14">
        <f t="shared" si="250"/>
        <v>0</v>
      </c>
      <c r="K818" s="14">
        <f t="shared" si="250"/>
        <v>11.2</v>
      </c>
      <c r="L818" s="14">
        <f t="shared" si="250"/>
        <v>0</v>
      </c>
      <c r="M818" s="14">
        <f t="shared" si="250"/>
        <v>0</v>
      </c>
      <c r="N818" s="14">
        <f t="shared" si="250"/>
        <v>0</v>
      </c>
      <c r="O818" s="14">
        <f t="shared" si="250"/>
        <v>0</v>
      </c>
      <c r="P818" s="128"/>
    </row>
    <row r="819" spans="2:16" ht="15.75" x14ac:dyDescent="0.2">
      <c r="B819" s="129"/>
      <c r="C819" s="129"/>
      <c r="D819" s="129"/>
      <c r="E819" s="129"/>
      <c r="F819" s="129"/>
      <c r="G819" s="129"/>
      <c r="H819" s="84" t="s">
        <v>4</v>
      </c>
      <c r="I819" s="14">
        <f t="shared" ref="I819:O819" si="251">SUMIF($H$814:$H$817,"фед*",I$814:I$817)</f>
        <v>0</v>
      </c>
      <c r="J819" s="14">
        <f t="shared" si="251"/>
        <v>0</v>
      </c>
      <c r="K819" s="14">
        <f t="shared" si="251"/>
        <v>0</v>
      </c>
      <c r="L819" s="14">
        <f t="shared" si="251"/>
        <v>0</v>
      </c>
      <c r="M819" s="14">
        <f t="shared" si="251"/>
        <v>0</v>
      </c>
      <c r="N819" s="14">
        <f t="shared" si="251"/>
        <v>0</v>
      </c>
      <c r="O819" s="14">
        <f t="shared" si="251"/>
        <v>0</v>
      </c>
      <c r="P819" s="129"/>
    </row>
    <row r="820" spans="2:16" ht="15.75" x14ac:dyDescent="0.2">
      <c r="B820" s="129"/>
      <c r="C820" s="129"/>
      <c r="D820" s="129"/>
      <c r="E820" s="129"/>
      <c r="F820" s="129"/>
      <c r="G820" s="129"/>
      <c r="H820" s="84" t="s">
        <v>6</v>
      </c>
      <c r="I820" s="14">
        <f t="shared" ref="I820:O820" si="252">SUMIF($H$814:$H$817,"конс*",I$814:I$817)</f>
        <v>11.2</v>
      </c>
      <c r="J820" s="14">
        <f t="shared" si="252"/>
        <v>0</v>
      </c>
      <c r="K820" s="14">
        <f t="shared" si="252"/>
        <v>11.2</v>
      </c>
      <c r="L820" s="14">
        <f t="shared" si="252"/>
        <v>0</v>
      </c>
      <c r="M820" s="14">
        <f t="shared" si="252"/>
        <v>0</v>
      </c>
      <c r="N820" s="14">
        <f t="shared" si="252"/>
        <v>0</v>
      </c>
      <c r="O820" s="14">
        <f t="shared" si="252"/>
        <v>0</v>
      </c>
      <c r="P820" s="129"/>
    </row>
    <row r="821" spans="2:16" ht="15.75" x14ac:dyDescent="0.2">
      <c r="B821" s="130"/>
      <c r="C821" s="130"/>
      <c r="D821" s="130"/>
      <c r="E821" s="130"/>
      <c r="F821" s="130"/>
      <c r="G821" s="130"/>
      <c r="H821" s="84" t="s">
        <v>5</v>
      </c>
      <c r="I821" s="14">
        <f t="shared" ref="I821:O821" si="253">SUMIF($H$814:$H$817,"вне*",I$814:I$817)</f>
        <v>0</v>
      </c>
      <c r="J821" s="14">
        <f t="shared" si="253"/>
        <v>0</v>
      </c>
      <c r="K821" s="14">
        <f t="shared" si="253"/>
        <v>0</v>
      </c>
      <c r="L821" s="14">
        <f t="shared" si="253"/>
        <v>0</v>
      </c>
      <c r="M821" s="14">
        <f t="shared" si="253"/>
        <v>0</v>
      </c>
      <c r="N821" s="14">
        <f t="shared" si="253"/>
        <v>0</v>
      </c>
      <c r="O821" s="14">
        <f t="shared" si="253"/>
        <v>0</v>
      </c>
      <c r="P821" s="130"/>
    </row>
    <row r="822" spans="2:16" ht="25.5" customHeight="1" x14ac:dyDescent="0.2">
      <c r="B822" s="111" t="s">
        <v>453</v>
      </c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3"/>
    </row>
    <row r="823" spans="2:16" s="21" customFormat="1" ht="42.75" customHeight="1" outlineLevel="1" x14ac:dyDescent="0.2">
      <c r="B823" s="117" t="s">
        <v>454</v>
      </c>
      <c r="C823" s="117"/>
      <c r="D823" s="117" t="s">
        <v>453</v>
      </c>
      <c r="E823" s="117" t="s">
        <v>75</v>
      </c>
      <c r="F823" s="117" t="s">
        <v>455</v>
      </c>
      <c r="G823" s="117" t="s">
        <v>456</v>
      </c>
      <c r="H823" s="19" t="s">
        <v>3</v>
      </c>
      <c r="I823" s="83">
        <f>SUM(J823:O823)</f>
        <v>164</v>
      </c>
      <c r="J823" s="83">
        <f t="shared" ref="J823:O823" si="254">J824+J825+J826</f>
        <v>0</v>
      </c>
      <c r="K823" s="83">
        <f t="shared" si="254"/>
        <v>164</v>
      </c>
      <c r="L823" s="83">
        <f t="shared" si="254"/>
        <v>0</v>
      </c>
      <c r="M823" s="83">
        <f t="shared" si="254"/>
        <v>0</v>
      </c>
      <c r="N823" s="83">
        <f t="shared" si="254"/>
        <v>0</v>
      </c>
      <c r="O823" s="83">
        <f t="shared" si="254"/>
        <v>0</v>
      </c>
      <c r="P823" s="139">
        <v>548</v>
      </c>
    </row>
    <row r="824" spans="2:16" s="21" customFormat="1" outlineLevel="1" x14ac:dyDescent="0.2">
      <c r="B824" s="118"/>
      <c r="C824" s="132"/>
      <c r="D824" s="118"/>
      <c r="E824" s="118"/>
      <c r="F824" s="118"/>
      <c r="G824" s="118"/>
      <c r="H824" s="19" t="s">
        <v>4</v>
      </c>
      <c r="I824" s="83"/>
      <c r="J824" s="83"/>
      <c r="K824" s="83"/>
      <c r="L824" s="83"/>
      <c r="M824" s="83"/>
      <c r="N824" s="83"/>
      <c r="O824" s="83"/>
      <c r="P824" s="140"/>
    </row>
    <row r="825" spans="2:16" s="21" customFormat="1" outlineLevel="1" x14ac:dyDescent="0.2">
      <c r="B825" s="118"/>
      <c r="C825" s="132"/>
      <c r="D825" s="118"/>
      <c r="E825" s="118"/>
      <c r="F825" s="118"/>
      <c r="G825" s="118"/>
      <c r="H825" s="19" t="s">
        <v>6</v>
      </c>
      <c r="I825" s="83">
        <f>SUM(J825:O825)</f>
        <v>164</v>
      </c>
      <c r="J825" s="83"/>
      <c r="K825" s="83">
        <v>164</v>
      </c>
      <c r="L825" s="83"/>
      <c r="M825" s="83"/>
      <c r="N825" s="83"/>
      <c r="O825" s="83"/>
      <c r="P825" s="140"/>
    </row>
    <row r="826" spans="2:16" s="21" customFormat="1" outlineLevel="1" x14ac:dyDescent="0.2">
      <c r="B826" s="119"/>
      <c r="C826" s="133"/>
      <c r="D826" s="119"/>
      <c r="E826" s="119"/>
      <c r="F826" s="119"/>
      <c r="G826" s="119"/>
      <c r="H826" s="19" t="s">
        <v>5</v>
      </c>
      <c r="I826" s="83"/>
      <c r="J826" s="83"/>
      <c r="K826" s="83"/>
      <c r="L826" s="83"/>
      <c r="M826" s="83"/>
      <c r="N826" s="83"/>
      <c r="O826" s="83"/>
      <c r="P826" s="141"/>
    </row>
    <row r="827" spans="2:16" s="21" customFormat="1" ht="42.75" customHeight="1" outlineLevel="1" x14ac:dyDescent="0.2">
      <c r="B827" s="117" t="s">
        <v>457</v>
      </c>
      <c r="C827" s="117"/>
      <c r="D827" s="117" t="s">
        <v>453</v>
      </c>
      <c r="E827" s="117" t="s">
        <v>75</v>
      </c>
      <c r="F827" s="117" t="s">
        <v>279</v>
      </c>
      <c r="G827" s="117" t="s">
        <v>458</v>
      </c>
      <c r="H827" s="19" t="s">
        <v>3</v>
      </c>
      <c r="I827" s="83">
        <f>SUM(J827:O827)</f>
        <v>33</v>
      </c>
      <c r="J827" s="83">
        <f t="shared" ref="J827:O827" si="255">J828+J829+J830</f>
        <v>0</v>
      </c>
      <c r="K827" s="83">
        <f t="shared" si="255"/>
        <v>33</v>
      </c>
      <c r="L827" s="83">
        <f t="shared" si="255"/>
        <v>0</v>
      </c>
      <c r="M827" s="83">
        <f t="shared" si="255"/>
        <v>0</v>
      </c>
      <c r="N827" s="83">
        <f t="shared" si="255"/>
        <v>0</v>
      </c>
      <c r="O827" s="83">
        <f t="shared" si="255"/>
        <v>0</v>
      </c>
      <c r="P827" s="139">
        <v>1080</v>
      </c>
    </row>
    <row r="828" spans="2:16" s="21" customFormat="1" outlineLevel="1" x14ac:dyDescent="0.2">
      <c r="B828" s="118"/>
      <c r="C828" s="132"/>
      <c r="D828" s="118"/>
      <c r="E828" s="118"/>
      <c r="F828" s="118"/>
      <c r="G828" s="118"/>
      <c r="H828" s="19" t="s">
        <v>4</v>
      </c>
      <c r="I828" s="83"/>
      <c r="J828" s="83"/>
      <c r="K828" s="83"/>
      <c r="L828" s="83"/>
      <c r="M828" s="83"/>
      <c r="N828" s="83"/>
      <c r="O828" s="83"/>
      <c r="P828" s="140"/>
    </row>
    <row r="829" spans="2:16" s="21" customFormat="1" outlineLevel="1" x14ac:dyDescent="0.2">
      <c r="B829" s="118"/>
      <c r="C829" s="132"/>
      <c r="D829" s="118"/>
      <c r="E829" s="118"/>
      <c r="F829" s="118"/>
      <c r="G829" s="118"/>
      <c r="H829" s="19" t="s">
        <v>6</v>
      </c>
      <c r="I829" s="83">
        <f>SUM(J829:O829)</f>
        <v>33</v>
      </c>
      <c r="J829" s="83"/>
      <c r="K829" s="83">
        <v>33</v>
      </c>
      <c r="L829" s="83"/>
      <c r="M829" s="83"/>
      <c r="N829" s="83"/>
      <c r="O829" s="83"/>
      <c r="P829" s="140"/>
    </row>
    <row r="830" spans="2:16" s="21" customFormat="1" outlineLevel="1" x14ac:dyDescent="0.2">
      <c r="B830" s="119"/>
      <c r="C830" s="133"/>
      <c r="D830" s="119"/>
      <c r="E830" s="119"/>
      <c r="F830" s="119"/>
      <c r="G830" s="119"/>
      <c r="H830" s="19" t="s">
        <v>5</v>
      </c>
      <c r="I830" s="83"/>
      <c r="J830" s="83"/>
      <c r="K830" s="83"/>
      <c r="L830" s="83"/>
      <c r="M830" s="83"/>
      <c r="N830" s="83"/>
      <c r="O830" s="83"/>
      <c r="P830" s="141"/>
    </row>
    <row r="831" spans="2:16" s="21" customFormat="1" ht="42.75" customHeight="1" outlineLevel="1" x14ac:dyDescent="0.2">
      <c r="B831" s="117" t="s">
        <v>459</v>
      </c>
      <c r="C831" s="117"/>
      <c r="D831" s="117" t="s">
        <v>453</v>
      </c>
      <c r="E831" s="117" t="s">
        <v>105</v>
      </c>
      <c r="F831" s="117" t="s">
        <v>460</v>
      </c>
      <c r="G831" s="117" t="s">
        <v>461</v>
      </c>
      <c r="H831" s="19" t="s">
        <v>3</v>
      </c>
      <c r="I831" s="83">
        <f>SUM(J831:O831)</f>
        <v>81.62</v>
      </c>
      <c r="J831" s="83">
        <f t="shared" ref="J831:O831" si="256">J832+J833+J834</f>
        <v>0</v>
      </c>
      <c r="K831" s="83">
        <f t="shared" si="256"/>
        <v>81.62</v>
      </c>
      <c r="L831" s="83">
        <f t="shared" si="256"/>
        <v>0</v>
      </c>
      <c r="M831" s="83">
        <f t="shared" si="256"/>
        <v>0</v>
      </c>
      <c r="N831" s="83">
        <f t="shared" si="256"/>
        <v>0</v>
      </c>
      <c r="O831" s="83">
        <f t="shared" si="256"/>
        <v>0</v>
      </c>
      <c r="P831" s="139"/>
    </row>
    <row r="832" spans="2:16" s="21" customFormat="1" outlineLevel="1" x14ac:dyDescent="0.2">
      <c r="B832" s="118"/>
      <c r="C832" s="132"/>
      <c r="D832" s="118"/>
      <c r="E832" s="118"/>
      <c r="F832" s="118"/>
      <c r="G832" s="118"/>
      <c r="H832" s="19" t="s">
        <v>4</v>
      </c>
      <c r="I832" s="83"/>
      <c r="J832" s="83"/>
      <c r="K832" s="83"/>
      <c r="L832" s="83"/>
      <c r="M832" s="83"/>
      <c r="N832" s="83"/>
      <c r="O832" s="83"/>
      <c r="P832" s="140"/>
    </row>
    <row r="833" spans="2:16" s="21" customFormat="1" outlineLevel="1" x14ac:dyDescent="0.2">
      <c r="B833" s="118"/>
      <c r="C833" s="132"/>
      <c r="D833" s="118"/>
      <c r="E833" s="118"/>
      <c r="F833" s="118"/>
      <c r="G833" s="118"/>
      <c r="H833" s="19" t="s">
        <v>6</v>
      </c>
      <c r="I833" s="83">
        <f>SUM(J833:O833)</f>
        <v>81.62</v>
      </c>
      <c r="J833" s="83"/>
      <c r="K833" s="83">
        <v>81.62</v>
      </c>
      <c r="L833" s="83"/>
      <c r="M833" s="83"/>
      <c r="N833" s="83"/>
      <c r="O833" s="83"/>
      <c r="P833" s="140"/>
    </row>
    <row r="834" spans="2:16" s="21" customFormat="1" outlineLevel="1" x14ac:dyDescent="0.2">
      <c r="B834" s="119"/>
      <c r="C834" s="133"/>
      <c r="D834" s="119"/>
      <c r="E834" s="119"/>
      <c r="F834" s="119"/>
      <c r="G834" s="119"/>
      <c r="H834" s="19" t="s">
        <v>5</v>
      </c>
      <c r="I834" s="83"/>
      <c r="J834" s="83"/>
      <c r="K834" s="83"/>
      <c r="L834" s="83"/>
      <c r="M834" s="83"/>
      <c r="N834" s="83"/>
      <c r="O834" s="83"/>
      <c r="P834" s="141"/>
    </row>
    <row r="835" spans="2:16" s="21" customFormat="1" ht="42.75" customHeight="1" outlineLevel="1" x14ac:dyDescent="0.2">
      <c r="B835" s="117" t="s">
        <v>462</v>
      </c>
      <c r="C835" s="117"/>
      <c r="D835" s="117" t="s">
        <v>453</v>
      </c>
      <c r="E835" s="117" t="s">
        <v>105</v>
      </c>
      <c r="F835" s="117" t="s">
        <v>463</v>
      </c>
      <c r="G835" s="117" t="s">
        <v>464</v>
      </c>
      <c r="H835" s="19" t="s">
        <v>3</v>
      </c>
      <c r="I835" s="83">
        <f>SUM(J835:O835)</f>
        <v>47.29</v>
      </c>
      <c r="J835" s="83">
        <f t="shared" ref="J835:O835" si="257">J836+J837+J838</f>
        <v>0</v>
      </c>
      <c r="K835" s="83">
        <f t="shared" si="257"/>
        <v>47.29</v>
      </c>
      <c r="L835" s="83">
        <f t="shared" si="257"/>
        <v>0</v>
      </c>
      <c r="M835" s="83">
        <f t="shared" si="257"/>
        <v>0</v>
      </c>
      <c r="N835" s="83">
        <f t="shared" si="257"/>
        <v>0</v>
      </c>
      <c r="O835" s="83">
        <f t="shared" si="257"/>
        <v>0</v>
      </c>
      <c r="P835" s="139"/>
    </row>
    <row r="836" spans="2:16" s="21" customFormat="1" outlineLevel="1" x14ac:dyDescent="0.2">
      <c r="B836" s="118"/>
      <c r="C836" s="132"/>
      <c r="D836" s="118"/>
      <c r="E836" s="118"/>
      <c r="F836" s="118"/>
      <c r="G836" s="118"/>
      <c r="H836" s="19" t="s">
        <v>4</v>
      </c>
      <c r="I836" s="83"/>
      <c r="J836" s="83"/>
      <c r="K836" s="83"/>
      <c r="L836" s="83"/>
      <c r="M836" s="83"/>
      <c r="N836" s="83"/>
      <c r="O836" s="83"/>
      <c r="P836" s="140"/>
    </row>
    <row r="837" spans="2:16" s="21" customFormat="1" outlineLevel="1" x14ac:dyDescent="0.2">
      <c r="B837" s="118"/>
      <c r="C837" s="132"/>
      <c r="D837" s="118"/>
      <c r="E837" s="118"/>
      <c r="F837" s="118"/>
      <c r="G837" s="118"/>
      <c r="H837" s="19" t="s">
        <v>6</v>
      </c>
      <c r="I837" s="83">
        <f>SUM(J837:O837)</f>
        <v>47.29</v>
      </c>
      <c r="J837" s="83"/>
      <c r="K837" s="83">
        <v>47.29</v>
      </c>
      <c r="L837" s="83"/>
      <c r="M837" s="83"/>
      <c r="N837" s="83"/>
      <c r="O837" s="83"/>
      <c r="P837" s="140"/>
    </row>
    <row r="838" spans="2:16" s="21" customFormat="1" outlineLevel="1" x14ac:dyDescent="0.2">
      <c r="B838" s="119"/>
      <c r="C838" s="133"/>
      <c r="D838" s="119"/>
      <c r="E838" s="119"/>
      <c r="F838" s="119"/>
      <c r="G838" s="119"/>
      <c r="H838" s="19" t="s">
        <v>5</v>
      </c>
      <c r="I838" s="83"/>
      <c r="J838" s="83"/>
      <c r="K838" s="83"/>
      <c r="L838" s="83"/>
      <c r="M838" s="83"/>
      <c r="N838" s="83"/>
      <c r="O838" s="83"/>
      <c r="P838" s="141"/>
    </row>
    <row r="839" spans="2:16" s="21" customFormat="1" ht="42.75" customHeight="1" outlineLevel="1" x14ac:dyDescent="0.2">
      <c r="B839" s="117" t="s">
        <v>465</v>
      </c>
      <c r="C839" s="117"/>
      <c r="D839" s="117" t="s">
        <v>453</v>
      </c>
      <c r="E839" s="117" t="s">
        <v>105</v>
      </c>
      <c r="F839" s="117" t="s">
        <v>466</v>
      </c>
      <c r="G839" s="117" t="s">
        <v>467</v>
      </c>
      <c r="H839" s="19" t="s">
        <v>3</v>
      </c>
      <c r="I839" s="83">
        <f>SUM(J839:O839)</f>
        <v>30.8</v>
      </c>
      <c r="J839" s="83">
        <f t="shared" ref="J839:O839" si="258">J840+J841+J842</f>
        <v>0</v>
      </c>
      <c r="K839" s="83">
        <f t="shared" si="258"/>
        <v>0</v>
      </c>
      <c r="L839" s="83">
        <f t="shared" si="258"/>
        <v>30.8</v>
      </c>
      <c r="M839" s="83">
        <f t="shared" si="258"/>
        <v>0</v>
      </c>
      <c r="N839" s="83">
        <f t="shared" si="258"/>
        <v>0</v>
      </c>
      <c r="O839" s="83">
        <f t="shared" si="258"/>
        <v>0</v>
      </c>
      <c r="P839" s="139"/>
    </row>
    <row r="840" spans="2:16" s="21" customFormat="1" outlineLevel="1" x14ac:dyDescent="0.2">
      <c r="B840" s="118"/>
      <c r="C840" s="132"/>
      <c r="D840" s="118"/>
      <c r="E840" s="118"/>
      <c r="F840" s="118"/>
      <c r="G840" s="118"/>
      <c r="H840" s="19" t="s">
        <v>4</v>
      </c>
      <c r="I840" s="83"/>
      <c r="J840" s="83"/>
      <c r="K840" s="83"/>
      <c r="L840" s="83"/>
      <c r="M840" s="83"/>
      <c r="N840" s="83"/>
      <c r="O840" s="83"/>
      <c r="P840" s="140"/>
    </row>
    <row r="841" spans="2:16" s="21" customFormat="1" outlineLevel="1" x14ac:dyDescent="0.2">
      <c r="B841" s="118"/>
      <c r="C841" s="132"/>
      <c r="D841" s="118"/>
      <c r="E841" s="118"/>
      <c r="F841" s="118"/>
      <c r="G841" s="118"/>
      <c r="H841" s="19" t="s">
        <v>6</v>
      </c>
      <c r="I841" s="83">
        <f>SUM(J841:O841)</f>
        <v>30.8</v>
      </c>
      <c r="J841" s="83"/>
      <c r="K841" s="83"/>
      <c r="L841" s="83">
        <v>30.8</v>
      </c>
      <c r="M841" s="83"/>
      <c r="N841" s="83"/>
      <c r="O841" s="83"/>
      <c r="P841" s="140"/>
    </row>
    <row r="842" spans="2:16" s="21" customFormat="1" outlineLevel="1" x14ac:dyDescent="0.2">
      <c r="B842" s="119"/>
      <c r="C842" s="133"/>
      <c r="D842" s="119"/>
      <c r="E842" s="119"/>
      <c r="F842" s="119"/>
      <c r="G842" s="119"/>
      <c r="H842" s="19" t="s">
        <v>5</v>
      </c>
      <c r="I842" s="83"/>
      <c r="J842" s="83"/>
      <c r="K842" s="83"/>
      <c r="L842" s="83"/>
      <c r="M842" s="83"/>
      <c r="N842" s="83"/>
      <c r="O842" s="83"/>
      <c r="P842" s="141"/>
    </row>
    <row r="843" spans="2:16" s="21" customFormat="1" ht="42.75" customHeight="1" outlineLevel="1" x14ac:dyDescent="0.2">
      <c r="B843" s="117" t="s">
        <v>468</v>
      </c>
      <c r="C843" s="117"/>
      <c r="D843" s="117" t="s">
        <v>453</v>
      </c>
      <c r="E843" s="117" t="s">
        <v>105</v>
      </c>
      <c r="F843" s="117" t="s">
        <v>469</v>
      </c>
      <c r="G843" s="117" t="s">
        <v>470</v>
      </c>
      <c r="H843" s="19" t="s">
        <v>3</v>
      </c>
      <c r="I843" s="83">
        <f>SUM(J843:O843)</f>
        <v>8.2200000000000006</v>
      </c>
      <c r="J843" s="83">
        <f t="shared" ref="J843:O843" si="259">J844+J845+J846</f>
        <v>0</v>
      </c>
      <c r="K843" s="83">
        <f t="shared" si="259"/>
        <v>0</v>
      </c>
      <c r="L843" s="83">
        <f t="shared" si="259"/>
        <v>8.2200000000000006</v>
      </c>
      <c r="M843" s="83">
        <f t="shared" si="259"/>
        <v>0</v>
      </c>
      <c r="N843" s="83">
        <f t="shared" si="259"/>
        <v>0</v>
      </c>
      <c r="O843" s="83">
        <f t="shared" si="259"/>
        <v>0</v>
      </c>
      <c r="P843" s="139"/>
    </row>
    <row r="844" spans="2:16" s="21" customFormat="1" outlineLevel="1" x14ac:dyDescent="0.2">
      <c r="B844" s="118"/>
      <c r="C844" s="132"/>
      <c r="D844" s="118"/>
      <c r="E844" s="118"/>
      <c r="F844" s="118"/>
      <c r="G844" s="118"/>
      <c r="H844" s="19" t="s">
        <v>4</v>
      </c>
      <c r="I844" s="83"/>
      <c r="J844" s="83"/>
      <c r="K844" s="83"/>
      <c r="L844" s="83"/>
      <c r="M844" s="83"/>
      <c r="N844" s="83"/>
      <c r="O844" s="83"/>
      <c r="P844" s="140"/>
    </row>
    <row r="845" spans="2:16" s="21" customFormat="1" outlineLevel="1" x14ac:dyDescent="0.2">
      <c r="B845" s="118"/>
      <c r="C845" s="132"/>
      <c r="D845" s="118"/>
      <c r="E845" s="118"/>
      <c r="F845" s="118"/>
      <c r="G845" s="118"/>
      <c r="H845" s="19" t="s">
        <v>6</v>
      </c>
      <c r="I845" s="83">
        <f>SUM(J845:O845)</f>
        <v>8.2200000000000006</v>
      </c>
      <c r="J845" s="83"/>
      <c r="K845" s="83"/>
      <c r="L845" s="83">
        <v>8.2200000000000006</v>
      </c>
      <c r="M845" s="83"/>
      <c r="N845" s="83"/>
      <c r="O845" s="83"/>
      <c r="P845" s="140"/>
    </row>
    <row r="846" spans="2:16" s="21" customFormat="1" outlineLevel="1" x14ac:dyDescent="0.2">
      <c r="B846" s="119"/>
      <c r="C846" s="133"/>
      <c r="D846" s="119"/>
      <c r="E846" s="119"/>
      <c r="F846" s="119"/>
      <c r="G846" s="119"/>
      <c r="H846" s="19" t="s">
        <v>5</v>
      </c>
      <c r="I846" s="83"/>
      <c r="J846" s="83"/>
      <c r="K846" s="83"/>
      <c r="L846" s="83"/>
      <c r="M846" s="83"/>
      <c r="N846" s="83"/>
      <c r="O846" s="83"/>
      <c r="P846" s="141"/>
    </row>
    <row r="847" spans="2:16" s="21" customFormat="1" ht="42.75" customHeight="1" outlineLevel="1" x14ac:dyDescent="0.2">
      <c r="B847" s="117" t="s">
        <v>471</v>
      </c>
      <c r="C847" s="117"/>
      <c r="D847" s="117" t="s">
        <v>453</v>
      </c>
      <c r="E847" s="117" t="s">
        <v>105</v>
      </c>
      <c r="F847" s="117" t="s">
        <v>472</v>
      </c>
      <c r="G847" s="117" t="s">
        <v>473</v>
      </c>
      <c r="H847" s="19" t="s">
        <v>3</v>
      </c>
      <c r="I847" s="83">
        <f>SUM(J847:O847)</f>
        <v>11.51</v>
      </c>
      <c r="J847" s="83">
        <f t="shared" ref="J847:O847" si="260">J848+J849+J850</f>
        <v>0</v>
      </c>
      <c r="K847" s="83">
        <f t="shared" si="260"/>
        <v>0</v>
      </c>
      <c r="L847" s="83">
        <f t="shared" si="260"/>
        <v>11.51</v>
      </c>
      <c r="M847" s="83">
        <f t="shared" si="260"/>
        <v>0</v>
      </c>
      <c r="N847" s="83">
        <f t="shared" si="260"/>
        <v>0</v>
      </c>
      <c r="O847" s="83">
        <f t="shared" si="260"/>
        <v>0</v>
      </c>
      <c r="P847" s="139"/>
    </row>
    <row r="848" spans="2:16" s="21" customFormat="1" outlineLevel="1" x14ac:dyDescent="0.2">
      <c r="B848" s="118"/>
      <c r="C848" s="132"/>
      <c r="D848" s="118"/>
      <c r="E848" s="118"/>
      <c r="F848" s="118"/>
      <c r="G848" s="118"/>
      <c r="H848" s="19" t="s">
        <v>4</v>
      </c>
      <c r="I848" s="83"/>
      <c r="J848" s="83"/>
      <c r="K848" s="83"/>
      <c r="L848" s="83"/>
      <c r="M848" s="83"/>
      <c r="N848" s="83"/>
      <c r="O848" s="83"/>
      <c r="P848" s="140"/>
    </row>
    <row r="849" spans="2:16" s="21" customFormat="1" outlineLevel="1" x14ac:dyDescent="0.2">
      <c r="B849" s="118"/>
      <c r="C849" s="132"/>
      <c r="D849" s="118"/>
      <c r="E849" s="118"/>
      <c r="F849" s="118"/>
      <c r="G849" s="118"/>
      <c r="H849" s="19" t="s">
        <v>6</v>
      </c>
      <c r="I849" s="83">
        <f>SUM(J849:O849)</f>
        <v>11.51</v>
      </c>
      <c r="J849" s="83"/>
      <c r="K849" s="83"/>
      <c r="L849" s="83">
        <v>11.51</v>
      </c>
      <c r="M849" s="83"/>
      <c r="N849" s="83"/>
      <c r="O849" s="83"/>
      <c r="P849" s="140"/>
    </row>
    <row r="850" spans="2:16" s="21" customFormat="1" outlineLevel="1" x14ac:dyDescent="0.2">
      <c r="B850" s="119"/>
      <c r="C850" s="133"/>
      <c r="D850" s="119"/>
      <c r="E850" s="119"/>
      <c r="F850" s="119"/>
      <c r="G850" s="119"/>
      <c r="H850" s="19" t="s">
        <v>5</v>
      </c>
      <c r="I850" s="83"/>
      <c r="J850" s="83"/>
      <c r="K850" s="83"/>
      <c r="L850" s="83"/>
      <c r="M850" s="83"/>
      <c r="N850" s="83"/>
      <c r="O850" s="83"/>
      <c r="P850" s="141"/>
    </row>
    <row r="851" spans="2:16" s="21" customFormat="1" ht="42.75" customHeight="1" outlineLevel="1" x14ac:dyDescent="0.2">
      <c r="B851" s="117" t="s">
        <v>474</v>
      </c>
      <c r="C851" s="117"/>
      <c r="D851" s="117" t="s">
        <v>453</v>
      </c>
      <c r="E851" s="117" t="s">
        <v>105</v>
      </c>
      <c r="F851" s="117" t="s">
        <v>475</v>
      </c>
      <c r="G851" s="117" t="s">
        <v>476</v>
      </c>
      <c r="H851" s="19" t="s">
        <v>3</v>
      </c>
      <c r="I851" s="83">
        <f>SUM(J851:O851)</f>
        <v>23.6</v>
      </c>
      <c r="J851" s="83">
        <f t="shared" ref="J851:O851" si="261">J852+J853+J854</f>
        <v>0</v>
      </c>
      <c r="K851" s="83">
        <f t="shared" si="261"/>
        <v>0</v>
      </c>
      <c r="L851" s="83">
        <f t="shared" si="261"/>
        <v>23.6</v>
      </c>
      <c r="M851" s="83">
        <f t="shared" si="261"/>
        <v>0</v>
      </c>
      <c r="N851" s="83">
        <f t="shared" si="261"/>
        <v>0</v>
      </c>
      <c r="O851" s="83">
        <f t="shared" si="261"/>
        <v>0</v>
      </c>
      <c r="P851" s="139"/>
    </row>
    <row r="852" spans="2:16" s="21" customFormat="1" outlineLevel="1" x14ac:dyDescent="0.2">
      <c r="B852" s="118"/>
      <c r="C852" s="132"/>
      <c r="D852" s="118"/>
      <c r="E852" s="118"/>
      <c r="F852" s="118"/>
      <c r="G852" s="118"/>
      <c r="H852" s="19" t="s">
        <v>4</v>
      </c>
      <c r="I852" s="83"/>
      <c r="J852" s="83"/>
      <c r="K852" s="83"/>
      <c r="L852" s="83"/>
      <c r="M852" s="83"/>
      <c r="N852" s="83"/>
      <c r="O852" s="83"/>
      <c r="P852" s="140"/>
    </row>
    <row r="853" spans="2:16" s="21" customFormat="1" outlineLevel="1" x14ac:dyDescent="0.2">
      <c r="B853" s="118"/>
      <c r="C853" s="132"/>
      <c r="D853" s="118"/>
      <c r="E853" s="118"/>
      <c r="F853" s="118"/>
      <c r="G853" s="118"/>
      <c r="H853" s="19" t="s">
        <v>6</v>
      </c>
      <c r="I853" s="83">
        <f>SUM(J853:O853)</f>
        <v>23.6</v>
      </c>
      <c r="J853" s="83"/>
      <c r="K853" s="83"/>
      <c r="L853" s="83">
        <v>23.6</v>
      </c>
      <c r="M853" s="83"/>
      <c r="N853" s="83"/>
      <c r="O853" s="83"/>
      <c r="P853" s="140"/>
    </row>
    <row r="854" spans="2:16" s="21" customFormat="1" outlineLevel="1" x14ac:dyDescent="0.2">
      <c r="B854" s="119"/>
      <c r="C854" s="133"/>
      <c r="D854" s="119"/>
      <c r="E854" s="119"/>
      <c r="F854" s="119"/>
      <c r="G854" s="119"/>
      <c r="H854" s="19" t="s">
        <v>5</v>
      </c>
      <c r="I854" s="83"/>
      <c r="J854" s="83"/>
      <c r="K854" s="83"/>
      <c r="L854" s="83"/>
      <c r="M854" s="83"/>
      <c r="N854" s="83"/>
      <c r="O854" s="83"/>
      <c r="P854" s="141"/>
    </row>
    <row r="855" spans="2:16" s="21" customFormat="1" ht="42.75" customHeight="1" outlineLevel="1" x14ac:dyDescent="0.2">
      <c r="B855" s="117" t="s">
        <v>477</v>
      </c>
      <c r="C855" s="117"/>
      <c r="D855" s="117" t="s">
        <v>453</v>
      </c>
      <c r="E855" s="117" t="s">
        <v>105</v>
      </c>
      <c r="F855" s="117" t="s">
        <v>478</v>
      </c>
      <c r="G855" s="117" t="s">
        <v>479</v>
      </c>
      <c r="H855" s="19" t="s">
        <v>3</v>
      </c>
      <c r="I855" s="83">
        <f>SUM(J855:O855)</f>
        <v>10.95</v>
      </c>
      <c r="J855" s="83">
        <f t="shared" ref="J855:O855" si="262">J856+J857+J858</f>
        <v>0</v>
      </c>
      <c r="K855" s="83">
        <f t="shared" si="262"/>
        <v>0</v>
      </c>
      <c r="L855" s="83">
        <f t="shared" si="262"/>
        <v>0</v>
      </c>
      <c r="M855" s="83">
        <f t="shared" si="262"/>
        <v>10.95</v>
      </c>
      <c r="N855" s="83">
        <f t="shared" si="262"/>
        <v>0</v>
      </c>
      <c r="O855" s="83">
        <f t="shared" si="262"/>
        <v>0</v>
      </c>
      <c r="P855" s="139"/>
    </row>
    <row r="856" spans="2:16" s="21" customFormat="1" outlineLevel="1" x14ac:dyDescent="0.2">
      <c r="B856" s="118"/>
      <c r="C856" s="132"/>
      <c r="D856" s="118"/>
      <c r="E856" s="118"/>
      <c r="F856" s="118"/>
      <c r="G856" s="118"/>
      <c r="H856" s="19" t="s">
        <v>4</v>
      </c>
      <c r="I856" s="83"/>
      <c r="J856" s="83"/>
      <c r="K856" s="83"/>
      <c r="L856" s="83"/>
      <c r="M856" s="83"/>
      <c r="N856" s="83"/>
      <c r="O856" s="83"/>
      <c r="P856" s="140"/>
    </row>
    <row r="857" spans="2:16" s="21" customFormat="1" outlineLevel="1" x14ac:dyDescent="0.2">
      <c r="B857" s="118"/>
      <c r="C857" s="132"/>
      <c r="D857" s="118"/>
      <c r="E857" s="118"/>
      <c r="F857" s="118"/>
      <c r="G857" s="118"/>
      <c r="H857" s="19" t="s">
        <v>6</v>
      </c>
      <c r="I857" s="83">
        <f>SUM(J857:O857)</f>
        <v>10.95</v>
      </c>
      <c r="J857" s="83"/>
      <c r="K857" s="83"/>
      <c r="L857" s="83"/>
      <c r="M857" s="17">
        <v>10.95</v>
      </c>
      <c r="N857" s="83"/>
      <c r="O857" s="83"/>
      <c r="P857" s="140"/>
    </row>
    <row r="858" spans="2:16" s="21" customFormat="1" outlineLevel="1" x14ac:dyDescent="0.2">
      <c r="B858" s="119"/>
      <c r="C858" s="133"/>
      <c r="D858" s="119"/>
      <c r="E858" s="119"/>
      <c r="F858" s="119"/>
      <c r="G858" s="119"/>
      <c r="H858" s="19" t="s">
        <v>5</v>
      </c>
      <c r="I858" s="83"/>
      <c r="J858" s="83"/>
      <c r="K858" s="83"/>
      <c r="L858" s="83"/>
      <c r="M858" s="83"/>
      <c r="N858" s="83"/>
      <c r="O858" s="83"/>
      <c r="P858" s="141"/>
    </row>
    <row r="859" spans="2:16" s="21" customFormat="1" ht="42.75" customHeight="1" outlineLevel="1" x14ac:dyDescent="0.2">
      <c r="B859" s="117" t="s">
        <v>480</v>
      </c>
      <c r="C859" s="117"/>
      <c r="D859" s="117" t="s">
        <v>453</v>
      </c>
      <c r="E859" s="117" t="s">
        <v>105</v>
      </c>
      <c r="F859" s="117" t="s">
        <v>481</v>
      </c>
      <c r="G859" s="117" t="s">
        <v>482</v>
      </c>
      <c r="H859" s="19" t="s">
        <v>3</v>
      </c>
      <c r="I859" s="83">
        <f>SUM(J859:O859)</f>
        <v>3.9</v>
      </c>
      <c r="J859" s="83">
        <f t="shared" ref="J859:O859" si="263">J860+J861+J862</f>
        <v>0</v>
      </c>
      <c r="K859" s="83">
        <f t="shared" si="263"/>
        <v>0</v>
      </c>
      <c r="L859" s="83">
        <f t="shared" si="263"/>
        <v>0</v>
      </c>
      <c r="M859" s="83">
        <f t="shared" si="263"/>
        <v>3.9</v>
      </c>
      <c r="N859" s="83">
        <f t="shared" si="263"/>
        <v>0</v>
      </c>
      <c r="O859" s="83">
        <f t="shared" si="263"/>
        <v>0</v>
      </c>
      <c r="P859" s="139"/>
    </row>
    <row r="860" spans="2:16" s="21" customFormat="1" outlineLevel="1" x14ac:dyDescent="0.2">
      <c r="B860" s="118"/>
      <c r="C860" s="132"/>
      <c r="D860" s="118"/>
      <c r="E860" s="118"/>
      <c r="F860" s="118"/>
      <c r="G860" s="118"/>
      <c r="H860" s="19" t="s">
        <v>4</v>
      </c>
      <c r="I860" s="83"/>
      <c r="J860" s="83"/>
      <c r="K860" s="83"/>
      <c r="L860" s="83"/>
      <c r="M860" s="83"/>
      <c r="N860" s="83"/>
      <c r="O860" s="83"/>
      <c r="P860" s="140"/>
    </row>
    <row r="861" spans="2:16" s="21" customFormat="1" outlineLevel="1" x14ac:dyDescent="0.2">
      <c r="B861" s="118"/>
      <c r="C861" s="132"/>
      <c r="D861" s="118"/>
      <c r="E861" s="118"/>
      <c r="F861" s="118"/>
      <c r="G861" s="118"/>
      <c r="H861" s="19" t="s">
        <v>6</v>
      </c>
      <c r="I861" s="83">
        <f>SUM(J861:O861)</f>
        <v>3.9</v>
      </c>
      <c r="J861" s="83"/>
      <c r="K861" s="83"/>
      <c r="L861" s="83"/>
      <c r="M861" s="83">
        <v>3.9</v>
      </c>
      <c r="N861" s="83"/>
      <c r="O861" s="83"/>
      <c r="P861" s="140"/>
    </row>
    <row r="862" spans="2:16" s="21" customFormat="1" outlineLevel="1" x14ac:dyDescent="0.2">
      <c r="B862" s="119"/>
      <c r="C862" s="133"/>
      <c r="D862" s="119"/>
      <c r="E862" s="119"/>
      <c r="F862" s="119"/>
      <c r="G862" s="119"/>
      <c r="H862" s="19" t="s">
        <v>5</v>
      </c>
      <c r="I862" s="83"/>
      <c r="J862" s="83"/>
      <c r="K862" s="83"/>
      <c r="L862" s="83"/>
      <c r="M862" s="83"/>
      <c r="N862" s="83"/>
      <c r="O862" s="83"/>
      <c r="P862" s="141"/>
    </row>
    <row r="863" spans="2:16" s="21" customFormat="1" ht="42.75" customHeight="1" outlineLevel="1" x14ac:dyDescent="0.2">
      <c r="B863" s="117" t="s">
        <v>483</v>
      </c>
      <c r="C863" s="117"/>
      <c r="D863" s="117" t="s">
        <v>453</v>
      </c>
      <c r="E863" s="117" t="s">
        <v>105</v>
      </c>
      <c r="F863" s="117" t="s">
        <v>484</v>
      </c>
      <c r="G863" s="117" t="s">
        <v>485</v>
      </c>
      <c r="H863" s="19" t="s">
        <v>3</v>
      </c>
      <c r="I863" s="83">
        <f>SUM(J863:O863)</f>
        <v>25.3</v>
      </c>
      <c r="J863" s="83">
        <f t="shared" ref="J863:O863" si="264">J864+J865+J866</f>
        <v>0</v>
      </c>
      <c r="K863" s="83">
        <f t="shared" si="264"/>
        <v>0</v>
      </c>
      <c r="L863" s="83">
        <f t="shared" si="264"/>
        <v>0</v>
      </c>
      <c r="M863" s="83">
        <f t="shared" si="264"/>
        <v>25.3</v>
      </c>
      <c r="N863" s="83">
        <f t="shared" si="264"/>
        <v>0</v>
      </c>
      <c r="O863" s="83">
        <f t="shared" si="264"/>
        <v>0</v>
      </c>
      <c r="P863" s="139"/>
    </row>
    <row r="864" spans="2:16" s="21" customFormat="1" outlineLevel="1" x14ac:dyDescent="0.2">
      <c r="B864" s="118"/>
      <c r="C864" s="132"/>
      <c r="D864" s="118"/>
      <c r="E864" s="118"/>
      <c r="F864" s="118"/>
      <c r="G864" s="118"/>
      <c r="H864" s="19" t="s">
        <v>4</v>
      </c>
      <c r="I864" s="83"/>
      <c r="J864" s="83"/>
      <c r="K864" s="83"/>
      <c r="L864" s="83"/>
      <c r="M864" s="83"/>
      <c r="N864" s="83"/>
      <c r="O864" s="83"/>
      <c r="P864" s="140"/>
    </row>
    <row r="865" spans="2:17" s="21" customFormat="1" outlineLevel="1" x14ac:dyDescent="0.2">
      <c r="B865" s="118"/>
      <c r="C865" s="132"/>
      <c r="D865" s="118"/>
      <c r="E865" s="118"/>
      <c r="F865" s="118"/>
      <c r="G865" s="118"/>
      <c r="H865" s="19" t="s">
        <v>6</v>
      </c>
      <c r="I865" s="83">
        <f>SUM(J865:O865)</f>
        <v>25.3</v>
      </c>
      <c r="J865" s="83"/>
      <c r="K865" s="83"/>
      <c r="L865" s="83"/>
      <c r="M865" s="83">
        <v>25.3</v>
      </c>
      <c r="N865" s="83"/>
      <c r="O865" s="83"/>
      <c r="P865" s="140"/>
    </row>
    <row r="866" spans="2:17" s="21" customFormat="1" outlineLevel="1" x14ac:dyDescent="0.2">
      <c r="B866" s="119"/>
      <c r="C866" s="133"/>
      <c r="D866" s="119"/>
      <c r="E866" s="119"/>
      <c r="F866" s="119"/>
      <c r="G866" s="119"/>
      <c r="H866" s="19" t="s">
        <v>5</v>
      </c>
      <c r="I866" s="83"/>
      <c r="J866" s="83"/>
      <c r="K866" s="83"/>
      <c r="L866" s="83"/>
      <c r="M866" s="83"/>
      <c r="N866" s="83"/>
      <c r="O866" s="83"/>
      <c r="P866" s="141"/>
    </row>
    <row r="867" spans="2:17" s="21" customFormat="1" ht="42.75" customHeight="1" outlineLevel="1" x14ac:dyDescent="0.2">
      <c r="B867" s="117" t="s">
        <v>486</v>
      </c>
      <c r="C867" s="117"/>
      <c r="D867" s="117" t="s">
        <v>453</v>
      </c>
      <c r="E867" s="117" t="s">
        <v>105</v>
      </c>
      <c r="F867" s="117" t="s">
        <v>487</v>
      </c>
      <c r="G867" s="117" t="s">
        <v>488</v>
      </c>
      <c r="H867" s="19" t="s">
        <v>3</v>
      </c>
      <c r="I867" s="83">
        <f>SUM(J867:O867)</f>
        <v>3.5</v>
      </c>
      <c r="J867" s="83">
        <f t="shared" ref="J867:O867" si="265">J868+J869+J870</f>
        <v>0</v>
      </c>
      <c r="K867" s="83">
        <f t="shared" si="265"/>
        <v>0</v>
      </c>
      <c r="L867" s="83">
        <f t="shared" si="265"/>
        <v>0</v>
      </c>
      <c r="M867" s="83">
        <f t="shared" si="265"/>
        <v>0</v>
      </c>
      <c r="N867" s="83">
        <f t="shared" si="265"/>
        <v>3.5</v>
      </c>
      <c r="O867" s="83">
        <f t="shared" si="265"/>
        <v>0</v>
      </c>
      <c r="P867" s="139"/>
    </row>
    <row r="868" spans="2:17" s="21" customFormat="1" outlineLevel="1" x14ac:dyDescent="0.2">
      <c r="B868" s="118"/>
      <c r="C868" s="132"/>
      <c r="D868" s="118"/>
      <c r="E868" s="118"/>
      <c r="F868" s="118"/>
      <c r="G868" s="118"/>
      <c r="H868" s="19" t="s">
        <v>4</v>
      </c>
      <c r="I868" s="83"/>
      <c r="J868" s="83"/>
      <c r="K868" s="83"/>
      <c r="L868" s="83"/>
      <c r="M868" s="83"/>
      <c r="N868" s="83"/>
      <c r="O868" s="83"/>
      <c r="P868" s="140"/>
    </row>
    <row r="869" spans="2:17" s="21" customFormat="1" outlineLevel="1" x14ac:dyDescent="0.2">
      <c r="B869" s="118"/>
      <c r="C869" s="132"/>
      <c r="D869" s="118"/>
      <c r="E869" s="118"/>
      <c r="F869" s="118"/>
      <c r="G869" s="118"/>
      <c r="H869" s="19" t="s">
        <v>6</v>
      </c>
      <c r="I869" s="83">
        <f>SUM(J869:O869)</f>
        <v>3.5</v>
      </c>
      <c r="J869" s="83"/>
      <c r="K869" s="83"/>
      <c r="L869" s="83"/>
      <c r="M869" s="83"/>
      <c r="N869" s="83">
        <v>3.5</v>
      </c>
      <c r="O869" s="83"/>
      <c r="P869" s="140"/>
    </row>
    <row r="870" spans="2:17" s="21" customFormat="1" outlineLevel="1" x14ac:dyDescent="0.2">
      <c r="B870" s="119"/>
      <c r="C870" s="133"/>
      <c r="D870" s="119"/>
      <c r="E870" s="119"/>
      <c r="F870" s="119"/>
      <c r="G870" s="119"/>
      <c r="H870" s="19" t="s">
        <v>5</v>
      </c>
      <c r="I870" s="83"/>
      <c r="J870" s="83"/>
      <c r="K870" s="83"/>
      <c r="L870" s="83"/>
      <c r="M870" s="83"/>
      <c r="N870" s="83"/>
      <c r="O870" s="83"/>
      <c r="P870" s="141"/>
    </row>
    <row r="871" spans="2:17" s="21" customFormat="1" ht="42.75" customHeight="1" outlineLevel="1" x14ac:dyDescent="0.2">
      <c r="B871" s="117" t="s">
        <v>489</v>
      </c>
      <c r="C871" s="117"/>
      <c r="D871" s="117" t="s">
        <v>453</v>
      </c>
      <c r="E871" s="117" t="s">
        <v>105</v>
      </c>
      <c r="F871" s="117" t="s">
        <v>490</v>
      </c>
      <c r="G871" s="117" t="s">
        <v>491</v>
      </c>
      <c r="H871" s="19" t="s">
        <v>3</v>
      </c>
      <c r="I871" s="83">
        <f>SUM(J871:O871)</f>
        <v>7.45</v>
      </c>
      <c r="J871" s="83">
        <f t="shared" ref="J871:O871" si="266">J872+J873+J874</f>
        <v>0</v>
      </c>
      <c r="K871" s="83">
        <f t="shared" si="266"/>
        <v>0</v>
      </c>
      <c r="L871" s="83">
        <f t="shared" si="266"/>
        <v>0</v>
      </c>
      <c r="M871" s="83">
        <f t="shared" si="266"/>
        <v>0</v>
      </c>
      <c r="N871" s="83">
        <f t="shared" si="266"/>
        <v>7.45</v>
      </c>
      <c r="O871" s="83">
        <f t="shared" si="266"/>
        <v>0</v>
      </c>
      <c r="P871" s="139"/>
    </row>
    <row r="872" spans="2:17" s="21" customFormat="1" outlineLevel="1" x14ac:dyDescent="0.2">
      <c r="B872" s="118"/>
      <c r="C872" s="132"/>
      <c r="D872" s="118"/>
      <c r="E872" s="118"/>
      <c r="F872" s="118"/>
      <c r="G872" s="118"/>
      <c r="H872" s="19" t="s">
        <v>4</v>
      </c>
      <c r="I872" s="83"/>
      <c r="J872" s="83"/>
      <c r="K872" s="83"/>
      <c r="L872" s="83"/>
      <c r="M872" s="83"/>
      <c r="N872" s="83"/>
      <c r="O872" s="83"/>
      <c r="P872" s="140"/>
    </row>
    <row r="873" spans="2:17" s="21" customFormat="1" outlineLevel="1" x14ac:dyDescent="0.2">
      <c r="B873" s="118"/>
      <c r="C873" s="132"/>
      <c r="D873" s="118"/>
      <c r="E873" s="118"/>
      <c r="F873" s="118"/>
      <c r="G873" s="118"/>
      <c r="H873" s="19" t="s">
        <v>6</v>
      </c>
      <c r="I873" s="83">
        <f>SUM(J873:O873)</f>
        <v>7.45</v>
      </c>
      <c r="J873" s="83"/>
      <c r="K873" s="83"/>
      <c r="L873" s="83"/>
      <c r="M873" s="83"/>
      <c r="N873" s="83">
        <v>7.45</v>
      </c>
      <c r="O873" s="83"/>
      <c r="P873" s="140"/>
    </row>
    <row r="874" spans="2:17" s="21" customFormat="1" outlineLevel="1" x14ac:dyDescent="0.2">
      <c r="B874" s="119"/>
      <c r="C874" s="133"/>
      <c r="D874" s="119"/>
      <c r="E874" s="119"/>
      <c r="F874" s="119"/>
      <c r="G874" s="119"/>
      <c r="H874" s="19" t="s">
        <v>5</v>
      </c>
      <c r="I874" s="83"/>
      <c r="J874" s="83"/>
      <c r="K874" s="83"/>
      <c r="L874" s="83"/>
      <c r="M874" s="83"/>
      <c r="N874" s="83"/>
      <c r="O874" s="83"/>
      <c r="P874" s="141"/>
    </row>
    <row r="875" spans="2:17" ht="42.75" x14ac:dyDescent="0.2">
      <c r="B875" s="128" t="s">
        <v>492</v>
      </c>
      <c r="C875" s="128" t="s">
        <v>38</v>
      </c>
      <c r="D875" s="128" t="s">
        <v>38</v>
      </c>
      <c r="E875" s="128" t="s">
        <v>38</v>
      </c>
      <c r="F875" s="128" t="s">
        <v>38</v>
      </c>
      <c r="G875" s="128" t="s">
        <v>38</v>
      </c>
      <c r="H875" s="84" t="s">
        <v>3</v>
      </c>
      <c r="I875" s="14">
        <f t="shared" ref="I875:O875" si="267">SUMIF($H$823:$H$874,"Объем*",I$823:I$874)</f>
        <v>451.14000000000004</v>
      </c>
      <c r="J875" s="14">
        <f t="shared" si="267"/>
        <v>0</v>
      </c>
      <c r="K875" s="14">
        <f t="shared" si="267"/>
        <v>325.91000000000003</v>
      </c>
      <c r="L875" s="14">
        <f t="shared" si="267"/>
        <v>74.13</v>
      </c>
      <c r="M875" s="14">
        <f t="shared" si="267"/>
        <v>40.15</v>
      </c>
      <c r="N875" s="14">
        <f t="shared" si="267"/>
        <v>10.95</v>
      </c>
      <c r="O875" s="14">
        <f t="shared" si="267"/>
        <v>0</v>
      </c>
      <c r="P875" s="128"/>
      <c r="Q875" s="7"/>
    </row>
    <row r="876" spans="2:17" ht="15.75" x14ac:dyDescent="0.2">
      <c r="B876" s="129"/>
      <c r="C876" s="129"/>
      <c r="D876" s="129"/>
      <c r="E876" s="129"/>
      <c r="F876" s="129"/>
      <c r="G876" s="129"/>
      <c r="H876" s="84" t="s">
        <v>4</v>
      </c>
      <c r="I876" s="14">
        <f t="shared" ref="I876:O876" si="268">SUMIF($H$823:$H$874,"фед*",I$823:I$874)</f>
        <v>0</v>
      </c>
      <c r="J876" s="14">
        <f t="shared" si="268"/>
        <v>0</v>
      </c>
      <c r="K876" s="14">
        <f t="shared" si="268"/>
        <v>0</v>
      </c>
      <c r="L876" s="14">
        <f t="shared" si="268"/>
        <v>0</v>
      </c>
      <c r="M876" s="14">
        <f t="shared" si="268"/>
        <v>0</v>
      </c>
      <c r="N876" s="14">
        <f t="shared" si="268"/>
        <v>0</v>
      </c>
      <c r="O876" s="14">
        <f t="shared" si="268"/>
        <v>0</v>
      </c>
      <c r="P876" s="129"/>
    </row>
    <row r="877" spans="2:17" ht="15.75" x14ac:dyDescent="0.2">
      <c r="B877" s="129"/>
      <c r="C877" s="129"/>
      <c r="D877" s="129"/>
      <c r="E877" s="129"/>
      <c r="F877" s="129"/>
      <c r="G877" s="129"/>
      <c r="H877" s="84" t="s">
        <v>6</v>
      </c>
      <c r="I877" s="14">
        <f t="shared" ref="I877:O877" si="269">SUMIF($H$823:$H$874,"конс*",I$823:I$874)</f>
        <v>451.14000000000004</v>
      </c>
      <c r="J877" s="14">
        <f t="shared" si="269"/>
        <v>0</v>
      </c>
      <c r="K877" s="14">
        <f t="shared" si="269"/>
        <v>325.91000000000003</v>
      </c>
      <c r="L877" s="14">
        <f t="shared" si="269"/>
        <v>74.13</v>
      </c>
      <c r="M877" s="14">
        <f t="shared" si="269"/>
        <v>40.15</v>
      </c>
      <c r="N877" s="14">
        <f t="shared" si="269"/>
        <v>10.95</v>
      </c>
      <c r="O877" s="14">
        <f t="shared" si="269"/>
        <v>0</v>
      </c>
      <c r="P877" s="129"/>
    </row>
    <row r="878" spans="2:17" ht="15.75" x14ac:dyDescent="0.2">
      <c r="B878" s="130"/>
      <c r="C878" s="130"/>
      <c r="D878" s="130"/>
      <c r="E878" s="130"/>
      <c r="F878" s="130"/>
      <c r="G878" s="130"/>
      <c r="H878" s="84" t="s">
        <v>5</v>
      </c>
      <c r="I878" s="14">
        <f t="shared" ref="I878:O878" si="270">SUMIF($H$823:$H$874,"вне*",I$823:I$874)</f>
        <v>0</v>
      </c>
      <c r="J878" s="14">
        <f t="shared" si="270"/>
        <v>0</v>
      </c>
      <c r="K878" s="14">
        <f t="shared" si="270"/>
        <v>0</v>
      </c>
      <c r="L878" s="14">
        <f t="shared" si="270"/>
        <v>0</v>
      </c>
      <c r="M878" s="14">
        <f t="shared" si="270"/>
        <v>0</v>
      </c>
      <c r="N878" s="14">
        <f t="shared" si="270"/>
        <v>0</v>
      </c>
      <c r="O878" s="14">
        <f t="shared" si="270"/>
        <v>0</v>
      </c>
      <c r="P878" s="130"/>
    </row>
    <row r="879" spans="2:17" ht="25.5" customHeight="1" x14ac:dyDescent="0.2">
      <c r="B879" s="111" t="s">
        <v>493</v>
      </c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3"/>
    </row>
    <row r="880" spans="2:17" s="21" customFormat="1" ht="42.75" outlineLevel="1" x14ac:dyDescent="0.2">
      <c r="B880" s="139" t="s">
        <v>494</v>
      </c>
      <c r="C880" s="139"/>
      <c r="D880" s="139" t="s">
        <v>493</v>
      </c>
      <c r="E880" s="139">
        <v>2026</v>
      </c>
      <c r="F880" s="139" t="s">
        <v>495</v>
      </c>
      <c r="G880" s="139" t="s">
        <v>83</v>
      </c>
      <c r="H880" s="19" t="s">
        <v>3</v>
      </c>
      <c r="I880" s="20">
        <f>SUM(J880:O880)</f>
        <v>7</v>
      </c>
      <c r="J880" s="20">
        <f t="shared" ref="J880:O880" si="271">J881+J882+J883</f>
        <v>0</v>
      </c>
      <c r="K880" s="20">
        <v>7</v>
      </c>
      <c r="L880" s="20">
        <f t="shared" si="271"/>
        <v>0</v>
      </c>
      <c r="M880" s="20">
        <f t="shared" si="271"/>
        <v>0</v>
      </c>
      <c r="N880" s="20"/>
      <c r="O880" s="20">
        <f t="shared" si="271"/>
        <v>0</v>
      </c>
      <c r="P880" s="139"/>
    </row>
    <row r="881" spans="2:16" s="21" customFormat="1" outlineLevel="1" x14ac:dyDescent="0.2">
      <c r="B881" s="140"/>
      <c r="C881" s="132"/>
      <c r="D881" s="140"/>
      <c r="E881" s="140"/>
      <c r="F881" s="140"/>
      <c r="G881" s="140"/>
      <c r="H881" s="19" t="s">
        <v>4</v>
      </c>
      <c r="I881" s="20">
        <f t="shared" ref="I881:I927" si="272">SUM(J881:O881)</f>
        <v>0</v>
      </c>
      <c r="J881" s="20"/>
      <c r="K881" s="20"/>
      <c r="L881" s="20"/>
      <c r="M881" s="20"/>
      <c r="N881" s="20"/>
      <c r="O881" s="20"/>
      <c r="P881" s="140"/>
    </row>
    <row r="882" spans="2:16" s="21" customFormat="1" outlineLevel="1" x14ac:dyDescent="0.2">
      <c r="B882" s="140"/>
      <c r="C882" s="132"/>
      <c r="D882" s="140"/>
      <c r="E882" s="140"/>
      <c r="F882" s="140"/>
      <c r="G882" s="140"/>
      <c r="H882" s="19" t="s">
        <v>6</v>
      </c>
      <c r="I882" s="20">
        <f t="shared" si="272"/>
        <v>7</v>
      </c>
      <c r="J882" s="20"/>
      <c r="K882" s="20">
        <v>7</v>
      </c>
      <c r="L882" s="20"/>
      <c r="M882" s="20"/>
      <c r="N882" s="20"/>
      <c r="O882" s="20"/>
      <c r="P882" s="140"/>
    </row>
    <row r="883" spans="2:16" s="21" customFormat="1" outlineLevel="1" x14ac:dyDescent="0.2">
      <c r="B883" s="141"/>
      <c r="C883" s="133"/>
      <c r="D883" s="141"/>
      <c r="E883" s="141"/>
      <c r="F883" s="141"/>
      <c r="G883" s="141"/>
      <c r="H883" s="19" t="s">
        <v>5</v>
      </c>
      <c r="I883" s="20">
        <f t="shared" si="272"/>
        <v>0</v>
      </c>
      <c r="J883" s="20"/>
      <c r="K883" s="20"/>
      <c r="L883" s="20"/>
      <c r="M883" s="20"/>
      <c r="N883" s="20"/>
      <c r="O883" s="20"/>
      <c r="P883" s="141"/>
    </row>
    <row r="884" spans="2:16" s="21" customFormat="1" ht="75.75" customHeight="1" outlineLevel="1" x14ac:dyDescent="0.2">
      <c r="B884" s="139" t="s">
        <v>496</v>
      </c>
      <c r="C884" s="139"/>
      <c r="D884" s="139" t="s">
        <v>493</v>
      </c>
      <c r="E884" s="139">
        <v>2026</v>
      </c>
      <c r="F884" s="139" t="s">
        <v>497</v>
      </c>
      <c r="G884" s="139" t="s">
        <v>83</v>
      </c>
      <c r="H884" s="19" t="s">
        <v>3</v>
      </c>
      <c r="I884" s="20">
        <f t="shared" si="272"/>
        <v>41.5</v>
      </c>
      <c r="J884" s="20">
        <f>J885+J886+J887</f>
        <v>0</v>
      </c>
      <c r="K884" s="20">
        <v>41.5</v>
      </c>
      <c r="L884" s="20">
        <f>L885+L886+L887</f>
        <v>0</v>
      </c>
      <c r="M884" s="20">
        <f>M885+M886+M887</f>
        <v>0</v>
      </c>
      <c r="N884" s="20"/>
      <c r="O884" s="20"/>
      <c r="P884" s="139"/>
    </row>
    <row r="885" spans="2:16" s="21" customFormat="1" outlineLevel="1" x14ac:dyDescent="0.2">
      <c r="B885" s="140"/>
      <c r="C885" s="132"/>
      <c r="D885" s="140"/>
      <c r="E885" s="140"/>
      <c r="F885" s="140"/>
      <c r="G885" s="140"/>
      <c r="H885" s="19" t="s">
        <v>4</v>
      </c>
      <c r="I885" s="20">
        <f t="shared" si="272"/>
        <v>0</v>
      </c>
      <c r="J885" s="20"/>
      <c r="K885" s="20"/>
      <c r="L885" s="20"/>
      <c r="M885" s="20"/>
      <c r="N885" s="20"/>
      <c r="O885" s="20"/>
      <c r="P885" s="140"/>
    </row>
    <row r="886" spans="2:16" s="21" customFormat="1" outlineLevel="1" x14ac:dyDescent="0.2">
      <c r="B886" s="140"/>
      <c r="C886" s="132"/>
      <c r="D886" s="140"/>
      <c r="E886" s="140"/>
      <c r="F886" s="140"/>
      <c r="G886" s="140"/>
      <c r="H886" s="19" t="s">
        <v>6</v>
      </c>
      <c r="I886" s="20">
        <f t="shared" si="272"/>
        <v>41.5</v>
      </c>
      <c r="J886" s="20"/>
      <c r="K886" s="20">
        <v>41.5</v>
      </c>
      <c r="L886" s="20"/>
      <c r="M886" s="20"/>
      <c r="N886" s="20"/>
      <c r="O886" s="20"/>
      <c r="P886" s="140"/>
    </row>
    <row r="887" spans="2:16" s="21" customFormat="1" outlineLevel="1" x14ac:dyDescent="0.2">
      <c r="B887" s="141"/>
      <c r="C887" s="133"/>
      <c r="D887" s="141"/>
      <c r="E887" s="141"/>
      <c r="F887" s="141"/>
      <c r="G887" s="141"/>
      <c r="H887" s="19" t="s">
        <v>5</v>
      </c>
      <c r="I887" s="20">
        <f t="shared" si="272"/>
        <v>0</v>
      </c>
      <c r="J887" s="20"/>
      <c r="K887" s="20"/>
      <c r="L887" s="20"/>
      <c r="M887" s="20"/>
      <c r="N887" s="20"/>
      <c r="O887" s="20"/>
      <c r="P887" s="141"/>
    </row>
    <row r="888" spans="2:16" s="21" customFormat="1" ht="42.75" outlineLevel="1" x14ac:dyDescent="0.2">
      <c r="B888" s="139" t="s">
        <v>498</v>
      </c>
      <c r="C888" s="139"/>
      <c r="D888" s="139" t="s">
        <v>493</v>
      </c>
      <c r="E888" s="139">
        <v>2026</v>
      </c>
      <c r="F888" s="139" t="s">
        <v>499</v>
      </c>
      <c r="G888" s="139" t="s">
        <v>83</v>
      </c>
      <c r="H888" s="19" t="s">
        <v>3</v>
      </c>
      <c r="I888" s="20">
        <f t="shared" si="272"/>
        <v>10.4</v>
      </c>
      <c r="J888" s="20">
        <f t="shared" ref="J888:O888" si="273">J889+J890+J891</f>
        <v>0</v>
      </c>
      <c r="K888" s="20">
        <v>10.4</v>
      </c>
      <c r="L888" s="20">
        <f t="shared" si="273"/>
        <v>0</v>
      </c>
      <c r="M888" s="20">
        <f t="shared" si="273"/>
        <v>0</v>
      </c>
      <c r="N888" s="20">
        <f t="shared" si="273"/>
        <v>0</v>
      </c>
      <c r="O888" s="20">
        <f t="shared" si="273"/>
        <v>0</v>
      </c>
      <c r="P888" s="139"/>
    </row>
    <row r="889" spans="2:16" s="21" customFormat="1" outlineLevel="1" x14ac:dyDescent="0.2">
      <c r="B889" s="140"/>
      <c r="C889" s="132"/>
      <c r="D889" s="140"/>
      <c r="E889" s="140"/>
      <c r="F889" s="140"/>
      <c r="G889" s="140"/>
      <c r="H889" s="19" t="s">
        <v>4</v>
      </c>
      <c r="I889" s="20">
        <f t="shared" si="272"/>
        <v>0</v>
      </c>
      <c r="J889" s="20"/>
      <c r="K889" s="20"/>
      <c r="L889" s="20"/>
      <c r="M889" s="20"/>
      <c r="N889" s="20"/>
      <c r="O889" s="20"/>
      <c r="P889" s="140"/>
    </row>
    <row r="890" spans="2:16" s="21" customFormat="1" outlineLevel="1" x14ac:dyDescent="0.2">
      <c r="B890" s="140"/>
      <c r="C890" s="132"/>
      <c r="D890" s="140"/>
      <c r="E890" s="140"/>
      <c r="F890" s="140"/>
      <c r="G890" s="140"/>
      <c r="H890" s="19" t="s">
        <v>6</v>
      </c>
      <c r="I890" s="20">
        <f t="shared" si="272"/>
        <v>10.4</v>
      </c>
      <c r="J890" s="20"/>
      <c r="K890" s="20">
        <v>10.4</v>
      </c>
      <c r="L890" s="20"/>
      <c r="M890" s="20"/>
      <c r="N890" s="20"/>
      <c r="O890" s="20"/>
      <c r="P890" s="140"/>
    </row>
    <row r="891" spans="2:16" s="21" customFormat="1" outlineLevel="1" x14ac:dyDescent="0.2">
      <c r="B891" s="141"/>
      <c r="C891" s="133"/>
      <c r="D891" s="141"/>
      <c r="E891" s="141"/>
      <c r="F891" s="141"/>
      <c r="G891" s="141"/>
      <c r="H891" s="19" t="s">
        <v>5</v>
      </c>
      <c r="I891" s="20">
        <f t="shared" si="272"/>
        <v>0</v>
      </c>
      <c r="J891" s="20"/>
      <c r="K891" s="20"/>
      <c r="L891" s="20"/>
      <c r="M891" s="20"/>
      <c r="N891" s="20"/>
      <c r="O891" s="20"/>
      <c r="P891" s="141"/>
    </row>
    <row r="892" spans="2:16" s="21" customFormat="1" ht="42.75" outlineLevel="1" x14ac:dyDescent="0.2">
      <c r="B892" s="139" t="s">
        <v>500</v>
      </c>
      <c r="C892" s="139"/>
      <c r="D892" s="139" t="s">
        <v>493</v>
      </c>
      <c r="E892" s="139">
        <v>2026</v>
      </c>
      <c r="F892" s="139"/>
      <c r="G892" s="139" t="s">
        <v>63</v>
      </c>
      <c r="H892" s="19" t="s">
        <v>3</v>
      </c>
      <c r="I892" s="20">
        <f t="shared" si="272"/>
        <v>108.5</v>
      </c>
      <c r="J892" s="20">
        <v>25</v>
      </c>
      <c r="K892" s="20">
        <v>75</v>
      </c>
      <c r="L892" s="20">
        <v>8.5</v>
      </c>
      <c r="M892" s="20"/>
      <c r="N892" s="20"/>
      <c r="O892" s="20"/>
      <c r="P892" s="139">
        <v>13000</v>
      </c>
    </row>
    <row r="893" spans="2:16" s="21" customFormat="1" outlineLevel="1" x14ac:dyDescent="0.2">
      <c r="B893" s="140"/>
      <c r="C893" s="132"/>
      <c r="D893" s="140"/>
      <c r="E893" s="140"/>
      <c r="F893" s="140"/>
      <c r="G893" s="140"/>
      <c r="H893" s="19" t="s">
        <v>4</v>
      </c>
      <c r="I893" s="20">
        <f t="shared" si="272"/>
        <v>0</v>
      </c>
      <c r="J893" s="20"/>
      <c r="K893" s="20"/>
      <c r="L893" s="20"/>
      <c r="M893" s="20"/>
      <c r="N893" s="20"/>
      <c r="O893" s="20"/>
      <c r="P893" s="140"/>
    </row>
    <row r="894" spans="2:16" s="21" customFormat="1" outlineLevel="1" x14ac:dyDescent="0.2">
      <c r="B894" s="140"/>
      <c r="C894" s="132"/>
      <c r="D894" s="140"/>
      <c r="E894" s="140"/>
      <c r="F894" s="140"/>
      <c r="G894" s="140"/>
      <c r="H894" s="19" t="s">
        <v>6</v>
      </c>
      <c r="I894" s="20">
        <f t="shared" si="272"/>
        <v>108.5</v>
      </c>
      <c r="J894" s="20">
        <v>25</v>
      </c>
      <c r="K894" s="20">
        <v>75</v>
      </c>
      <c r="L894" s="20">
        <v>8.5</v>
      </c>
      <c r="M894" s="20"/>
      <c r="N894" s="20"/>
      <c r="O894" s="20"/>
      <c r="P894" s="140"/>
    </row>
    <row r="895" spans="2:16" s="21" customFormat="1" outlineLevel="1" x14ac:dyDescent="0.2">
      <c r="B895" s="141"/>
      <c r="C895" s="133"/>
      <c r="D895" s="141"/>
      <c r="E895" s="141"/>
      <c r="F895" s="141"/>
      <c r="G895" s="141"/>
      <c r="H895" s="19" t="s">
        <v>5</v>
      </c>
      <c r="I895" s="20">
        <f t="shared" si="272"/>
        <v>0</v>
      </c>
      <c r="J895" s="20"/>
      <c r="K895" s="20"/>
      <c r="L895" s="20"/>
      <c r="M895" s="20"/>
      <c r="N895" s="20"/>
      <c r="O895" s="20"/>
      <c r="P895" s="141"/>
    </row>
    <row r="896" spans="2:16" s="21" customFormat="1" ht="60.75" customHeight="1" outlineLevel="1" x14ac:dyDescent="0.2">
      <c r="B896" s="139" t="s">
        <v>501</v>
      </c>
      <c r="C896" s="139"/>
      <c r="D896" s="139" t="s">
        <v>493</v>
      </c>
      <c r="E896" s="139">
        <v>2026</v>
      </c>
      <c r="F896" s="139"/>
      <c r="G896" s="139" t="s">
        <v>63</v>
      </c>
      <c r="H896" s="19" t="s">
        <v>3</v>
      </c>
      <c r="I896" s="20">
        <f t="shared" si="272"/>
        <v>3</v>
      </c>
      <c r="J896" s="20">
        <v>1</v>
      </c>
      <c r="K896" s="20">
        <v>2</v>
      </c>
      <c r="L896" s="20">
        <f>L897+L898+L899</f>
        <v>0</v>
      </c>
      <c r="M896" s="20">
        <f>M897+M898+M899</f>
        <v>0</v>
      </c>
      <c r="N896" s="20">
        <v>0</v>
      </c>
      <c r="O896" s="20">
        <v>0</v>
      </c>
      <c r="P896" s="139">
        <v>8300</v>
      </c>
    </row>
    <row r="897" spans="2:16" s="21" customFormat="1" outlineLevel="1" x14ac:dyDescent="0.2">
      <c r="B897" s="140"/>
      <c r="C897" s="132"/>
      <c r="D897" s="140"/>
      <c r="E897" s="140"/>
      <c r="F897" s="140"/>
      <c r="G897" s="140"/>
      <c r="H897" s="19" t="s">
        <v>4</v>
      </c>
      <c r="I897" s="20">
        <f t="shared" si="272"/>
        <v>0</v>
      </c>
      <c r="J897" s="20"/>
      <c r="K897" s="20"/>
      <c r="L897" s="20"/>
      <c r="M897" s="20"/>
      <c r="N897" s="20"/>
      <c r="O897" s="20"/>
      <c r="P897" s="140"/>
    </row>
    <row r="898" spans="2:16" s="21" customFormat="1" outlineLevel="1" x14ac:dyDescent="0.2">
      <c r="B898" s="140"/>
      <c r="C898" s="132"/>
      <c r="D898" s="140"/>
      <c r="E898" s="140"/>
      <c r="F898" s="140"/>
      <c r="G898" s="140"/>
      <c r="H898" s="19" t="s">
        <v>6</v>
      </c>
      <c r="I898" s="20">
        <f t="shared" si="272"/>
        <v>3</v>
      </c>
      <c r="J898" s="20">
        <v>1</v>
      </c>
      <c r="K898" s="20">
        <v>2</v>
      </c>
      <c r="L898" s="20"/>
      <c r="M898" s="20"/>
      <c r="N898" s="20"/>
      <c r="O898" s="20"/>
      <c r="P898" s="140"/>
    </row>
    <row r="899" spans="2:16" s="21" customFormat="1" outlineLevel="1" x14ac:dyDescent="0.2">
      <c r="B899" s="141"/>
      <c r="C899" s="133"/>
      <c r="D899" s="141"/>
      <c r="E899" s="141"/>
      <c r="F899" s="141"/>
      <c r="G899" s="141"/>
      <c r="H899" s="19" t="s">
        <v>5</v>
      </c>
      <c r="I899" s="20">
        <f t="shared" si="272"/>
        <v>0</v>
      </c>
      <c r="J899" s="20"/>
      <c r="K899" s="20"/>
      <c r="L899" s="20"/>
      <c r="M899" s="20"/>
      <c r="N899" s="20"/>
      <c r="O899" s="20"/>
      <c r="P899" s="141"/>
    </row>
    <row r="900" spans="2:16" s="21" customFormat="1" ht="42.75" outlineLevel="1" x14ac:dyDescent="0.2">
      <c r="B900" s="139" t="s">
        <v>502</v>
      </c>
      <c r="C900" s="139"/>
      <c r="D900" s="139" t="s">
        <v>493</v>
      </c>
      <c r="E900" s="139" t="s">
        <v>503</v>
      </c>
      <c r="F900" s="139"/>
      <c r="G900" s="139" t="s">
        <v>115</v>
      </c>
      <c r="H900" s="19" t="s">
        <v>3</v>
      </c>
      <c r="I900" s="20">
        <f t="shared" si="272"/>
        <v>194.7</v>
      </c>
      <c r="J900" s="20">
        <f t="shared" ref="J900:O900" si="274">J901+J902+J903</f>
        <v>0</v>
      </c>
      <c r="K900" s="20">
        <f t="shared" si="274"/>
        <v>0</v>
      </c>
      <c r="L900" s="20">
        <f t="shared" si="274"/>
        <v>0</v>
      </c>
      <c r="M900" s="20">
        <f t="shared" si="274"/>
        <v>94.7</v>
      </c>
      <c r="N900" s="20">
        <f t="shared" si="274"/>
        <v>50</v>
      </c>
      <c r="O900" s="20">
        <f t="shared" si="274"/>
        <v>50</v>
      </c>
      <c r="P900" s="139">
        <v>24123</v>
      </c>
    </row>
    <row r="901" spans="2:16" s="21" customFormat="1" outlineLevel="1" x14ac:dyDescent="0.2">
      <c r="B901" s="140"/>
      <c r="C901" s="132"/>
      <c r="D901" s="140"/>
      <c r="E901" s="140"/>
      <c r="F901" s="140"/>
      <c r="G901" s="140"/>
      <c r="H901" s="19" t="s">
        <v>4</v>
      </c>
      <c r="I901" s="20">
        <f t="shared" si="272"/>
        <v>0</v>
      </c>
      <c r="J901" s="20"/>
      <c r="K901" s="20"/>
      <c r="L901" s="20"/>
      <c r="M901" s="20"/>
      <c r="N901" s="20"/>
      <c r="O901" s="20"/>
      <c r="P901" s="140"/>
    </row>
    <row r="902" spans="2:16" s="21" customFormat="1" outlineLevel="1" x14ac:dyDescent="0.2">
      <c r="B902" s="140"/>
      <c r="C902" s="132"/>
      <c r="D902" s="140"/>
      <c r="E902" s="140"/>
      <c r="F902" s="140"/>
      <c r="G902" s="140"/>
      <c r="H902" s="19" t="s">
        <v>6</v>
      </c>
      <c r="I902" s="20">
        <f t="shared" si="272"/>
        <v>194.7</v>
      </c>
      <c r="J902" s="20"/>
      <c r="K902" s="20"/>
      <c r="L902" s="20"/>
      <c r="M902" s="20">
        <v>94.7</v>
      </c>
      <c r="N902" s="20">
        <v>50</v>
      </c>
      <c r="O902" s="20">
        <v>50</v>
      </c>
      <c r="P902" s="140"/>
    </row>
    <row r="903" spans="2:16" s="21" customFormat="1" outlineLevel="1" x14ac:dyDescent="0.2">
      <c r="B903" s="141"/>
      <c r="C903" s="133"/>
      <c r="D903" s="141"/>
      <c r="E903" s="141"/>
      <c r="F903" s="141"/>
      <c r="G903" s="141"/>
      <c r="H903" s="19" t="s">
        <v>5</v>
      </c>
      <c r="I903" s="20">
        <f t="shared" si="272"/>
        <v>0</v>
      </c>
      <c r="J903" s="20"/>
      <c r="K903" s="20"/>
      <c r="L903" s="20"/>
      <c r="M903" s="20"/>
      <c r="N903" s="20"/>
      <c r="O903" s="20"/>
      <c r="P903" s="141"/>
    </row>
    <row r="904" spans="2:16" s="21" customFormat="1" ht="42.75" outlineLevel="1" x14ac:dyDescent="0.2">
      <c r="B904" s="139" t="s">
        <v>504</v>
      </c>
      <c r="C904" s="139"/>
      <c r="D904" s="139" t="s">
        <v>493</v>
      </c>
      <c r="E904" s="139">
        <v>2026</v>
      </c>
      <c r="F904" s="139"/>
      <c r="G904" s="139" t="s">
        <v>115</v>
      </c>
      <c r="H904" s="19" t="s">
        <v>3</v>
      </c>
      <c r="I904" s="20">
        <f t="shared" si="272"/>
        <v>540</v>
      </c>
      <c r="J904" s="20">
        <f t="shared" ref="J904:O904" si="275">J905+J906+J907</f>
        <v>0</v>
      </c>
      <c r="K904" s="20">
        <f t="shared" si="275"/>
        <v>0</v>
      </c>
      <c r="L904" s="20">
        <f t="shared" si="275"/>
        <v>180</v>
      </c>
      <c r="M904" s="20">
        <f t="shared" si="275"/>
        <v>180</v>
      </c>
      <c r="N904" s="20">
        <f t="shared" si="275"/>
        <v>180</v>
      </c>
      <c r="O904" s="20">
        <f t="shared" si="275"/>
        <v>0</v>
      </c>
      <c r="P904" s="139"/>
    </row>
    <row r="905" spans="2:16" s="21" customFormat="1" outlineLevel="1" x14ac:dyDescent="0.2">
      <c r="B905" s="140"/>
      <c r="C905" s="132"/>
      <c r="D905" s="140"/>
      <c r="E905" s="140"/>
      <c r="F905" s="140"/>
      <c r="G905" s="140"/>
      <c r="H905" s="19" t="s">
        <v>4</v>
      </c>
      <c r="I905" s="20">
        <f t="shared" si="272"/>
        <v>270</v>
      </c>
      <c r="J905" s="20"/>
      <c r="K905" s="20"/>
      <c r="L905" s="20">
        <v>90</v>
      </c>
      <c r="M905" s="20">
        <v>90</v>
      </c>
      <c r="N905" s="20">
        <v>90</v>
      </c>
      <c r="O905" s="20"/>
      <c r="P905" s="140"/>
    </row>
    <row r="906" spans="2:16" s="21" customFormat="1" outlineLevel="1" x14ac:dyDescent="0.2">
      <c r="B906" s="140"/>
      <c r="C906" s="132"/>
      <c r="D906" s="140"/>
      <c r="E906" s="140"/>
      <c r="F906" s="140"/>
      <c r="G906" s="140"/>
      <c r="H906" s="19" t="s">
        <v>6</v>
      </c>
      <c r="I906" s="20">
        <f t="shared" si="272"/>
        <v>270</v>
      </c>
      <c r="J906" s="20"/>
      <c r="K906" s="20"/>
      <c r="L906" s="20">
        <v>90</v>
      </c>
      <c r="M906" s="20">
        <v>90</v>
      </c>
      <c r="N906" s="20">
        <v>90</v>
      </c>
      <c r="O906" s="20"/>
      <c r="P906" s="140"/>
    </row>
    <row r="907" spans="2:16" s="21" customFormat="1" outlineLevel="1" x14ac:dyDescent="0.2">
      <c r="B907" s="141"/>
      <c r="C907" s="133"/>
      <c r="D907" s="141"/>
      <c r="E907" s="141"/>
      <c r="F907" s="141"/>
      <c r="G907" s="141"/>
      <c r="H907" s="19" t="s">
        <v>5</v>
      </c>
      <c r="I907" s="20">
        <f t="shared" si="272"/>
        <v>0</v>
      </c>
      <c r="J907" s="20"/>
      <c r="K907" s="20"/>
      <c r="L907" s="20"/>
      <c r="M907" s="20"/>
      <c r="N907" s="20"/>
      <c r="O907" s="20"/>
      <c r="P907" s="141"/>
    </row>
    <row r="908" spans="2:16" s="21" customFormat="1" ht="42.75" outlineLevel="1" x14ac:dyDescent="0.2">
      <c r="B908" s="139" t="s">
        <v>505</v>
      </c>
      <c r="C908" s="139"/>
      <c r="D908" s="139" t="s">
        <v>493</v>
      </c>
      <c r="E908" s="139">
        <v>2023</v>
      </c>
      <c r="F908" s="139"/>
      <c r="G908" s="139" t="s">
        <v>115</v>
      </c>
      <c r="H908" s="19" t="s">
        <v>3</v>
      </c>
      <c r="I908" s="20">
        <f t="shared" si="272"/>
        <v>15</v>
      </c>
      <c r="J908" s="20">
        <f t="shared" ref="J908:O908" si="276">J909+J910+J911</f>
        <v>0</v>
      </c>
      <c r="K908" s="20">
        <f t="shared" si="276"/>
        <v>0</v>
      </c>
      <c r="L908" s="20">
        <f t="shared" si="276"/>
        <v>0</v>
      </c>
      <c r="M908" s="20">
        <f t="shared" si="276"/>
        <v>15</v>
      </c>
      <c r="N908" s="20">
        <f t="shared" si="276"/>
        <v>0</v>
      </c>
      <c r="O908" s="20">
        <f t="shared" si="276"/>
        <v>0</v>
      </c>
      <c r="P908" s="139"/>
    </row>
    <row r="909" spans="2:16" s="21" customFormat="1" outlineLevel="1" x14ac:dyDescent="0.2">
      <c r="B909" s="140"/>
      <c r="C909" s="132"/>
      <c r="D909" s="140"/>
      <c r="E909" s="140"/>
      <c r="F909" s="140"/>
      <c r="G909" s="140"/>
      <c r="H909" s="19" t="s">
        <v>4</v>
      </c>
      <c r="I909" s="20">
        <f t="shared" si="272"/>
        <v>7.5</v>
      </c>
      <c r="J909" s="20"/>
      <c r="K909" s="20"/>
      <c r="L909" s="20"/>
      <c r="M909" s="20">
        <v>7.5</v>
      </c>
      <c r="N909" s="20"/>
      <c r="O909" s="20"/>
      <c r="P909" s="140"/>
    </row>
    <row r="910" spans="2:16" s="21" customFormat="1" outlineLevel="1" x14ac:dyDescent="0.2">
      <c r="B910" s="140"/>
      <c r="C910" s="132"/>
      <c r="D910" s="140"/>
      <c r="E910" s="140"/>
      <c r="F910" s="140"/>
      <c r="G910" s="140"/>
      <c r="H910" s="19" t="s">
        <v>6</v>
      </c>
      <c r="I910" s="20">
        <f t="shared" si="272"/>
        <v>7.5</v>
      </c>
      <c r="J910" s="20"/>
      <c r="K910" s="20"/>
      <c r="L910" s="20"/>
      <c r="M910" s="20">
        <v>7.5</v>
      </c>
      <c r="N910" s="20"/>
      <c r="O910" s="20"/>
      <c r="P910" s="140"/>
    </row>
    <row r="911" spans="2:16" s="21" customFormat="1" outlineLevel="1" x14ac:dyDescent="0.2">
      <c r="B911" s="141"/>
      <c r="C911" s="133"/>
      <c r="D911" s="141"/>
      <c r="E911" s="141"/>
      <c r="F911" s="141"/>
      <c r="G911" s="141"/>
      <c r="H911" s="19" t="s">
        <v>5</v>
      </c>
      <c r="I911" s="20">
        <f t="shared" si="272"/>
        <v>0</v>
      </c>
      <c r="J911" s="20"/>
      <c r="K911" s="20"/>
      <c r="L911" s="20"/>
      <c r="M911" s="20"/>
      <c r="N911" s="20"/>
      <c r="O911" s="20"/>
      <c r="P911" s="141"/>
    </row>
    <row r="912" spans="2:16" s="21" customFormat="1" ht="42.75" outlineLevel="1" x14ac:dyDescent="0.2">
      <c r="B912" s="139" t="s">
        <v>506</v>
      </c>
      <c r="C912" s="139"/>
      <c r="D912" s="139" t="s">
        <v>493</v>
      </c>
      <c r="E912" s="139">
        <v>2023</v>
      </c>
      <c r="F912" s="139"/>
      <c r="G912" s="139" t="s">
        <v>115</v>
      </c>
      <c r="H912" s="19" t="s">
        <v>3</v>
      </c>
      <c r="I912" s="20">
        <f t="shared" si="272"/>
        <v>15</v>
      </c>
      <c r="J912" s="20">
        <f t="shared" ref="J912:O912" si="277">J913+J914+J915</f>
        <v>0</v>
      </c>
      <c r="K912" s="20">
        <f t="shared" si="277"/>
        <v>0</v>
      </c>
      <c r="L912" s="20">
        <f t="shared" si="277"/>
        <v>0</v>
      </c>
      <c r="M912" s="20">
        <f t="shared" si="277"/>
        <v>15</v>
      </c>
      <c r="N912" s="20">
        <f t="shared" si="277"/>
        <v>0</v>
      </c>
      <c r="O912" s="20">
        <f t="shared" si="277"/>
        <v>0</v>
      </c>
      <c r="P912" s="139"/>
    </row>
    <row r="913" spans="2:17" s="21" customFormat="1" outlineLevel="1" x14ac:dyDescent="0.2">
      <c r="B913" s="140"/>
      <c r="C913" s="132"/>
      <c r="D913" s="140"/>
      <c r="E913" s="140"/>
      <c r="F913" s="140"/>
      <c r="G913" s="140"/>
      <c r="H913" s="19" t="s">
        <v>4</v>
      </c>
      <c r="I913" s="20">
        <f t="shared" si="272"/>
        <v>7.5</v>
      </c>
      <c r="J913" s="20"/>
      <c r="K913" s="20"/>
      <c r="L913" s="20"/>
      <c r="M913" s="20">
        <v>7.5</v>
      </c>
      <c r="N913" s="20"/>
      <c r="O913" s="20"/>
      <c r="P913" s="140"/>
    </row>
    <row r="914" spans="2:17" s="21" customFormat="1" outlineLevel="1" x14ac:dyDescent="0.2">
      <c r="B914" s="140"/>
      <c r="C914" s="132"/>
      <c r="D914" s="140"/>
      <c r="E914" s="140"/>
      <c r="F914" s="140"/>
      <c r="G914" s="140"/>
      <c r="H914" s="19" t="s">
        <v>6</v>
      </c>
      <c r="I914" s="20">
        <f t="shared" si="272"/>
        <v>7.5</v>
      </c>
      <c r="J914" s="20"/>
      <c r="K914" s="20"/>
      <c r="L914" s="20"/>
      <c r="M914" s="20">
        <v>7.5</v>
      </c>
      <c r="N914" s="20"/>
      <c r="O914" s="20"/>
      <c r="P914" s="140"/>
    </row>
    <row r="915" spans="2:17" s="21" customFormat="1" outlineLevel="1" x14ac:dyDescent="0.2">
      <c r="B915" s="141"/>
      <c r="C915" s="133"/>
      <c r="D915" s="141"/>
      <c r="E915" s="141"/>
      <c r="F915" s="141"/>
      <c r="G915" s="141"/>
      <c r="H915" s="19" t="s">
        <v>5</v>
      </c>
      <c r="I915" s="20">
        <f t="shared" si="272"/>
        <v>0</v>
      </c>
      <c r="J915" s="20"/>
      <c r="K915" s="20"/>
      <c r="L915" s="20"/>
      <c r="M915" s="20"/>
      <c r="N915" s="20"/>
      <c r="O915" s="20"/>
      <c r="P915" s="141"/>
    </row>
    <row r="916" spans="2:17" s="21" customFormat="1" ht="42.75" outlineLevel="1" x14ac:dyDescent="0.2">
      <c r="B916" s="139" t="s">
        <v>507</v>
      </c>
      <c r="C916" s="139"/>
      <c r="D916" s="139" t="s">
        <v>493</v>
      </c>
      <c r="E916" s="139" t="s">
        <v>330</v>
      </c>
      <c r="F916" s="139"/>
      <c r="G916" s="139" t="s">
        <v>63</v>
      </c>
      <c r="H916" s="19" t="s">
        <v>3</v>
      </c>
      <c r="I916" s="20">
        <f t="shared" si="272"/>
        <v>194.85399999999998</v>
      </c>
      <c r="J916" s="20">
        <f t="shared" ref="J916:O916" si="278">J917+J918+J919</f>
        <v>15.610999999999999</v>
      </c>
      <c r="K916" s="20">
        <f t="shared" si="278"/>
        <v>18.929000000000002</v>
      </c>
      <c r="L916" s="20">
        <f t="shared" si="278"/>
        <v>40.314</v>
      </c>
      <c r="M916" s="20">
        <f t="shared" si="278"/>
        <v>40</v>
      </c>
      <c r="N916" s="20">
        <f t="shared" si="278"/>
        <v>40</v>
      </c>
      <c r="O916" s="20">
        <f t="shared" si="278"/>
        <v>40</v>
      </c>
      <c r="P916" s="139">
        <v>24123</v>
      </c>
    </row>
    <row r="917" spans="2:17" s="21" customFormat="1" outlineLevel="1" x14ac:dyDescent="0.2">
      <c r="B917" s="140"/>
      <c r="C917" s="132"/>
      <c r="D917" s="140"/>
      <c r="E917" s="140"/>
      <c r="F917" s="140"/>
      <c r="G917" s="140"/>
      <c r="H917" s="19" t="s">
        <v>4</v>
      </c>
      <c r="I917" s="20">
        <f t="shared" si="272"/>
        <v>0</v>
      </c>
      <c r="J917" s="20"/>
      <c r="K917" s="20"/>
      <c r="L917" s="20"/>
      <c r="M917" s="20"/>
      <c r="N917" s="20"/>
      <c r="O917" s="20"/>
      <c r="P917" s="140"/>
    </row>
    <row r="918" spans="2:17" s="21" customFormat="1" outlineLevel="1" x14ac:dyDescent="0.2">
      <c r="B918" s="140"/>
      <c r="C918" s="132"/>
      <c r="D918" s="140"/>
      <c r="E918" s="140"/>
      <c r="F918" s="140"/>
      <c r="G918" s="140"/>
      <c r="H918" s="19" t="s">
        <v>6</v>
      </c>
      <c r="I918" s="20">
        <f t="shared" si="272"/>
        <v>194.85399999999998</v>
      </c>
      <c r="J918" s="20">
        <v>15.610999999999999</v>
      </c>
      <c r="K918" s="20">
        <v>18.929000000000002</v>
      </c>
      <c r="L918" s="20">
        <v>40.314</v>
      </c>
      <c r="M918" s="20">
        <v>40</v>
      </c>
      <c r="N918" s="20">
        <v>40</v>
      </c>
      <c r="O918" s="20">
        <v>40</v>
      </c>
      <c r="P918" s="140"/>
    </row>
    <row r="919" spans="2:17" s="21" customFormat="1" outlineLevel="1" x14ac:dyDescent="0.2">
      <c r="B919" s="141"/>
      <c r="C919" s="133"/>
      <c r="D919" s="141"/>
      <c r="E919" s="141"/>
      <c r="F919" s="141"/>
      <c r="G919" s="141"/>
      <c r="H919" s="19" t="s">
        <v>5</v>
      </c>
      <c r="I919" s="20">
        <f t="shared" si="272"/>
        <v>0</v>
      </c>
      <c r="J919" s="20"/>
      <c r="K919" s="20"/>
      <c r="L919" s="20"/>
      <c r="M919" s="20"/>
      <c r="N919" s="20"/>
      <c r="O919" s="20"/>
      <c r="P919" s="141"/>
    </row>
    <row r="920" spans="2:17" s="21" customFormat="1" ht="42.75" outlineLevel="1" x14ac:dyDescent="0.2">
      <c r="B920" s="139" t="s">
        <v>508</v>
      </c>
      <c r="C920" s="139"/>
      <c r="D920" s="139" t="s">
        <v>493</v>
      </c>
      <c r="E920" s="139">
        <v>2021</v>
      </c>
      <c r="F920" s="139" t="s">
        <v>405</v>
      </c>
      <c r="G920" s="139" t="s">
        <v>63</v>
      </c>
      <c r="H920" s="19" t="s">
        <v>3</v>
      </c>
      <c r="I920" s="20">
        <f t="shared" si="272"/>
        <v>7.9</v>
      </c>
      <c r="J920" s="20">
        <f t="shared" ref="J920:O920" si="279">J921+J922+J923</f>
        <v>0</v>
      </c>
      <c r="K920" s="20">
        <f t="shared" si="279"/>
        <v>7.9</v>
      </c>
      <c r="L920" s="20">
        <f t="shared" si="279"/>
        <v>0</v>
      </c>
      <c r="M920" s="20">
        <f t="shared" si="279"/>
        <v>0</v>
      </c>
      <c r="N920" s="20">
        <f t="shared" si="279"/>
        <v>0</v>
      </c>
      <c r="O920" s="20">
        <f t="shared" si="279"/>
        <v>0</v>
      </c>
      <c r="P920" s="139"/>
    </row>
    <row r="921" spans="2:17" s="21" customFormat="1" outlineLevel="1" x14ac:dyDescent="0.2">
      <c r="B921" s="140"/>
      <c r="C921" s="132"/>
      <c r="D921" s="140"/>
      <c r="E921" s="140"/>
      <c r="F921" s="140"/>
      <c r="G921" s="140"/>
      <c r="H921" s="19" t="s">
        <v>4</v>
      </c>
      <c r="I921" s="20">
        <f t="shared" si="272"/>
        <v>0</v>
      </c>
      <c r="J921" s="20"/>
      <c r="K921" s="20"/>
      <c r="L921" s="20"/>
      <c r="M921" s="20"/>
      <c r="N921" s="20"/>
      <c r="O921" s="20"/>
      <c r="P921" s="140"/>
    </row>
    <row r="922" spans="2:17" s="21" customFormat="1" outlineLevel="1" x14ac:dyDescent="0.2">
      <c r="B922" s="140"/>
      <c r="C922" s="132"/>
      <c r="D922" s="140"/>
      <c r="E922" s="140"/>
      <c r="F922" s="140"/>
      <c r="G922" s="140"/>
      <c r="H922" s="19" t="s">
        <v>6</v>
      </c>
      <c r="I922" s="20">
        <f t="shared" si="272"/>
        <v>7.9</v>
      </c>
      <c r="J922" s="20"/>
      <c r="K922" s="20">
        <v>7.9</v>
      </c>
      <c r="L922" s="20"/>
      <c r="M922" s="20"/>
      <c r="N922" s="20"/>
      <c r="O922" s="20"/>
      <c r="P922" s="140"/>
    </row>
    <row r="923" spans="2:17" s="21" customFormat="1" outlineLevel="1" x14ac:dyDescent="0.2">
      <c r="B923" s="141"/>
      <c r="C923" s="133"/>
      <c r="D923" s="141"/>
      <c r="E923" s="141"/>
      <c r="F923" s="141"/>
      <c r="G923" s="141"/>
      <c r="H923" s="19" t="s">
        <v>5</v>
      </c>
      <c r="I923" s="20">
        <f t="shared" si="272"/>
        <v>0</v>
      </c>
      <c r="J923" s="20"/>
      <c r="K923" s="20"/>
      <c r="L923" s="20"/>
      <c r="M923" s="20"/>
      <c r="N923" s="20"/>
      <c r="O923" s="20"/>
      <c r="P923" s="141"/>
    </row>
    <row r="924" spans="2:17" s="21" customFormat="1" ht="42.75" outlineLevel="1" x14ac:dyDescent="0.2">
      <c r="B924" s="139" t="s">
        <v>509</v>
      </c>
      <c r="C924" s="139"/>
      <c r="D924" s="139" t="s">
        <v>493</v>
      </c>
      <c r="E924" s="139" t="s">
        <v>105</v>
      </c>
      <c r="F924" s="139"/>
      <c r="G924" s="139" t="s">
        <v>63</v>
      </c>
      <c r="H924" s="19" t="s">
        <v>3</v>
      </c>
      <c r="I924" s="20">
        <f t="shared" si="272"/>
        <v>464.3</v>
      </c>
      <c r="J924" s="20">
        <f t="shared" ref="J924:O924" si="280">J925+J926+J927</f>
        <v>0</v>
      </c>
      <c r="K924" s="20">
        <f t="shared" si="280"/>
        <v>1</v>
      </c>
      <c r="L924" s="20">
        <f t="shared" si="280"/>
        <v>113.3</v>
      </c>
      <c r="M924" s="20">
        <f t="shared" si="280"/>
        <v>150</v>
      </c>
      <c r="N924" s="20">
        <f t="shared" si="280"/>
        <v>100</v>
      </c>
      <c r="O924" s="20">
        <f t="shared" si="280"/>
        <v>100</v>
      </c>
      <c r="P924" s="139"/>
    </row>
    <row r="925" spans="2:17" s="21" customFormat="1" outlineLevel="1" x14ac:dyDescent="0.2">
      <c r="B925" s="140"/>
      <c r="C925" s="132"/>
      <c r="D925" s="140"/>
      <c r="E925" s="140"/>
      <c r="F925" s="140"/>
      <c r="G925" s="140"/>
      <c r="H925" s="19" t="s">
        <v>4</v>
      </c>
      <c r="I925" s="20">
        <f t="shared" si="272"/>
        <v>0</v>
      </c>
      <c r="J925" s="20"/>
      <c r="K925" s="20"/>
      <c r="L925" s="20"/>
      <c r="M925" s="20"/>
      <c r="N925" s="20"/>
      <c r="O925" s="20"/>
      <c r="P925" s="140"/>
    </row>
    <row r="926" spans="2:17" s="21" customFormat="1" outlineLevel="1" x14ac:dyDescent="0.2">
      <c r="B926" s="140"/>
      <c r="C926" s="132"/>
      <c r="D926" s="140"/>
      <c r="E926" s="140"/>
      <c r="F926" s="140"/>
      <c r="G926" s="140"/>
      <c r="H926" s="19" t="s">
        <v>6</v>
      </c>
      <c r="I926" s="20">
        <f t="shared" si="272"/>
        <v>464.3</v>
      </c>
      <c r="J926" s="20"/>
      <c r="K926" s="20">
        <v>1</v>
      </c>
      <c r="L926" s="20">
        <v>113.3</v>
      </c>
      <c r="M926" s="20">
        <v>150</v>
      </c>
      <c r="N926" s="20">
        <v>100</v>
      </c>
      <c r="O926" s="20">
        <v>100</v>
      </c>
      <c r="P926" s="140"/>
    </row>
    <row r="927" spans="2:17" s="21" customFormat="1" outlineLevel="1" x14ac:dyDescent="0.2">
      <c r="B927" s="141"/>
      <c r="C927" s="133"/>
      <c r="D927" s="141"/>
      <c r="E927" s="141"/>
      <c r="F927" s="141"/>
      <c r="G927" s="141"/>
      <c r="H927" s="19" t="s">
        <v>5</v>
      </c>
      <c r="I927" s="20">
        <f t="shared" si="272"/>
        <v>0</v>
      </c>
      <c r="J927" s="20"/>
      <c r="K927" s="20"/>
      <c r="L927" s="20"/>
      <c r="M927" s="20"/>
      <c r="N927" s="20"/>
      <c r="O927" s="20"/>
      <c r="P927" s="141"/>
    </row>
    <row r="928" spans="2:17" ht="42.75" x14ac:dyDescent="0.2">
      <c r="B928" s="128" t="s">
        <v>510</v>
      </c>
      <c r="C928" s="128" t="s">
        <v>38</v>
      </c>
      <c r="D928" s="128" t="s">
        <v>38</v>
      </c>
      <c r="E928" s="128" t="s">
        <v>38</v>
      </c>
      <c r="F928" s="128" t="s">
        <v>38</v>
      </c>
      <c r="G928" s="128" t="s">
        <v>38</v>
      </c>
      <c r="H928" s="84" t="s">
        <v>3</v>
      </c>
      <c r="I928" s="14">
        <f t="shared" ref="I928:O928" si="281">SUMIF($H$880:$H$927,"Объем*",I$880:I$927)</f>
        <v>1602.154</v>
      </c>
      <c r="J928" s="14">
        <f t="shared" si="281"/>
        <v>41.610999999999997</v>
      </c>
      <c r="K928" s="14">
        <f t="shared" si="281"/>
        <v>163.72900000000001</v>
      </c>
      <c r="L928" s="14">
        <f t="shared" si="281"/>
        <v>342.11399999999998</v>
      </c>
      <c r="M928" s="14">
        <f t="shared" si="281"/>
        <v>494.7</v>
      </c>
      <c r="N928" s="14">
        <f t="shared" si="281"/>
        <v>370</v>
      </c>
      <c r="O928" s="14">
        <f t="shared" si="281"/>
        <v>190</v>
      </c>
      <c r="P928" s="128"/>
      <c r="Q928" s="7"/>
    </row>
    <row r="929" spans="2:16" ht="15.75" x14ac:dyDescent="0.2">
      <c r="B929" s="129"/>
      <c r="C929" s="129"/>
      <c r="D929" s="129"/>
      <c r="E929" s="129"/>
      <c r="F929" s="129"/>
      <c r="G929" s="129"/>
      <c r="H929" s="84" t="s">
        <v>4</v>
      </c>
      <c r="I929" s="14">
        <f t="shared" ref="I929:O929" si="282">SUMIF($H$880:$H$927,"фед*",I$880:I$927)</f>
        <v>285</v>
      </c>
      <c r="J929" s="14">
        <f t="shared" si="282"/>
        <v>0</v>
      </c>
      <c r="K929" s="14">
        <f t="shared" si="282"/>
        <v>0</v>
      </c>
      <c r="L929" s="14">
        <f t="shared" si="282"/>
        <v>90</v>
      </c>
      <c r="M929" s="14">
        <f t="shared" si="282"/>
        <v>105</v>
      </c>
      <c r="N929" s="14">
        <f t="shared" si="282"/>
        <v>90</v>
      </c>
      <c r="O929" s="14">
        <f t="shared" si="282"/>
        <v>0</v>
      </c>
      <c r="P929" s="129"/>
    </row>
    <row r="930" spans="2:16" ht="15.75" x14ac:dyDescent="0.2">
      <c r="B930" s="129"/>
      <c r="C930" s="129"/>
      <c r="D930" s="129"/>
      <c r="E930" s="129"/>
      <c r="F930" s="129"/>
      <c r="G930" s="129"/>
      <c r="H930" s="84" t="s">
        <v>6</v>
      </c>
      <c r="I930" s="14">
        <f t="shared" ref="I930:O930" si="283">SUMIF($H$880:$H$927,"конс*",I$880:I$927)</f>
        <v>1317.154</v>
      </c>
      <c r="J930" s="14">
        <f t="shared" si="283"/>
        <v>41.610999999999997</v>
      </c>
      <c r="K930" s="14">
        <f t="shared" si="283"/>
        <v>163.72900000000001</v>
      </c>
      <c r="L930" s="14">
        <f t="shared" si="283"/>
        <v>252.11399999999998</v>
      </c>
      <c r="M930" s="14">
        <f t="shared" si="283"/>
        <v>389.7</v>
      </c>
      <c r="N930" s="14">
        <f t="shared" si="283"/>
        <v>280</v>
      </c>
      <c r="O930" s="14">
        <f t="shared" si="283"/>
        <v>190</v>
      </c>
      <c r="P930" s="129"/>
    </row>
    <row r="931" spans="2:16" ht="15.75" x14ac:dyDescent="0.2">
      <c r="B931" s="130"/>
      <c r="C931" s="130"/>
      <c r="D931" s="130"/>
      <c r="E931" s="130"/>
      <c r="F931" s="130"/>
      <c r="G931" s="130"/>
      <c r="H931" s="84" t="s">
        <v>5</v>
      </c>
      <c r="I931" s="14">
        <f t="shared" ref="I931:O931" si="284">SUMIF($H$880:$H$927,"вне*",I$880:I$927)</f>
        <v>0</v>
      </c>
      <c r="J931" s="14">
        <f t="shared" si="284"/>
        <v>0</v>
      </c>
      <c r="K931" s="14">
        <f t="shared" si="284"/>
        <v>0</v>
      </c>
      <c r="L931" s="14">
        <f t="shared" si="284"/>
        <v>0</v>
      </c>
      <c r="M931" s="14">
        <f t="shared" si="284"/>
        <v>0</v>
      </c>
      <c r="N931" s="14">
        <f t="shared" si="284"/>
        <v>0</v>
      </c>
      <c r="O931" s="14">
        <f t="shared" si="284"/>
        <v>0</v>
      </c>
      <c r="P931" s="130"/>
    </row>
    <row r="932" spans="2:16" ht="25.5" customHeight="1" x14ac:dyDescent="0.2">
      <c r="B932" s="111" t="s">
        <v>511</v>
      </c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3"/>
    </row>
    <row r="933" spans="2:16" s="21" customFormat="1" ht="42.75" outlineLevel="1" x14ac:dyDescent="0.2">
      <c r="B933" s="139" t="s">
        <v>512</v>
      </c>
      <c r="C933" s="139"/>
      <c r="D933" s="139" t="s">
        <v>511</v>
      </c>
      <c r="E933" s="139" t="s">
        <v>203</v>
      </c>
      <c r="F933" s="139" t="s">
        <v>513</v>
      </c>
      <c r="G933" s="139" t="s">
        <v>63</v>
      </c>
      <c r="H933" s="19" t="s">
        <v>3</v>
      </c>
      <c r="I933" s="20">
        <f>SUM(J933:O933)</f>
        <v>11.7</v>
      </c>
      <c r="J933" s="20">
        <f t="shared" ref="J933:O933" si="285">J934+J935+J936</f>
        <v>11.7</v>
      </c>
      <c r="K933" s="20">
        <f t="shared" si="285"/>
        <v>0</v>
      </c>
      <c r="L933" s="20">
        <f t="shared" si="285"/>
        <v>0</v>
      </c>
      <c r="M933" s="20">
        <f t="shared" si="285"/>
        <v>0</v>
      </c>
      <c r="N933" s="20">
        <f t="shared" si="285"/>
        <v>0</v>
      </c>
      <c r="O933" s="20">
        <f t="shared" si="285"/>
        <v>0</v>
      </c>
      <c r="P933" s="139"/>
    </row>
    <row r="934" spans="2:16" s="21" customFormat="1" outlineLevel="1" x14ac:dyDescent="0.2">
      <c r="B934" s="140"/>
      <c r="C934" s="132"/>
      <c r="D934" s="140"/>
      <c r="E934" s="140"/>
      <c r="F934" s="140"/>
      <c r="G934" s="140"/>
      <c r="H934" s="19" t="s">
        <v>4</v>
      </c>
      <c r="I934" s="20"/>
      <c r="J934" s="20"/>
      <c r="K934" s="20"/>
      <c r="L934" s="20"/>
      <c r="M934" s="20"/>
      <c r="N934" s="20"/>
      <c r="O934" s="20"/>
      <c r="P934" s="140"/>
    </row>
    <row r="935" spans="2:16" s="21" customFormat="1" outlineLevel="1" x14ac:dyDescent="0.2">
      <c r="B935" s="140"/>
      <c r="C935" s="132"/>
      <c r="D935" s="140"/>
      <c r="E935" s="140"/>
      <c r="F935" s="140"/>
      <c r="G935" s="140"/>
      <c r="H935" s="19" t="s">
        <v>6</v>
      </c>
      <c r="I935" s="20">
        <f>SUM(J935:O935)</f>
        <v>11.7</v>
      </c>
      <c r="J935" s="20">
        <v>11.7</v>
      </c>
      <c r="K935" s="20"/>
      <c r="L935" s="20"/>
      <c r="M935" s="20"/>
      <c r="N935" s="20"/>
      <c r="O935" s="20"/>
      <c r="P935" s="140"/>
    </row>
    <row r="936" spans="2:16" s="21" customFormat="1" outlineLevel="1" x14ac:dyDescent="0.2">
      <c r="B936" s="141"/>
      <c r="C936" s="133"/>
      <c r="D936" s="141"/>
      <c r="E936" s="141"/>
      <c r="F936" s="141"/>
      <c r="G936" s="141"/>
      <c r="H936" s="19" t="s">
        <v>5</v>
      </c>
      <c r="I936" s="20"/>
      <c r="J936" s="20"/>
      <c r="K936" s="20"/>
      <c r="L936" s="20"/>
      <c r="M936" s="20"/>
      <c r="N936" s="20"/>
      <c r="O936" s="20"/>
      <c r="P936" s="141"/>
    </row>
    <row r="937" spans="2:16" s="21" customFormat="1" ht="42.75" outlineLevel="1" x14ac:dyDescent="0.2">
      <c r="B937" s="139" t="s">
        <v>514</v>
      </c>
      <c r="C937" s="139"/>
      <c r="D937" s="139" t="s">
        <v>511</v>
      </c>
      <c r="E937" s="139" t="s">
        <v>99</v>
      </c>
      <c r="F937" s="139" t="s">
        <v>515</v>
      </c>
      <c r="G937" s="139" t="s">
        <v>101</v>
      </c>
      <c r="H937" s="19" t="s">
        <v>3</v>
      </c>
      <c r="I937" s="20">
        <f>SUM(J937:O937)</f>
        <v>55.8</v>
      </c>
      <c r="J937" s="20">
        <f t="shared" ref="J937:O937" si="286">J938+J939+J940</f>
        <v>10.3</v>
      </c>
      <c r="K937" s="20">
        <f t="shared" si="286"/>
        <v>18.899999999999999</v>
      </c>
      <c r="L937" s="20">
        <f t="shared" si="286"/>
        <v>26.6</v>
      </c>
      <c r="M937" s="20">
        <f t="shared" si="286"/>
        <v>0</v>
      </c>
      <c r="N937" s="20">
        <f t="shared" si="286"/>
        <v>0</v>
      </c>
      <c r="O937" s="20">
        <f t="shared" si="286"/>
        <v>0</v>
      </c>
      <c r="P937" s="139">
        <v>2603</v>
      </c>
    </row>
    <row r="938" spans="2:16" s="21" customFormat="1" outlineLevel="1" x14ac:dyDescent="0.2">
      <c r="B938" s="140"/>
      <c r="C938" s="132"/>
      <c r="D938" s="140"/>
      <c r="E938" s="140"/>
      <c r="F938" s="140"/>
      <c r="G938" s="140"/>
      <c r="H938" s="19" t="s">
        <v>4</v>
      </c>
      <c r="I938" s="20"/>
      <c r="J938" s="20"/>
      <c r="K938" s="20"/>
      <c r="L938" s="20"/>
      <c r="M938" s="20"/>
      <c r="N938" s="20"/>
      <c r="O938" s="20"/>
      <c r="P938" s="140"/>
    </row>
    <row r="939" spans="2:16" s="21" customFormat="1" outlineLevel="1" x14ac:dyDescent="0.2">
      <c r="B939" s="140"/>
      <c r="C939" s="132"/>
      <c r="D939" s="140"/>
      <c r="E939" s="140"/>
      <c r="F939" s="140"/>
      <c r="G939" s="140"/>
      <c r="H939" s="19" t="s">
        <v>6</v>
      </c>
      <c r="I939" s="20">
        <f>SUM(J939:O939)</f>
        <v>55.8</v>
      </c>
      <c r="J939" s="20">
        <v>10.3</v>
      </c>
      <c r="K939" s="20">
        <v>18.899999999999999</v>
      </c>
      <c r="L939" s="20">
        <v>26.6</v>
      </c>
      <c r="M939" s="20"/>
      <c r="N939" s="20"/>
      <c r="O939" s="20"/>
      <c r="P939" s="140"/>
    </row>
    <row r="940" spans="2:16" s="21" customFormat="1" outlineLevel="1" x14ac:dyDescent="0.2">
      <c r="B940" s="141"/>
      <c r="C940" s="133"/>
      <c r="D940" s="141"/>
      <c r="E940" s="141"/>
      <c r="F940" s="141"/>
      <c r="G940" s="141"/>
      <c r="H940" s="19" t="s">
        <v>5</v>
      </c>
      <c r="I940" s="20"/>
      <c r="J940" s="20"/>
      <c r="K940" s="20"/>
      <c r="L940" s="20"/>
      <c r="M940" s="20"/>
      <c r="N940" s="20"/>
      <c r="O940" s="20"/>
      <c r="P940" s="141"/>
    </row>
    <row r="941" spans="2:16" s="21" customFormat="1" ht="42.75" outlineLevel="1" x14ac:dyDescent="0.2">
      <c r="B941" s="139" t="s">
        <v>516</v>
      </c>
      <c r="C941" s="139"/>
      <c r="D941" s="139" t="s">
        <v>511</v>
      </c>
      <c r="E941" s="139">
        <v>2023</v>
      </c>
      <c r="F941" s="139" t="s">
        <v>300</v>
      </c>
      <c r="G941" s="139" t="s">
        <v>101</v>
      </c>
      <c r="H941" s="19" t="s">
        <v>3</v>
      </c>
      <c r="I941" s="20">
        <f>SUM(J941:O941)</f>
        <v>15</v>
      </c>
      <c r="J941" s="20">
        <f t="shared" ref="J941:O941" si="287">J942+J943+J944</f>
        <v>0</v>
      </c>
      <c r="K941" s="20">
        <f t="shared" si="287"/>
        <v>0</v>
      </c>
      <c r="L941" s="20">
        <f t="shared" si="287"/>
        <v>0</v>
      </c>
      <c r="M941" s="20">
        <f t="shared" si="287"/>
        <v>15</v>
      </c>
      <c r="N941" s="20">
        <f t="shared" si="287"/>
        <v>0</v>
      </c>
      <c r="O941" s="20">
        <f t="shared" si="287"/>
        <v>0</v>
      </c>
      <c r="P941" s="139">
        <v>15717</v>
      </c>
    </row>
    <row r="942" spans="2:16" s="21" customFormat="1" outlineLevel="1" x14ac:dyDescent="0.2">
      <c r="B942" s="140"/>
      <c r="C942" s="132"/>
      <c r="D942" s="140"/>
      <c r="E942" s="140"/>
      <c r="F942" s="140"/>
      <c r="G942" s="140"/>
      <c r="H942" s="19" t="s">
        <v>4</v>
      </c>
      <c r="I942" s="20"/>
      <c r="J942" s="20"/>
      <c r="K942" s="20"/>
      <c r="L942" s="20"/>
      <c r="M942" s="20"/>
      <c r="N942" s="20"/>
      <c r="O942" s="20"/>
      <c r="P942" s="140"/>
    </row>
    <row r="943" spans="2:16" s="21" customFormat="1" outlineLevel="1" x14ac:dyDescent="0.2">
      <c r="B943" s="140"/>
      <c r="C943" s="132"/>
      <c r="D943" s="140"/>
      <c r="E943" s="140"/>
      <c r="F943" s="140"/>
      <c r="G943" s="140"/>
      <c r="H943" s="19" t="s">
        <v>6</v>
      </c>
      <c r="I943" s="20">
        <f>SUM(J943:O943)</f>
        <v>15</v>
      </c>
      <c r="J943" s="20"/>
      <c r="K943" s="20"/>
      <c r="L943" s="20"/>
      <c r="M943" s="20">
        <v>15</v>
      </c>
      <c r="N943" s="20"/>
      <c r="O943" s="20"/>
      <c r="P943" s="140"/>
    </row>
    <row r="944" spans="2:16" s="21" customFormat="1" outlineLevel="1" x14ac:dyDescent="0.2">
      <c r="B944" s="141"/>
      <c r="C944" s="133"/>
      <c r="D944" s="141"/>
      <c r="E944" s="141"/>
      <c r="F944" s="141"/>
      <c r="G944" s="141"/>
      <c r="H944" s="19" t="s">
        <v>5</v>
      </c>
      <c r="I944" s="20"/>
      <c r="J944" s="20"/>
      <c r="K944" s="20"/>
      <c r="L944" s="20"/>
      <c r="M944" s="20"/>
      <c r="N944" s="20"/>
      <c r="O944" s="20"/>
      <c r="P944" s="141"/>
    </row>
    <row r="945" spans="2:17" s="21" customFormat="1" ht="42.75" outlineLevel="1" x14ac:dyDescent="0.2">
      <c r="B945" s="139" t="s">
        <v>517</v>
      </c>
      <c r="C945" s="139"/>
      <c r="D945" s="139" t="s">
        <v>511</v>
      </c>
      <c r="E945" s="139" t="s">
        <v>203</v>
      </c>
      <c r="F945" s="139" t="s">
        <v>254</v>
      </c>
      <c r="G945" s="139" t="s">
        <v>63</v>
      </c>
      <c r="H945" s="19" t="s">
        <v>3</v>
      </c>
      <c r="I945" s="20">
        <f>SUM(J945:O945)</f>
        <v>19.5</v>
      </c>
      <c r="J945" s="20">
        <f t="shared" ref="J945:N945" si="288">J946+J947+J948</f>
        <v>10.8</v>
      </c>
      <c r="K945" s="20">
        <f t="shared" si="288"/>
        <v>8.6999999999999993</v>
      </c>
      <c r="L945" s="20">
        <f t="shared" si="288"/>
        <v>0</v>
      </c>
      <c r="M945" s="20">
        <f t="shared" si="288"/>
        <v>0</v>
      </c>
      <c r="N945" s="20">
        <f t="shared" si="288"/>
        <v>0</v>
      </c>
      <c r="O945" s="20">
        <v>0</v>
      </c>
      <c r="P945" s="139"/>
    </row>
    <row r="946" spans="2:17" s="21" customFormat="1" outlineLevel="1" x14ac:dyDescent="0.2">
      <c r="B946" s="140"/>
      <c r="C946" s="132"/>
      <c r="D946" s="140"/>
      <c r="E946" s="140"/>
      <c r="F946" s="140"/>
      <c r="G946" s="140"/>
      <c r="H946" s="19" t="s">
        <v>4</v>
      </c>
      <c r="I946" s="20"/>
      <c r="J946" s="20"/>
      <c r="K946" s="20"/>
      <c r="L946" s="20"/>
      <c r="M946" s="20"/>
      <c r="N946" s="20"/>
      <c r="O946" s="20"/>
      <c r="P946" s="140"/>
    </row>
    <row r="947" spans="2:17" s="21" customFormat="1" outlineLevel="1" x14ac:dyDescent="0.2">
      <c r="B947" s="140"/>
      <c r="C947" s="132"/>
      <c r="D947" s="140"/>
      <c r="E947" s="140"/>
      <c r="F947" s="140"/>
      <c r="G947" s="140"/>
      <c r="H947" s="19" t="s">
        <v>6</v>
      </c>
      <c r="I947" s="20">
        <f>SUM(J947:O947)</f>
        <v>19.5</v>
      </c>
      <c r="J947" s="20">
        <v>10.8</v>
      </c>
      <c r="K947" s="20">
        <v>8.6999999999999993</v>
      </c>
      <c r="L947" s="20"/>
      <c r="M947" s="20"/>
      <c r="N947" s="20"/>
      <c r="O947" s="20"/>
      <c r="P947" s="140"/>
    </row>
    <row r="948" spans="2:17" s="21" customFormat="1" outlineLevel="1" x14ac:dyDescent="0.2">
      <c r="B948" s="141"/>
      <c r="C948" s="133"/>
      <c r="D948" s="141"/>
      <c r="E948" s="141"/>
      <c r="F948" s="141"/>
      <c r="G948" s="141"/>
      <c r="H948" s="19" t="s">
        <v>5</v>
      </c>
      <c r="I948" s="20"/>
      <c r="J948" s="20"/>
      <c r="K948" s="20"/>
      <c r="L948" s="20"/>
      <c r="M948" s="20"/>
      <c r="N948" s="20"/>
      <c r="O948" s="20"/>
      <c r="P948" s="141"/>
    </row>
    <row r="949" spans="2:17" s="21" customFormat="1" ht="42.75" outlineLevel="1" x14ac:dyDescent="0.2">
      <c r="B949" s="139" t="s">
        <v>518</v>
      </c>
      <c r="C949" s="139"/>
      <c r="D949" s="139" t="s">
        <v>511</v>
      </c>
      <c r="E949" s="139" t="s">
        <v>50</v>
      </c>
      <c r="F949" s="139" t="s">
        <v>87</v>
      </c>
      <c r="G949" s="139" t="s">
        <v>63</v>
      </c>
      <c r="H949" s="19" t="s">
        <v>3</v>
      </c>
      <c r="I949" s="20">
        <f>SUM(J949:O949)</f>
        <v>19.5</v>
      </c>
      <c r="J949" s="20">
        <f t="shared" ref="J949:N949" si="289">J950+J951+J952</f>
        <v>0</v>
      </c>
      <c r="K949" s="20">
        <f t="shared" si="289"/>
        <v>2.2999999999999998</v>
      </c>
      <c r="L949" s="20">
        <f t="shared" si="289"/>
        <v>17.2</v>
      </c>
      <c r="M949" s="20">
        <f t="shared" si="289"/>
        <v>0</v>
      </c>
      <c r="N949" s="20">
        <f t="shared" si="289"/>
        <v>0</v>
      </c>
      <c r="O949" s="20">
        <v>0</v>
      </c>
      <c r="P949" s="139"/>
    </row>
    <row r="950" spans="2:17" s="21" customFormat="1" outlineLevel="1" x14ac:dyDescent="0.2">
      <c r="B950" s="140"/>
      <c r="C950" s="132"/>
      <c r="D950" s="140"/>
      <c r="E950" s="140"/>
      <c r="F950" s="140"/>
      <c r="G950" s="140"/>
      <c r="H950" s="19" t="s">
        <v>4</v>
      </c>
      <c r="I950" s="20"/>
      <c r="J950" s="20"/>
      <c r="K950" s="20"/>
      <c r="L950" s="20"/>
      <c r="M950" s="20"/>
      <c r="N950" s="20"/>
      <c r="O950" s="20"/>
      <c r="P950" s="140"/>
    </row>
    <row r="951" spans="2:17" s="21" customFormat="1" outlineLevel="1" x14ac:dyDescent="0.2">
      <c r="B951" s="140"/>
      <c r="C951" s="132"/>
      <c r="D951" s="140"/>
      <c r="E951" s="140"/>
      <c r="F951" s="140"/>
      <c r="G951" s="140"/>
      <c r="H951" s="19" t="s">
        <v>6</v>
      </c>
      <c r="I951" s="20">
        <f>SUM(J951:O951)</f>
        <v>19.5</v>
      </c>
      <c r="J951" s="20"/>
      <c r="K951" s="20">
        <v>2.2999999999999998</v>
      </c>
      <c r="L951" s="20">
        <v>17.2</v>
      </c>
      <c r="M951" s="20"/>
      <c r="N951" s="20"/>
      <c r="O951" s="20"/>
      <c r="P951" s="140"/>
    </row>
    <row r="952" spans="2:17" s="21" customFormat="1" outlineLevel="1" x14ac:dyDescent="0.2">
      <c r="B952" s="141"/>
      <c r="C952" s="133"/>
      <c r="D952" s="141"/>
      <c r="E952" s="141"/>
      <c r="F952" s="141"/>
      <c r="G952" s="141"/>
      <c r="H952" s="19" t="s">
        <v>5</v>
      </c>
      <c r="I952" s="20"/>
      <c r="J952" s="20"/>
      <c r="K952" s="20"/>
      <c r="L952" s="20"/>
      <c r="M952" s="20"/>
      <c r="N952" s="20"/>
      <c r="O952" s="20"/>
      <c r="P952" s="141"/>
    </row>
    <row r="953" spans="2:17" ht="42.75" x14ac:dyDescent="0.2">
      <c r="B953" s="128" t="s">
        <v>519</v>
      </c>
      <c r="C953" s="128" t="s">
        <v>38</v>
      </c>
      <c r="D953" s="128" t="s">
        <v>38</v>
      </c>
      <c r="E953" s="128" t="s">
        <v>38</v>
      </c>
      <c r="F953" s="128" t="s">
        <v>38</v>
      </c>
      <c r="G953" s="128" t="s">
        <v>38</v>
      </c>
      <c r="H953" s="84" t="s">
        <v>3</v>
      </c>
      <c r="I953" s="14">
        <f t="shared" ref="I953:O953" si="290">SUMIF($H$933:$H$952,"Объем*",I$933:I$952)</f>
        <v>121.5</v>
      </c>
      <c r="J953" s="14">
        <f t="shared" si="290"/>
        <v>32.799999999999997</v>
      </c>
      <c r="K953" s="14">
        <f t="shared" si="290"/>
        <v>29.9</v>
      </c>
      <c r="L953" s="14">
        <f t="shared" si="290"/>
        <v>43.8</v>
      </c>
      <c r="M953" s="14">
        <f t="shared" si="290"/>
        <v>15</v>
      </c>
      <c r="N953" s="14">
        <f t="shared" si="290"/>
        <v>0</v>
      </c>
      <c r="O953" s="14">
        <f t="shared" si="290"/>
        <v>0</v>
      </c>
      <c r="P953" s="128"/>
      <c r="Q953" s="7"/>
    </row>
    <row r="954" spans="2:17" ht="15.75" x14ac:dyDescent="0.2">
      <c r="B954" s="129"/>
      <c r="C954" s="129"/>
      <c r="D954" s="129"/>
      <c r="E954" s="129"/>
      <c r="F954" s="129"/>
      <c r="G954" s="129"/>
      <c r="H954" s="84" t="s">
        <v>4</v>
      </c>
      <c r="I954" s="14">
        <f t="shared" ref="I954:O954" si="291">SUMIF($H$933:$H$952,"фед*",I$933:I$952)</f>
        <v>0</v>
      </c>
      <c r="J954" s="14">
        <f t="shared" si="291"/>
        <v>0</v>
      </c>
      <c r="K954" s="14">
        <f t="shared" si="291"/>
        <v>0</v>
      </c>
      <c r="L954" s="14">
        <f t="shared" si="291"/>
        <v>0</v>
      </c>
      <c r="M954" s="14">
        <f t="shared" si="291"/>
        <v>0</v>
      </c>
      <c r="N954" s="14">
        <f t="shared" si="291"/>
        <v>0</v>
      </c>
      <c r="O954" s="14">
        <f t="shared" si="291"/>
        <v>0</v>
      </c>
      <c r="P954" s="129"/>
    </row>
    <row r="955" spans="2:17" ht="15.75" x14ac:dyDescent="0.2">
      <c r="B955" s="129"/>
      <c r="C955" s="129"/>
      <c r="D955" s="129"/>
      <c r="E955" s="129"/>
      <c r="F955" s="129"/>
      <c r="G955" s="129"/>
      <c r="H955" s="84" t="s">
        <v>6</v>
      </c>
      <c r="I955" s="14">
        <f t="shared" ref="I955:O955" si="292">SUMIF($H$933:$H$952,"конс*",I$933:I$952)</f>
        <v>121.5</v>
      </c>
      <c r="J955" s="14">
        <f t="shared" si="292"/>
        <v>32.799999999999997</v>
      </c>
      <c r="K955" s="14">
        <f t="shared" si="292"/>
        <v>29.9</v>
      </c>
      <c r="L955" s="14">
        <f t="shared" si="292"/>
        <v>43.8</v>
      </c>
      <c r="M955" s="14">
        <f t="shared" si="292"/>
        <v>15</v>
      </c>
      <c r="N955" s="14">
        <f t="shared" si="292"/>
        <v>0</v>
      </c>
      <c r="O955" s="14">
        <f t="shared" si="292"/>
        <v>0</v>
      </c>
      <c r="P955" s="129"/>
    </row>
    <row r="956" spans="2:17" ht="15.75" x14ac:dyDescent="0.2">
      <c r="B956" s="130"/>
      <c r="C956" s="130"/>
      <c r="D956" s="130"/>
      <c r="E956" s="130"/>
      <c r="F956" s="130"/>
      <c r="G956" s="130"/>
      <c r="H956" s="84" t="s">
        <v>5</v>
      </c>
      <c r="I956" s="14">
        <f t="shared" ref="I956:O956" si="293">SUMIF($H$933:$H$952,"вне*",I$933:I$952)</f>
        <v>0</v>
      </c>
      <c r="J956" s="14">
        <f t="shared" si="293"/>
        <v>0</v>
      </c>
      <c r="K956" s="14">
        <f t="shared" si="293"/>
        <v>0</v>
      </c>
      <c r="L956" s="14">
        <f t="shared" si="293"/>
        <v>0</v>
      </c>
      <c r="M956" s="14">
        <f t="shared" si="293"/>
        <v>0</v>
      </c>
      <c r="N956" s="14">
        <f t="shared" si="293"/>
        <v>0</v>
      </c>
      <c r="O956" s="14">
        <f t="shared" si="293"/>
        <v>0</v>
      </c>
      <c r="P956" s="130"/>
    </row>
    <row r="957" spans="2:17" ht="25.5" customHeight="1" x14ac:dyDescent="0.2">
      <c r="B957" s="111" t="s">
        <v>520</v>
      </c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3"/>
    </row>
    <row r="958" spans="2:17" s="21" customFormat="1" ht="42.75" outlineLevel="1" x14ac:dyDescent="0.2">
      <c r="B958" s="139" t="s">
        <v>521</v>
      </c>
      <c r="C958" s="139"/>
      <c r="D958" s="139" t="s">
        <v>520</v>
      </c>
      <c r="E958" s="139">
        <v>2020</v>
      </c>
      <c r="F958" s="139" t="s">
        <v>522</v>
      </c>
      <c r="G958" s="139" t="s">
        <v>101</v>
      </c>
      <c r="H958" s="19" t="s">
        <v>3</v>
      </c>
      <c r="I958" s="20">
        <f t="shared" ref="I958:I977" si="294">SUM(J958:O958)</f>
        <v>13.8</v>
      </c>
      <c r="J958" s="20">
        <v>5.9</v>
      </c>
      <c r="K958" s="20">
        <v>7.9</v>
      </c>
      <c r="L958" s="20">
        <f t="shared" ref="L958:O958" si="295">L959+L960+L961</f>
        <v>0</v>
      </c>
      <c r="M958" s="20">
        <f t="shared" si="295"/>
        <v>0</v>
      </c>
      <c r="N958" s="20">
        <v>0</v>
      </c>
      <c r="O958" s="20">
        <f t="shared" si="295"/>
        <v>0</v>
      </c>
      <c r="P958" s="139">
        <v>153</v>
      </c>
    </row>
    <row r="959" spans="2:17" s="21" customFormat="1" outlineLevel="1" x14ac:dyDescent="0.2">
      <c r="B959" s="140"/>
      <c r="C959" s="132"/>
      <c r="D959" s="140"/>
      <c r="E959" s="140"/>
      <c r="F959" s="140"/>
      <c r="G959" s="140"/>
      <c r="H959" s="19" t="s">
        <v>4</v>
      </c>
      <c r="I959" s="20">
        <f t="shared" si="294"/>
        <v>0</v>
      </c>
      <c r="J959" s="20"/>
      <c r="K959" s="20"/>
      <c r="L959" s="20"/>
      <c r="M959" s="20"/>
      <c r="N959" s="20"/>
      <c r="O959" s="20"/>
      <c r="P959" s="140"/>
    </row>
    <row r="960" spans="2:17" s="21" customFormat="1" outlineLevel="1" x14ac:dyDescent="0.2">
      <c r="B960" s="140"/>
      <c r="C960" s="132"/>
      <c r="D960" s="140"/>
      <c r="E960" s="140"/>
      <c r="F960" s="140"/>
      <c r="G960" s="140"/>
      <c r="H960" s="19" t="s">
        <v>6</v>
      </c>
      <c r="I960" s="20">
        <f t="shared" si="294"/>
        <v>13.8</v>
      </c>
      <c r="J960" s="20">
        <v>5.9</v>
      </c>
      <c r="K960" s="20">
        <v>7.9</v>
      </c>
      <c r="L960" s="20"/>
      <c r="M960" s="20"/>
      <c r="N960" s="20"/>
      <c r="O960" s="20"/>
      <c r="P960" s="140"/>
    </row>
    <row r="961" spans="2:16" s="21" customFormat="1" outlineLevel="1" x14ac:dyDescent="0.2">
      <c r="B961" s="141"/>
      <c r="C961" s="133"/>
      <c r="D961" s="141"/>
      <c r="E961" s="141"/>
      <c r="F961" s="141"/>
      <c r="G961" s="141"/>
      <c r="H961" s="19" t="s">
        <v>5</v>
      </c>
      <c r="I961" s="20">
        <f t="shared" si="294"/>
        <v>0</v>
      </c>
      <c r="J961" s="20"/>
      <c r="K961" s="20"/>
      <c r="L961" s="20"/>
      <c r="M961" s="20"/>
      <c r="N961" s="20"/>
      <c r="O961" s="20"/>
      <c r="P961" s="141"/>
    </row>
    <row r="962" spans="2:16" s="21" customFormat="1" ht="42.75" outlineLevel="1" x14ac:dyDescent="0.2">
      <c r="B962" s="139" t="s">
        <v>523</v>
      </c>
      <c r="C962" s="139"/>
      <c r="D962" s="139" t="s">
        <v>520</v>
      </c>
      <c r="E962" s="139">
        <v>2020</v>
      </c>
      <c r="F962" s="139" t="s">
        <v>524</v>
      </c>
      <c r="G962" s="139" t="s">
        <v>101</v>
      </c>
      <c r="H962" s="19" t="s">
        <v>3</v>
      </c>
      <c r="I962" s="20">
        <f t="shared" si="294"/>
        <v>3</v>
      </c>
      <c r="J962" s="20">
        <v>3</v>
      </c>
      <c r="K962" s="20">
        <f t="shared" ref="K962:O962" si="296">K963+K964+K965</f>
        <v>0</v>
      </c>
      <c r="L962" s="20">
        <v>0</v>
      </c>
      <c r="M962" s="20">
        <f t="shared" si="296"/>
        <v>0</v>
      </c>
      <c r="N962" s="20">
        <f t="shared" si="296"/>
        <v>0</v>
      </c>
      <c r="O962" s="20">
        <f t="shared" si="296"/>
        <v>0</v>
      </c>
      <c r="P962" s="139">
        <v>2924</v>
      </c>
    </row>
    <row r="963" spans="2:16" s="21" customFormat="1" outlineLevel="1" x14ac:dyDescent="0.2">
      <c r="B963" s="140"/>
      <c r="C963" s="132"/>
      <c r="D963" s="140"/>
      <c r="E963" s="140"/>
      <c r="F963" s="140"/>
      <c r="G963" s="140"/>
      <c r="H963" s="19" t="s">
        <v>4</v>
      </c>
      <c r="I963" s="20">
        <f t="shared" si="294"/>
        <v>0</v>
      </c>
      <c r="J963" s="20"/>
      <c r="K963" s="20"/>
      <c r="L963" s="20"/>
      <c r="M963" s="20"/>
      <c r="N963" s="20"/>
      <c r="O963" s="20"/>
      <c r="P963" s="140"/>
    </row>
    <row r="964" spans="2:16" s="21" customFormat="1" outlineLevel="1" x14ac:dyDescent="0.2">
      <c r="B964" s="140"/>
      <c r="C964" s="132"/>
      <c r="D964" s="140"/>
      <c r="E964" s="140"/>
      <c r="F964" s="140"/>
      <c r="G964" s="140"/>
      <c r="H964" s="19" t="s">
        <v>6</v>
      </c>
      <c r="I964" s="20">
        <f t="shared" si="294"/>
        <v>3</v>
      </c>
      <c r="J964" s="20">
        <v>3</v>
      </c>
      <c r="K964" s="20"/>
      <c r="L964" s="20"/>
      <c r="M964" s="20"/>
      <c r="N964" s="20"/>
      <c r="O964" s="20"/>
      <c r="P964" s="140"/>
    </row>
    <row r="965" spans="2:16" s="21" customFormat="1" outlineLevel="1" x14ac:dyDescent="0.2">
      <c r="B965" s="141"/>
      <c r="C965" s="133"/>
      <c r="D965" s="141"/>
      <c r="E965" s="141"/>
      <c r="F965" s="141"/>
      <c r="G965" s="141"/>
      <c r="H965" s="19" t="s">
        <v>5</v>
      </c>
      <c r="I965" s="20">
        <f t="shared" si="294"/>
        <v>0</v>
      </c>
      <c r="J965" s="20"/>
      <c r="K965" s="20"/>
      <c r="L965" s="20"/>
      <c r="M965" s="20"/>
      <c r="N965" s="20"/>
      <c r="O965" s="20"/>
      <c r="P965" s="141"/>
    </row>
    <row r="966" spans="2:16" s="21" customFormat="1" ht="42.75" outlineLevel="1" x14ac:dyDescent="0.2">
      <c r="B966" s="139" t="s">
        <v>525</v>
      </c>
      <c r="C966" s="139"/>
      <c r="D966" s="139" t="s">
        <v>520</v>
      </c>
      <c r="E966" s="139">
        <v>2022</v>
      </c>
      <c r="F966" s="139" t="s">
        <v>526</v>
      </c>
      <c r="G966" s="139" t="s">
        <v>101</v>
      </c>
      <c r="H966" s="19" t="s">
        <v>3</v>
      </c>
      <c r="I966" s="20">
        <f t="shared" si="294"/>
        <v>17.899999999999999</v>
      </c>
      <c r="J966" s="20">
        <f>J967+J968+J969</f>
        <v>0</v>
      </c>
      <c r="K966" s="20">
        <v>1.2</v>
      </c>
      <c r="L966" s="20">
        <v>16.7</v>
      </c>
      <c r="M966" s="20">
        <f>M967+M968+M969</f>
        <v>0</v>
      </c>
      <c r="N966" s="20">
        <v>0</v>
      </c>
      <c r="O966" s="20">
        <f>O967+O968+O969</f>
        <v>0</v>
      </c>
      <c r="P966" s="139">
        <v>453</v>
      </c>
    </row>
    <row r="967" spans="2:16" s="21" customFormat="1" outlineLevel="1" x14ac:dyDescent="0.2">
      <c r="B967" s="140"/>
      <c r="C967" s="132"/>
      <c r="D967" s="140"/>
      <c r="E967" s="140"/>
      <c r="F967" s="140"/>
      <c r="G967" s="140"/>
      <c r="H967" s="19" t="s">
        <v>4</v>
      </c>
      <c r="I967" s="20">
        <f t="shared" si="294"/>
        <v>0</v>
      </c>
      <c r="J967" s="20"/>
      <c r="K967" s="20"/>
      <c r="L967" s="20"/>
      <c r="M967" s="20"/>
      <c r="N967" s="20"/>
      <c r="O967" s="20"/>
      <c r="P967" s="140"/>
    </row>
    <row r="968" spans="2:16" s="21" customFormat="1" outlineLevel="1" x14ac:dyDescent="0.2">
      <c r="B968" s="140"/>
      <c r="C968" s="132"/>
      <c r="D968" s="140"/>
      <c r="E968" s="140"/>
      <c r="F968" s="140"/>
      <c r="G968" s="140"/>
      <c r="H968" s="19" t="s">
        <v>6</v>
      </c>
      <c r="I968" s="20">
        <f t="shared" si="294"/>
        <v>17.899999999999999</v>
      </c>
      <c r="J968" s="20"/>
      <c r="K968" s="20">
        <v>1.2</v>
      </c>
      <c r="L968" s="20">
        <v>16.7</v>
      </c>
      <c r="M968" s="20"/>
      <c r="N968" s="20"/>
      <c r="O968" s="20"/>
      <c r="P968" s="140"/>
    </row>
    <row r="969" spans="2:16" s="21" customFormat="1" outlineLevel="1" x14ac:dyDescent="0.2">
      <c r="B969" s="141"/>
      <c r="C969" s="133"/>
      <c r="D969" s="141"/>
      <c r="E969" s="141"/>
      <c r="F969" s="141"/>
      <c r="G969" s="141"/>
      <c r="H969" s="19" t="s">
        <v>5</v>
      </c>
      <c r="I969" s="20">
        <f t="shared" si="294"/>
        <v>0</v>
      </c>
      <c r="J969" s="20"/>
      <c r="K969" s="20"/>
      <c r="L969" s="20"/>
      <c r="M969" s="20"/>
      <c r="N969" s="20"/>
      <c r="O969" s="20"/>
      <c r="P969" s="141"/>
    </row>
    <row r="970" spans="2:16" s="21" customFormat="1" ht="42.75" outlineLevel="1" x14ac:dyDescent="0.2">
      <c r="B970" s="139" t="s">
        <v>527</v>
      </c>
      <c r="C970" s="139"/>
      <c r="D970" s="139" t="s">
        <v>520</v>
      </c>
      <c r="E970" s="139">
        <v>2020</v>
      </c>
      <c r="F970" s="139">
        <v>1.2</v>
      </c>
      <c r="G970" s="139" t="s">
        <v>63</v>
      </c>
      <c r="H970" s="19" t="s">
        <v>3</v>
      </c>
      <c r="I970" s="20">
        <f t="shared" si="294"/>
        <v>44.5</v>
      </c>
      <c r="J970" s="20">
        <f t="shared" ref="J970:N970" si="297">J971+J972+J973</f>
        <v>18</v>
      </c>
      <c r="K970" s="20">
        <f t="shared" si="297"/>
        <v>0</v>
      </c>
      <c r="L970" s="20">
        <f t="shared" si="297"/>
        <v>26.5</v>
      </c>
      <c r="M970" s="20">
        <f t="shared" si="297"/>
        <v>0</v>
      </c>
      <c r="N970" s="20">
        <f t="shared" si="297"/>
        <v>0</v>
      </c>
      <c r="O970" s="20"/>
      <c r="P970" s="139"/>
    </row>
    <row r="971" spans="2:16" s="21" customFormat="1" outlineLevel="1" x14ac:dyDescent="0.2">
      <c r="B971" s="140"/>
      <c r="C971" s="132"/>
      <c r="D971" s="140"/>
      <c r="E971" s="140"/>
      <c r="F971" s="140"/>
      <c r="G971" s="140"/>
      <c r="H971" s="19" t="s">
        <v>4</v>
      </c>
      <c r="I971" s="20">
        <f t="shared" si="294"/>
        <v>0</v>
      </c>
      <c r="J971" s="20"/>
      <c r="K971" s="20"/>
      <c r="L971" s="20"/>
      <c r="M971" s="20"/>
      <c r="N971" s="20"/>
      <c r="O971" s="20"/>
      <c r="P971" s="140"/>
    </row>
    <row r="972" spans="2:16" s="21" customFormat="1" outlineLevel="1" x14ac:dyDescent="0.2">
      <c r="B972" s="140"/>
      <c r="C972" s="132"/>
      <c r="D972" s="140"/>
      <c r="E972" s="140"/>
      <c r="F972" s="140"/>
      <c r="G972" s="140"/>
      <c r="H972" s="19" t="s">
        <v>6</v>
      </c>
      <c r="I972" s="20">
        <f t="shared" si="294"/>
        <v>44.5</v>
      </c>
      <c r="J972" s="20">
        <v>18</v>
      </c>
      <c r="K972" s="20"/>
      <c r="L972" s="20">
        <v>26.5</v>
      </c>
      <c r="M972" s="20"/>
      <c r="N972" s="20"/>
      <c r="O972" s="20"/>
      <c r="P972" s="140"/>
    </row>
    <row r="973" spans="2:16" s="21" customFormat="1" outlineLevel="1" x14ac:dyDescent="0.2">
      <c r="B973" s="141"/>
      <c r="C973" s="133"/>
      <c r="D973" s="141"/>
      <c r="E973" s="141"/>
      <c r="F973" s="141"/>
      <c r="G973" s="141"/>
      <c r="H973" s="19" t="s">
        <v>5</v>
      </c>
      <c r="I973" s="20">
        <f t="shared" si="294"/>
        <v>0</v>
      </c>
      <c r="J973" s="20"/>
      <c r="K973" s="20"/>
      <c r="L973" s="20"/>
      <c r="M973" s="20"/>
      <c r="N973" s="20"/>
      <c r="O973" s="20"/>
      <c r="P973" s="141"/>
    </row>
    <row r="974" spans="2:16" s="21" customFormat="1" ht="42.75" outlineLevel="1" x14ac:dyDescent="0.2">
      <c r="B974" s="139" t="s">
        <v>528</v>
      </c>
      <c r="C974" s="139"/>
      <c r="D974" s="139" t="s">
        <v>520</v>
      </c>
      <c r="E974" s="139" t="s">
        <v>203</v>
      </c>
      <c r="F974" s="139" t="s">
        <v>529</v>
      </c>
      <c r="G974" s="139" t="s">
        <v>63</v>
      </c>
      <c r="H974" s="19" t="s">
        <v>3</v>
      </c>
      <c r="I974" s="20">
        <f t="shared" si="294"/>
        <v>33</v>
      </c>
      <c r="J974" s="20">
        <f>J975+J976+J977</f>
        <v>0</v>
      </c>
      <c r="K974" s="20">
        <f>K975+K976+K977</f>
        <v>6.5</v>
      </c>
      <c r="L974" s="20">
        <v>26.5</v>
      </c>
      <c r="M974" s="20">
        <f>M975+M976+M977</f>
        <v>0</v>
      </c>
      <c r="N974" s="20">
        <f>N975+N976+N977</f>
        <v>0</v>
      </c>
      <c r="O974" s="20"/>
      <c r="P974" s="139"/>
    </row>
    <row r="975" spans="2:16" s="21" customFormat="1" outlineLevel="1" x14ac:dyDescent="0.2">
      <c r="B975" s="140"/>
      <c r="C975" s="132"/>
      <c r="D975" s="140"/>
      <c r="E975" s="140"/>
      <c r="F975" s="140"/>
      <c r="G975" s="140"/>
      <c r="H975" s="19" t="s">
        <v>4</v>
      </c>
      <c r="I975" s="20">
        <f t="shared" si="294"/>
        <v>0</v>
      </c>
      <c r="J975" s="20"/>
      <c r="K975" s="20"/>
      <c r="L975" s="20"/>
      <c r="M975" s="20"/>
      <c r="N975" s="20"/>
      <c r="O975" s="20"/>
      <c r="P975" s="140"/>
    </row>
    <row r="976" spans="2:16" s="21" customFormat="1" outlineLevel="1" x14ac:dyDescent="0.2">
      <c r="B976" s="140"/>
      <c r="C976" s="132"/>
      <c r="D976" s="140"/>
      <c r="E976" s="140"/>
      <c r="F976" s="140"/>
      <c r="G976" s="140"/>
      <c r="H976" s="19" t="s">
        <v>6</v>
      </c>
      <c r="I976" s="20">
        <f t="shared" si="294"/>
        <v>33</v>
      </c>
      <c r="J976" s="20"/>
      <c r="K976" s="20">
        <v>6.5</v>
      </c>
      <c r="L976" s="20">
        <v>26.5</v>
      </c>
      <c r="M976" s="20"/>
      <c r="N976" s="20"/>
      <c r="O976" s="20"/>
      <c r="P976" s="140"/>
    </row>
    <row r="977" spans="2:17" s="21" customFormat="1" outlineLevel="1" x14ac:dyDescent="0.2">
      <c r="B977" s="141"/>
      <c r="C977" s="133"/>
      <c r="D977" s="141"/>
      <c r="E977" s="141"/>
      <c r="F977" s="141"/>
      <c r="G977" s="141"/>
      <c r="H977" s="19" t="s">
        <v>5</v>
      </c>
      <c r="I977" s="20">
        <f t="shared" si="294"/>
        <v>0</v>
      </c>
      <c r="J977" s="20"/>
      <c r="K977" s="20"/>
      <c r="L977" s="20"/>
      <c r="M977" s="20"/>
      <c r="N977" s="20"/>
      <c r="O977" s="20"/>
      <c r="P977" s="141"/>
    </row>
    <row r="978" spans="2:17" ht="42.75" x14ac:dyDescent="0.2">
      <c r="B978" s="128" t="s">
        <v>530</v>
      </c>
      <c r="C978" s="128" t="s">
        <v>38</v>
      </c>
      <c r="D978" s="128" t="s">
        <v>38</v>
      </c>
      <c r="E978" s="128" t="s">
        <v>38</v>
      </c>
      <c r="F978" s="128" t="s">
        <v>38</v>
      </c>
      <c r="G978" s="128" t="s">
        <v>38</v>
      </c>
      <c r="H978" s="84" t="s">
        <v>3</v>
      </c>
      <c r="I978" s="14">
        <f t="shared" ref="I978:O978" si="298">SUMIF($H$958:$H$977,"Объем*",I$958:I$977)</f>
        <v>112.2</v>
      </c>
      <c r="J978" s="14">
        <f t="shared" si="298"/>
        <v>26.9</v>
      </c>
      <c r="K978" s="14">
        <f t="shared" si="298"/>
        <v>15.6</v>
      </c>
      <c r="L978" s="14">
        <f t="shared" si="298"/>
        <v>69.7</v>
      </c>
      <c r="M978" s="14">
        <f t="shared" si="298"/>
        <v>0</v>
      </c>
      <c r="N978" s="14">
        <f t="shared" si="298"/>
        <v>0</v>
      </c>
      <c r="O978" s="14">
        <f t="shared" si="298"/>
        <v>0</v>
      </c>
      <c r="P978" s="128"/>
      <c r="Q978" s="7"/>
    </row>
    <row r="979" spans="2:17" ht="15.75" x14ac:dyDescent="0.2">
      <c r="B979" s="129"/>
      <c r="C979" s="129"/>
      <c r="D979" s="129"/>
      <c r="E979" s="129"/>
      <c r="F979" s="129"/>
      <c r="G979" s="129"/>
      <c r="H979" s="84" t="s">
        <v>4</v>
      </c>
      <c r="I979" s="14">
        <f t="shared" ref="I979:O979" si="299">SUMIF($H$958:$H$977,"фед*",I$958:I$977)</f>
        <v>0</v>
      </c>
      <c r="J979" s="14">
        <f t="shared" si="299"/>
        <v>0</v>
      </c>
      <c r="K979" s="14">
        <f t="shared" si="299"/>
        <v>0</v>
      </c>
      <c r="L979" s="14">
        <f t="shared" si="299"/>
        <v>0</v>
      </c>
      <c r="M979" s="14">
        <f t="shared" si="299"/>
        <v>0</v>
      </c>
      <c r="N979" s="14">
        <f t="shared" si="299"/>
        <v>0</v>
      </c>
      <c r="O979" s="14">
        <f t="shared" si="299"/>
        <v>0</v>
      </c>
      <c r="P979" s="129"/>
      <c r="Q979" s="7"/>
    </row>
    <row r="980" spans="2:17" ht="15.75" x14ac:dyDescent="0.2">
      <c r="B980" s="129"/>
      <c r="C980" s="129"/>
      <c r="D980" s="129"/>
      <c r="E980" s="129"/>
      <c r="F980" s="129"/>
      <c r="G980" s="129"/>
      <c r="H980" s="84" t="s">
        <v>6</v>
      </c>
      <c r="I980" s="14">
        <f t="shared" ref="I980:O980" si="300">SUMIF($H$958:$H$977,"конс*",I$958:I$977)</f>
        <v>112.2</v>
      </c>
      <c r="J980" s="14">
        <f t="shared" si="300"/>
        <v>26.9</v>
      </c>
      <c r="K980" s="14">
        <f t="shared" si="300"/>
        <v>15.6</v>
      </c>
      <c r="L980" s="14">
        <f t="shared" si="300"/>
        <v>69.7</v>
      </c>
      <c r="M980" s="14">
        <f t="shared" si="300"/>
        <v>0</v>
      </c>
      <c r="N980" s="14">
        <f t="shared" si="300"/>
        <v>0</v>
      </c>
      <c r="O980" s="14">
        <f t="shared" si="300"/>
        <v>0</v>
      </c>
      <c r="P980" s="129"/>
      <c r="Q980" s="7"/>
    </row>
    <row r="981" spans="2:17" ht="15.75" x14ac:dyDescent="0.2">
      <c r="B981" s="130"/>
      <c r="C981" s="130"/>
      <c r="D981" s="130"/>
      <c r="E981" s="130"/>
      <c r="F981" s="130"/>
      <c r="G981" s="130"/>
      <c r="H981" s="84" t="s">
        <v>5</v>
      </c>
      <c r="I981" s="14">
        <f t="shared" ref="I981:O981" si="301">SUMIF($H$958:$H$977,"вне*",I$958:I$977)</f>
        <v>0</v>
      </c>
      <c r="J981" s="14">
        <f t="shared" si="301"/>
        <v>0</v>
      </c>
      <c r="K981" s="14">
        <f t="shared" si="301"/>
        <v>0</v>
      </c>
      <c r="L981" s="14">
        <f t="shared" si="301"/>
        <v>0</v>
      </c>
      <c r="M981" s="14">
        <f t="shared" si="301"/>
        <v>0</v>
      </c>
      <c r="N981" s="14">
        <f t="shared" si="301"/>
        <v>0</v>
      </c>
      <c r="O981" s="14">
        <f t="shared" si="301"/>
        <v>0</v>
      </c>
      <c r="P981" s="130"/>
      <c r="Q981" s="7"/>
    </row>
    <row r="982" spans="2:17" ht="25.5" customHeight="1" x14ac:dyDescent="0.2">
      <c r="B982" s="111" t="s">
        <v>531</v>
      </c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3"/>
    </row>
    <row r="983" spans="2:17" s="21" customFormat="1" ht="42.75" customHeight="1" outlineLevel="1" x14ac:dyDescent="0.2">
      <c r="B983" s="139" t="s">
        <v>532</v>
      </c>
      <c r="C983" s="139"/>
      <c r="D983" s="139" t="s">
        <v>531</v>
      </c>
      <c r="E983" s="114">
        <v>2022</v>
      </c>
      <c r="F983" s="114" t="s">
        <v>533</v>
      </c>
      <c r="G983" s="114" t="s">
        <v>101</v>
      </c>
      <c r="H983" s="19" t="s">
        <v>3</v>
      </c>
      <c r="I983" s="83">
        <f>SUM(J983:O983)</f>
        <v>30.8</v>
      </c>
      <c r="J983" s="83">
        <f t="shared" ref="J983:O983" si="302">J984+J985+J986</f>
        <v>0</v>
      </c>
      <c r="K983" s="83">
        <f t="shared" si="302"/>
        <v>0</v>
      </c>
      <c r="L983" s="83">
        <f t="shared" si="302"/>
        <v>30.8</v>
      </c>
      <c r="M983" s="83">
        <f t="shared" si="302"/>
        <v>0</v>
      </c>
      <c r="N983" s="83">
        <f t="shared" si="302"/>
        <v>0</v>
      </c>
      <c r="O983" s="83">
        <f t="shared" si="302"/>
        <v>0</v>
      </c>
      <c r="P983" s="139">
        <v>5000</v>
      </c>
    </row>
    <row r="984" spans="2:17" s="21" customFormat="1" outlineLevel="1" x14ac:dyDescent="0.2">
      <c r="B984" s="140"/>
      <c r="C984" s="132"/>
      <c r="D984" s="140"/>
      <c r="E984" s="115"/>
      <c r="F984" s="115"/>
      <c r="G984" s="115"/>
      <c r="H984" s="19" t="s">
        <v>4</v>
      </c>
      <c r="I984" s="83">
        <f t="shared" ref="I984:I1002" si="303">SUM(J984:O984)</f>
        <v>0</v>
      </c>
      <c r="J984" s="83"/>
      <c r="K984" s="83"/>
      <c r="L984" s="83"/>
      <c r="M984" s="83"/>
      <c r="N984" s="83"/>
      <c r="O984" s="83"/>
      <c r="P984" s="140"/>
    </row>
    <row r="985" spans="2:17" s="21" customFormat="1" outlineLevel="1" x14ac:dyDescent="0.2">
      <c r="B985" s="140"/>
      <c r="C985" s="132"/>
      <c r="D985" s="140"/>
      <c r="E985" s="115"/>
      <c r="F985" s="115"/>
      <c r="G985" s="115"/>
      <c r="H985" s="19" t="s">
        <v>6</v>
      </c>
      <c r="I985" s="83">
        <f t="shared" si="303"/>
        <v>30.8</v>
      </c>
      <c r="J985" s="83">
        <v>0</v>
      </c>
      <c r="K985" s="35"/>
      <c r="L985" s="35">
        <v>30.8</v>
      </c>
      <c r="M985" s="83">
        <v>0</v>
      </c>
      <c r="N985" s="83">
        <v>0</v>
      </c>
      <c r="O985" s="83">
        <v>0</v>
      </c>
      <c r="P985" s="140"/>
    </row>
    <row r="986" spans="2:17" s="21" customFormat="1" outlineLevel="1" x14ac:dyDescent="0.2">
      <c r="B986" s="141"/>
      <c r="C986" s="133"/>
      <c r="D986" s="141"/>
      <c r="E986" s="116"/>
      <c r="F986" s="116"/>
      <c r="G986" s="116"/>
      <c r="H986" s="19" t="s">
        <v>5</v>
      </c>
      <c r="I986" s="83">
        <f t="shared" si="303"/>
        <v>0</v>
      </c>
      <c r="J986" s="83"/>
      <c r="K986" s="83"/>
      <c r="L986" s="83"/>
      <c r="M986" s="83"/>
      <c r="N986" s="83"/>
      <c r="O986" s="83"/>
      <c r="P986" s="141"/>
    </row>
    <row r="987" spans="2:17" s="21" customFormat="1" ht="42.75" customHeight="1" outlineLevel="1" x14ac:dyDescent="0.2">
      <c r="B987" s="139" t="s">
        <v>534</v>
      </c>
      <c r="C987" s="139"/>
      <c r="D987" s="139" t="s">
        <v>531</v>
      </c>
      <c r="E987" s="114" t="s">
        <v>61</v>
      </c>
      <c r="F987" s="114" t="s">
        <v>242</v>
      </c>
      <c r="G987" s="114" t="s">
        <v>101</v>
      </c>
      <c r="H987" s="19" t="s">
        <v>3</v>
      </c>
      <c r="I987" s="83">
        <f t="shared" si="303"/>
        <v>90.4</v>
      </c>
      <c r="J987" s="83">
        <v>0</v>
      </c>
      <c r="K987" s="83">
        <f t="shared" ref="K987" si="304">K988+K989+K990</f>
        <v>0</v>
      </c>
      <c r="L987" s="83">
        <v>0</v>
      </c>
      <c r="M987" s="83">
        <f t="shared" ref="M987:O987" si="305">M988+M989+M990</f>
        <v>45.2</v>
      </c>
      <c r="N987" s="83">
        <f t="shared" si="305"/>
        <v>45.2</v>
      </c>
      <c r="O987" s="83">
        <f t="shared" si="305"/>
        <v>0</v>
      </c>
      <c r="P987" s="139"/>
    </row>
    <row r="988" spans="2:17" s="21" customFormat="1" outlineLevel="1" x14ac:dyDescent="0.2">
      <c r="B988" s="140"/>
      <c r="C988" s="132"/>
      <c r="D988" s="140"/>
      <c r="E988" s="115"/>
      <c r="F988" s="115"/>
      <c r="G988" s="115"/>
      <c r="H988" s="19" t="s">
        <v>4</v>
      </c>
      <c r="I988" s="83">
        <f t="shared" si="303"/>
        <v>0</v>
      </c>
      <c r="J988" s="83"/>
      <c r="K988" s="83"/>
      <c r="L988" s="83"/>
      <c r="M988" s="83"/>
      <c r="N988" s="83"/>
      <c r="O988" s="83"/>
      <c r="P988" s="140"/>
    </row>
    <row r="989" spans="2:17" s="21" customFormat="1" outlineLevel="1" x14ac:dyDescent="0.2">
      <c r="B989" s="140"/>
      <c r="C989" s="132"/>
      <c r="D989" s="140"/>
      <c r="E989" s="115"/>
      <c r="F989" s="115"/>
      <c r="G989" s="115"/>
      <c r="H989" s="19" t="s">
        <v>6</v>
      </c>
      <c r="I989" s="83">
        <f t="shared" si="303"/>
        <v>90.4</v>
      </c>
      <c r="J989" s="83"/>
      <c r="K989" s="83"/>
      <c r="L989" s="83"/>
      <c r="M989" s="85">
        <v>45.2</v>
      </c>
      <c r="N989" s="85">
        <v>45.2</v>
      </c>
      <c r="O989" s="83"/>
      <c r="P989" s="140"/>
    </row>
    <row r="990" spans="2:17" s="21" customFormat="1" outlineLevel="1" x14ac:dyDescent="0.2">
      <c r="B990" s="141"/>
      <c r="C990" s="133"/>
      <c r="D990" s="141"/>
      <c r="E990" s="116"/>
      <c r="F990" s="116"/>
      <c r="G990" s="116"/>
      <c r="H990" s="19" t="s">
        <v>5</v>
      </c>
      <c r="I990" s="83">
        <f t="shared" si="303"/>
        <v>0</v>
      </c>
      <c r="J990" s="83"/>
      <c r="K990" s="83"/>
      <c r="L990" s="83"/>
      <c r="M990" s="83"/>
      <c r="N990" s="83"/>
      <c r="O990" s="83"/>
      <c r="P990" s="141"/>
    </row>
    <row r="991" spans="2:17" ht="42.75" customHeight="1" outlineLevel="1" x14ac:dyDescent="0.2">
      <c r="B991" s="117" t="s">
        <v>535</v>
      </c>
      <c r="C991" s="117"/>
      <c r="D991" s="117" t="s">
        <v>531</v>
      </c>
      <c r="E991" s="117">
        <v>2026</v>
      </c>
      <c r="F991" s="117" t="s">
        <v>533</v>
      </c>
      <c r="G991" s="117" t="s">
        <v>101</v>
      </c>
      <c r="H991" s="84" t="s">
        <v>3</v>
      </c>
      <c r="I991" s="83">
        <f t="shared" si="303"/>
        <v>65.099999999999994</v>
      </c>
      <c r="J991" s="17">
        <f t="shared" ref="J991:O991" si="306">J992+J993+J994</f>
        <v>0</v>
      </c>
      <c r="K991" s="83">
        <f t="shared" si="306"/>
        <v>19.399999999999999</v>
      </c>
      <c r="L991" s="83">
        <f t="shared" si="306"/>
        <v>45.7</v>
      </c>
      <c r="M991" s="83">
        <f t="shared" si="306"/>
        <v>0</v>
      </c>
      <c r="N991" s="83">
        <f t="shared" si="306"/>
        <v>0</v>
      </c>
      <c r="O991" s="83">
        <f t="shared" si="306"/>
        <v>0</v>
      </c>
      <c r="P991" s="117"/>
    </row>
    <row r="992" spans="2:17" outlineLevel="1" x14ac:dyDescent="0.2">
      <c r="B992" s="118"/>
      <c r="C992" s="132"/>
      <c r="D992" s="118"/>
      <c r="E992" s="118"/>
      <c r="F992" s="118"/>
      <c r="G992" s="118"/>
      <c r="H992" s="84" t="s">
        <v>4</v>
      </c>
      <c r="I992" s="83">
        <f t="shared" si="303"/>
        <v>0</v>
      </c>
      <c r="J992" s="17"/>
      <c r="K992" s="83"/>
      <c r="L992" s="83"/>
      <c r="M992" s="83"/>
      <c r="N992" s="83"/>
      <c r="O992" s="83"/>
      <c r="P992" s="118"/>
    </row>
    <row r="993" spans="2:17" outlineLevel="1" x14ac:dyDescent="0.2">
      <c r="B993" s="118"/>
      <c r="C993" s="132"/>
      <c r="D993" s="118"/>
      <c r="E993" s="118"/>
      <c r="F993" s="118"/>
      <c r="G993" s="118"/>
      <c r="H993" s="84" t="s">
        <v>6</v>
      </c>
      <c r="I993" s="83">
        <f t="shared" si="303"/>
        <v>65.099999999999994</v>
      </c>
      <c r="J993" s="17"/>
      <c r="K993" s="83">
        <v>19.399999999999999</v>
      </c>
      <c r="L993" s="83">
        <v>45.7</v>
      </c>
      <c r="M993" s="83"/>
      <c r="N993" s="83"/>
      <c r="O993" s="83"/>
      <c r="P993" s="118"/>
    </row>
    <row r="994" spans="2:17" outlineLevel="1" x14ac:dyDescent="0.2">
      <c r="B994" s="119"/>
      <c r="C994" s="133"/>
      <c r="D994" s="119"/>
      <c r="E994" s="119"/>
      <c r="F994" s="119"/>
      <c r="G994" s="119"/>
      <c r="H994" s="84" t="s">
        <v>5</v>
      </c>
      <c r="I994" s="83">
        <f t="shared" si="303"/>
        <v>0</v>
      </c>
      <c r="J994" s="17"/>
      <c r="K994" s="83"/>
      <c r="L994" s="83"/>
      <c r="M994" s="83"/>
      <c r="N994" s="83"/>
      <c r="O994" s="83"/>
      <c r="P994" s="119"/>
    </row>
    <row r="995" spans="2:17" ht="42.75" customHeight="1" outlineLevel="1" x14ac:dyDescent="0.2">
      <c r="B995" s="114" t="s">
        <v>536</v>
      </c>
      <c r="C995" s="114"/>
      <c r="D995" s="114" t="s">
        <v>531</v>
      </c>
      <c r="E995" s="114" t="s">
        <v>99</v>
      </c>
      <c r="F995" s="114" t="s">
        <v>537</v>
      </c>
      <c r="G995" s="114" t="s">
        <v>101</v>
      </c>
      <c r="H995" s="84" t="s">
        <v>3</v>
      </c>
      <c r="I995" s="83">
        <f t="shared" si="303"/>
        <v>91.949000000000012</v>
      </c>
      <c r="J995" s="27">
        <f t="shared" ref="J995:O995" si="307">J996+J997+J998</f>
        <v>26.8</v>
      </c>
      <c r="K995" s="27">
        <f t="shared" si="307"/>
        <v>19.417999999999999</v>
      </c>
      <c r="L995" s="27">
        <f t="shared" si="307"/>
        <v>45.731000000000002</v>
      </c>
      <c r="M995" s="83">
        <f t="shared" si="307"/>
        <v>0</v>
      </c>
      <c r="N995" s="83">
        <f t="shared" si="307"/>
        <v>0</v>
      </c>
      <c r="O995" s="83">
        <f t="shared" si="307"/>
        <v>0</v>
      </c>
      <c r="P995" s="117"/>
    </row>
    <row r="996" spans="2:17" outlineLevel="1" x14ac:dyDescent="0.2">
      <c r="B996" s="115"/>
      <c r="C996" s="137"/>
      <c r="D996" s="115"/>
      <c r="E996" s="115"/>
      <c r="F996" s="115"/>
      <c r="G996" s="115"/>
      <c r="H996" s="84" t="s">
        <v>4</v>
      </c>
      <c r="I996" s="83">
        <f t="shared" si="303"/>
        <v>0</v>
      </c>
      <c r="J996" s="27"/>
      <c r="K996" s="27"/>
      <c r="L996" s="27"/>
      <c r="M996" s="83"/>
      <c r="N996" s="83"/>
      <c r="O996" s="83"/>
      <c r="P996" s="118"/>
    </row>
    <row r="997" spans="2:17" outlineLevel="1" x14ac:dyDescent="0.2">
      <c r="B997" s="115"/>
      <c r="C997" s="137"/>
      <c r="D997" s="115"/>
      <c r="E997" s="115"/>
      <c r="F997" s="115"/>
      <c r="G997" s="115"/>
      <c r="H997" s="84" t="s">
        <v>6</v>
      </c>
      <c r="I997" s="83">
        <f t="shared" si="303"/>
        <v>91.949000000000012</v>
      </c>
      <c r="J997" s="27">
        <v>26.8</v>
      </c>
      <c r="K997" s="27">
        <v>19.417999999999999</v>
      </c>
      <c r="L997" s="27">
        <v>45.731000000000002</v>
      </c>
      <c r="M997" s="83"/>
      <c r="N997" s="83"/>
      <c r="O997" s="83"/>
      <c r="P997" s="118"/>
    </row>
    <row r="998" spans="2:17" outlineLevel="1" x14ac:dyDescent="0.2">
      <c r="B998" s="116"/>
      <c r="C998" s="138"/>
      <c r="D998" s="116"/>
      <c r="E998" s="116"/>
      <c r="F998" s="116"/>
      <c r="G998" s="116"/>
      <c r="H998" s="84" t="s">
        <v>5</v>
      </c>
      <c r="I998" s="83">
        <f t="shared" si="303"/>
        <v>0</v>
      </c>
      <c r="J998" s="17"/>
      <c r="K998" s="83"/>
      <c r="L998" s="83"/>
      <c r="M998" s="83"/>
      <c r="N998" s="83"/>
      <c r="O998" s="83"/>
      <c r="P998" s="119"/>
    </row>
    <row r="999" spans="2:17" s="21" customFormat="1" ht="42.75" customHeight="1" outlineLevel="1" x14ac:dyDescent="0.2">
      <c r="B999" s="139" t="s">
        <v>538</v>
      </c>
      <c r="C999" s="139"/>
      <c r="D999" s="139" t="s">
        <v>531</v>
      </c>
      <c r="E999" s="139">
        <v>2025</v>
      </c>
      <c r="F999" s="139" t="s">
        <v>185</v>
      </c>
      <c r="G999" s="139" t="s">
        <v>101</v>
      </c>
      <c r="H999" s="19" t="s">
        <v>3</v>
      </c>
      <c r="I999" s="83">
        <f t="shared" si="303"/>
        <v>18</v>
      </c>
      <c r="J999" s="83">
        <v>0</v>
      </c>
      <c r="K999" s="83">
        <f t="shared" ref="K999" si="308">K1000+K1001+K1002</f>
        <v>0</v>
      </c>
      <c r="L999" s="83">
        <v>0</v>
      </c>
      <c r="M999" s="83">
        <f t="shared" ref="M999:O999" si="309">M1000+M1001+M1002</f>
        <v>0</v>
      </c>
      <c r="N999" s="83">
        <f t="shared" si="309"/>
        <v>0</v>
      </c>
      <c r="O999" s="83">
        <f t="shared" si="309"/>
        <v>18</v>
      </c>
      <c r="P999" s="139"/>
    </row>
    <row r="1000" spans="2:17" s="21" customFormat="1" outlineLevel="1" x14ac:dyDescent="0.2">
      <c r="B1000" s="140"/>
      <c r="C1000" s="132"/>
      <c r="D1000" s="140"/>
      <c r="E1000" s="140"/>
      <c r="F1000" s="140"/>
      <c r="G1000" s="140"/>
      <c r="H1000" s="19" t="s">
        <v>4</v>
      </c>
      <c r="I1000" s="83">
        <f t="shared" si="303"/>
        <v>0</v>
      </c>
      <c r="J1000" s="83"/>
      <c r="K1000" s="83"/>
      <c r="L1000" s="83"/>
      <c r="M1000" s="83"/>
      <c r="N1000" s="83"/>
      <c r="O1000" s="83"/>
      <c r="P1000" s="140"/>
    </row>
    <row r="1001" spans="2:17" s="21" customFormat="1" outlineLevel="1" x14ac:dyDescent="0.2">
      <c r="B1001" s="140"/>
      <c r="C1001" s="132"/>
      <c r="D1001" s="140"/>
      <c r="E1001" s="140"/>
      <c r="F1001" s="140"/>
      <c r="G1001" s="140"/>
      <c r="H1001" s="19" t="s">
        <v>6</v>
      </c>
      <c r="I1001" s="83">
        <f t="shared" si="303"/>
        <v>18</v>
      </c>
      <c r="J1001" s="83"/>
      <c r="K1001" s="83"/>
      <c r="L1001" s="83"/>
      <c r="M1001" s="83"/>
      <c r="N1001" s="83"/>
      <c r="O1001" s="83">
        <v>18</v>
      </c>
      <c r="P1001" s="140"/>
    </row>
    <row r="1002" spans="2:17" s="21" customFormat="1" outlineLevel="1" x14ac:dyDescent="0.2">
      <c r="B1002" s="141"/>
      <c r="C1002" s="133"/>
      <c r="D1002" s="141"/>
      <c r="E1002" s="141"/>
      <c r="F1002" s="141"/>
      <c r="G1002" s="141"/>
      <c r="H1002" s="19" t="s">
        <v>5</v>
      </c>
      <c r="I1002" s="83">
        <f t="shared" si="303"/>
        <v>0</v>
      </c>
      <c r="J1002" s="83"/>
      <c r="K1002" s="83"/>
      <c r="L1002" s="83"/>
      <c r="M1002" s="83"/>
      <c r="N1002" s="83"/>
      <c r="O1002" s="83"/>
      <c r="P1002" s="141"/>
    </row>
    <row r="1003" spans="2:17" ht="42.75" x14ac:dyDescent="0.2">
      <c r="B1003" s="128" t="s">
        <v>539</v>
      </c>
      <c r="C1003" s="128" t="s">
        <v>38</v>
      </c>
      <c r="D1003" s="128" t="s">
        <v>38</v>
      </c>
      <c r="E1003" s="128" t="s">
        <v>38</v>
      </c>
      <c r="F1003" s="128" t="s">
        <v>38</v>
      </c>
      <c r="G1003" s="128" t="s">
        <v>38</v>
      </c>
      <c r="H1003" s="84" t="s">
        <v>3</v>
      </c>
      <c r="I1003" s="14">
        <f t="shared" ref="I1003:O1003" si="310">SUMIF($H$983:$H$1002,"Объем*",I$983:I$1002)</f>
        <v>296.24900000000002</v>
      </c>
      <c r="J1003" s="14">
        <f t="shared" si="310"/>
        <v>26.8</v>
      </c>
      <c r="K1003" s="14">
        <f t="shared" si="310"/>
        <v>38.817999999999998</v>
      </c>
      <c r="L1003" s="14">
        <f t="shared" si="310"/>
        <v>122.23099999999999</v>
      </c>
      <c r="M1003" s="14">
        <f t="shared" si="310"/>
        <v>45.2</v>
      </c>
      <c r="N1003" s="14">
        <f t="shared" si="310"/>
        <v>45.2</v>
      </c>
      <c r="O1003" s="14">
        <f t="shared" si="310"/>
        <v>18</v>
      </c>
      <c r="P1003" s="128"/>
      <c r="Q1003" s="7"/>
    </row>
    <row r="1004" spans="2:17" ht="15.75" x14ac:dyDescent="0.2">
      <c r="B1004" s="129"/>
      <c r="C1004" s="129"/>
      <c r="D1004" s="129"/>
      <c r="E1004" s="129"/>
      <c r="F1004" s="129"/>
      <c r="G1004" s="129"/>
      <c r="H1004" s="84" t="s">
        <v>4</v>
      </c>
      <c r="I1004" s="14">
        <f t="shared" ref="I1004:O1004" si="311">SUMIF($H$983:$H$1002,"фед*",I$983:I$1002)</f>
        <v>0</v>
      </c>
      <c r="J1004" s="14">
        <f t="shared" si="311"/>
        <v>0</v>
      </c>
      <c r="K1004" s="14">
        <f t="shared" si="311"/>
        <v>0</v>
      </c>
      <c r="L1004" s="14">
        <f t="shared" si="311"/>
        <v>0</v>
      </c>
      <c r="M1004" s="14">
        <f t="shared" si="311"/>
        <v>0</v>
      </c>
      <c r="N1004" s="14">
        <f t="shared" si="311"/>
        <v>0</v>
      </c>
      <c r="O1004" s="14">
        <f t="shared" si="311"/>
        <v>0</v>
      </c>
      <c r="P1004" s="129"/>
      <c r="Q1004" s="7"/>
    </row>
    <row r="1005" spans="2:17" ht="15.75" x14ac:dyDescent="0.2">
      <c r="B1005" s="129"/>
      <c r="C1005" s="129"/>
      <c r="D1005" s="129"/>
      <c r="E1005" s="129"/>
      <c r="F1005" s="129"/>
      <c r="G1005" s="129"/>
      <c r="H1005" s="84" t="s">
        <v>6</v>
      </c>
      <c r="I1005" s="14">
        <f t="shared" ref="I1005:O1005" si="312">SUMIF($H$983:$H$1002,"конс*",I$983:I$1002)</f>
        <v>296.24900000000002</v>
      </c>
      <c r="J1005" s="14">
        <f t="shared" si="312"/>
        <v>26.8</v>
      </c>
      <c r="K1005" s="14">
        <f t="shared" si="312"/>
        <v>38.817999999999998</v>
      </c>
      <c r="L1005" s="14">
        <f t="shared" si="312"/>
        <v>122.23099999999999</v>
      </c>
      <c r="M1005" s="14">
        <f t="shared" si="312"/>
        <v>45.2</v>
      </c>
      <c r="N1005" s="14">
        <f t="shared" si="312"/>
        <v>45.2</v>
      </c>
      <c r="O1005" s="14">
        <f t="shared" si="312"/>
        <v>18</v>
      </c>
      <c r="P1005" s="129"/>
      <c r="Q1005" s="7"/>
    </row>
    <row r="1006" spans="2:17" ht="15.75" x14ac:dyDescent="0.2">
      <c r="B1006" s="130"/>
      <c r="C1006" s="130"/>
      <c r="D1006" s="130"/>
      <c r="E1006" s="130"/>
      <c r="F1006" s="130"/>
      <c r="G1006" s="130"/>
      <c r="H1006" s="84" t="s">
        <v>5</v>
      </c>
      <c r="I1006" s="14">
        <f t="shared" ref="I1006:O1006" si="313">SUMIF($H$983:$H$1002,"вне*",I$983:I$1002)</f>
        <v>0</v>
      </c>
      <c r="J1006" s="14">
        <f t="shared" si="313"/>
        <v>0</v>
      </c>
      <c r="K1006" s="14">
        <f t="shared" si="313"/>
        <v>0</v>
      </c>
      <c r="L1006" s="14">
        <f t="shared" si="313"/>
        <v>0</v>
      </c>
      <c r="M1006" s="14">
        <f t="shared" si="313"/>
        <v>0</v>
      </c>
      <c r="N1006" s="14">
        <f t="shared" si="313"/>
        <v>0</v>
      </c>
      <c r="O1006" s="14">
        <f t="shared" si="313"/>
        <v>0</v>
      </c>
      <c r="P1006" s="130"/>
    </row>
    <row r="1007" spans="2:17" ht="25.5" customHeight="1" x14ac:dyDescent="0.2">
      <c r="B1007" s="111" t="s">
        <v>540</v>
      </c>
      <c r="C1007" s="112"/>
      <c r="D1007" s="112"/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3"/>
    </row>
    <row r="1008" spans="2:17" s="21" customFormat="1" ht="42.75" outlineLevel="1" x14ac:dyDescent="0.2">
      <c r="B1008" s="139" t="s">
        <v>541</v>
      </c>
      <c r="C1008" s="139"/>
      <c r="D1008" s="139" t="s">
        <v>540</v>
      </c>
      <c r="E1008" s="139" t="s">
        <v>319</v>
      </c>
      <c r="F1008" s="139" t="s">
        <v>542</v>
      </c>
      <c r="G1008" s="139" t="s">
        <v>543</v>
      </c>
      <c r="H1008" s="19" t="s">
        <v>3</v>
      </c>
      <c r="I1008" s="20">
        <f>SUM(J1008:O1008)</f>
        <v>38.299999999999997</v>
      </c>
      <c r="J1008" s="20">
        <f>SUM(J1009:J1011)</f>
        <v>38.299999999999997</v>
      </c>
      <c r="K1008" s="20">
        <f t="shared" ref="K1008:O1008" si="314">SUM(K1009:K1011)</f>
        <v>0</v>
      </c>
      <c r="L1008" s="20">
        <f t="shared" si="314"/>
        <v>0</v>
      </c>
      <c r="M1008" s="20">
        <f t="shared" si="314"/>
        <v>0</v>
      </c>
      <c r="N1008" s="20">
        <f t="shared" si="314"/>
        <v>0</v>
      </c>
      <c r="O1008" s="20">
        <f t="shared" si="314"/>
        <v>0</v>
      </c>
      <c r="P1008" s="139">
        <v>45222</v>
      </c>
    </row>
    <row r="1009" spans="2:16" s="21" customFormat="1" outlineLevel="1" x14ac:dyDescent="0.2">
      <c r="B1009" s="140"/>
      <c r="C1009" s="132"/>
      <c r="D1009" s="140"/>
      <c r="E1009" s="140"/>
      <c r="F1009" s="140"/>
      <c r="G1009" s="140"/>
      <c r="H1009" s="19" t="s">
        <v>4</v>
      </c>
      <c r="I1009" s="36"/>
      <c r="J1009" s="36"/>
      <c r="K1009" s="36"/>
      <c r="L1009" s="36"/>
      <c r="M1009" s="36"/>
      <c r="N1009" s="36"/>
      <c r="O1009" s="36"/>
      <c r="P1009" s="140"/>
    </row>
    <row r="1010" spans="2:16" s="21" customFormat="1" outlineLevel="1" x14ac:dyDescent="0.2">
      <c r="B1010" s="140"/>
      <c r="C1010" s="132"/>
      <c r="D1010" s="140"/>
      <c r="E1010" s="140"/>
      <c r="F1010" s="140"/>
      <c r="G1010" s="140"/>
      <c r="H1010" s="19" t="s">
        <v>6</v>
      </c>
      <c r="I1010" s="20">
        <f>SUM(J1010:O1010)</f>
        <v>38.299999999999997</v>
      </c>
      <c r="J1010" s="36">
        <v>38.299999999999997</v>
      </c>
      <c r="K1010" s="36"/>
      <c r="L1010" s="36"/>
      <c r="M1010" s="36"/>
      <c r="N1010" s="36"/>
      <c r="O1010" s="36"/>
      <c r="P1010" s="140"/>
    </row>
    <row r="1011" spans="2:16" s="21" customFormat="1" outlineLevel="1" x14ac:dyDescent="0.2">
      <c r="B1011" s="141"/>
      <c r="C1011" s="133"/>
      <c r="D1011" s="141"/>
      <c r="E1011" s="141"/>
      <c r="F1011" s="141"/>
      <c r="G1011" s="141"/>
      <c r="H1011" s="19" t="s">
        <v>5</v>
      </c>
      <c r="I1011" s="36"/>
      <c r="J1011" s="36"/>
      <c r="K1011" s="36"/>
      <c r="L1011" s="36"/>
      <c r="M1011" s="36"/>
      <c r="N1011" s="36"/>
      <c r="O1011" s="36"/>
      <c r="P1011" s="141"/>
    </row>
    <row r="1012" spans="2:16" s="21" customFormat="1" ht="42.75" outlineLevel="1" x14ac:dyDescent="0.2">
      <c r="B1012" s="139" t="s">
        <v>544</v>
      </c>
      <c r="C1012" s="139"/>
      <c r="D1012" s="139" t="s">
        <v>540</v>
      </c>
      <c r="E1012" s="117" t="s">
        <v>99</v>
      </c>
      <c r="F1012" s="117" t="s">
        <v>545</v>
      </c>
      <c r="G1012" s="139" t="s">
        <v>543</v>
      </c>
      <c r="H1012" s="19" t="s">
        <v>3</v>
      </c>
      <c r="I1012" s="20">
        <f>SUM(J1012:O1012)</f>
        <v>52.4</v>
      </c>
      <c r="J1012" s="20">
        <f t="shared" ref="J1012:O1012" si="315">J1013+J1014+J1015</f>
        <v>0</v>
      </c>
      <c r="K1012" s="20">
        <f t="shared" si="315"/>
        <v>26.2</v>
      </c>
      <c r="L1012" s="20">
        <f t="shared" si="315"/>
        <v>26.2</v>
      </c>
      <c r="M1012" s="20">
        <f t="shared" si="315"/>
        <v>0</v>
      </c>
      <c r="N1012" s="20">
        <f t="shared" si="315"/>
        <v>0</v>
      </c>
      <c r="O1012" s="20">
        <f t="shared" si="315"/>
        <v>0</v>
      </c>
      <c r="P1012" s="139"/>
    </row>
    <row r="1013" spans="2:16" s="21" customFormat="1" outlineLevel="1" x14ac:dyDescent="0.2">
      <c r="B1013" s="140"/>
      <c r="C1013" s="132"/>
      <c r="D1013" s="140"/>
      <c r="E1013" s="118"/>
      <c r="F1013" s="118"/>
      <c r="G1013" s="140"/>
      <c r="H1013" s="19" t="s">
        <v>4</v>
      </c>
      <c r="I1013" s="36"/>
      <c r="J1013" s="36"/>
      <c r="K1013" s="36"/>
      <c r="L1013" s="36"/>
      <c r="M1013" s="36"/>
      <c r="N1013" s="36"/>
      <c r="O1013" s="36"/>
      <c r="P1013" s="140"/>
    </row>
    <row r="1014" spans="2:16" s="21" customFormat="1" outlineLevel="1" x14ac:dyDescent="0.2">
      <c r="B1014" s="140"/>
      <c r="C1014" s="132"/>
      <c r="D1014" s="140"/>
      <c r="E1014" s="118"/>
      <c r="F1014" s="118"/>
      <c r="G1014" s="140"/>
      <c r="H1014" s="19" t="s">
        <v>6</v>
      </c>
      <c r="I1014" s="20">
        <f>SUM(J1014:O1014)</f>
        <v>52.4</v>
      </c>
      <c r="J1014" s="75"/>
      <c r="K1014" s="75">
        <v>26.2</v>
      </c>
      <c r="L1014" s="75">
        <v>26.2</v>
      </c>
      <c r="M1014" s="36"/>
      <c r="N1014" s="36"/>
      <c r="O1014" s="36"/>
      <c r="P1014" s="140"/>
    </row>
    <row r="1015" spans="2:16" s="21" customFormat="1" outlineLevel="1" x14ac:dyDescent="0.2">
      <c r="B1015" s="141"/>
      <c r="C1015" s="133"/>
      <c r="D1015" s="141"/>
      <c r="E1015" s="119"/>
      <c r="F1015" s="119"/>
      <c r="G1015" s="141"/>
      <c r="H1015" s="19" t="s">
        <v>5</v>
      </c>
      <c r="I1015" s="36"/>
      <c r="J1015" s="36"/>
      <c r="K1015" s="36"/>
      <c r="L1015" s="36"/>
      <c r="M1015" s="36"/>
      <c r="N1015" s="36"/>
      <c r="O1015" s="36"/>
      <c r="P1015" s="141"/>
    </row>
    <row r="1016" spans="2:16" s="21" customFormat="1" ht="42.75" outlineLevel="1" x14ac:dyDescent="0.2">
      <c r="B1016" s="139" t="s">
        <v>546</v>
      </c>
      <c r="C1016" s="139"/>
      <c r="D1016" s="139" t="s">
        <v>540</v>
      </c>
      <c r="E1016" s="117" t="s">
        <v>503</v>
      </c>
      <c r="F1016" s="139" t="s">
        <v>547</v>
      </c>
      <c r="G1016" s="139" t="s">
        <v>543</v>
      </c>
      <c r="H1016" s="19" t="s">
        <v>3</v>
      </c>
      <c r="I1016" s="20">
        <f>SUM(J1016:O1016)</f>
        <v>78.599999999999994</v>
      </c>
      <c r="J1016" s="20">
        <f>J1017+J1018+J1019</f>
        <v>0</v>
      </c>
      <c r="K1016" s="20">
        <f>K1017+K1018+K1019</f>
        <v>0</v>
      </c>
      <c r="L1016" s="20">
        <f>L1017+L1018+L1019</f>
        <v>0</v>
      </c>
      <c r="M1016" s="20">
        <f t="shared" ref="M1016:O1016" si="316">M1017+M1018+M1019</f>
        <v>26.2</v>
      </c>
      <c r="N1016" s="20">
        <f t="shared" si="316"/>
        <v>26.2</v>
      </c>
      <c r="O1016" s="20">
        <f t="shared" si="316"/>
        <v>26.2</v>
      </c>
      <c r="P1016" s="139"/>
    </row>
    <row r="1017" spans="2:16" s="21" customFormat="1" outlineLevel="1" x14ac:dyDescent="0.2">
      <c r="B1017" s="140"/>
      <c r="C1017" s="132"/>
      <c r="D1017" s="140"/>
      <c r="E1017" s="118"/>
      <c r="F1017" s="140"/>
      <c r="G1017" s="140"/>
      <c r="H1017" s="19" t="s">
        <v>4</v>
      </c>
      <c r="I1017" s="36"/>
      <c r="J1017" s="36"/>
      <c r="K1017" s="36"/>
      <c r="L1017" s="36"/>
      <c r="M1017" s="36"/>
      <c r="N1017" s="36"/>
      <c r="O1017" s="36"/>
      <c r="P1017" s="140"/>
    </row>
    <row r="1018" spans="2:16" s="21" customFormat="1" outlineLevel="1" x14ac:dyDescent="0.2">
      <c r="B1018" s="140"/>
      <c r="C1018" s="132"/>
      <c r="D1018" s="140"/>
      <c r="E1018" s="118"/>
      <c r="F1018" s="140"/>
      <c r="G1018" s="140"/>
      <c r="H1018" s="19" t="s">
        <v>6</v>
      </c>
      <c r="I1018" s="20">
        <f>SUM(J1018:O1018)</f>
        <v>78.599999999999994</v>
      </c>
      <c r="J1018" s="36"/>
      <c r="K1018" s="36"/>
      <c r="L1018" s="36"/>
      <c r="M1018" s="75">
        <v>26.2</v>
      </c>
      <c r="N1018" s="75">
        <v>26.2</v>
      </c>
      <c r="O1018" s="75">
        <v>26.2</v>
      </c>
      <c r="P1018" s="140"/>
    </row>
    <row r="1019" spans="2:16" s="21" customFormat="1" outlineLevel="1" x14ac:dyDescent="0.2">
      <c r="B1019" s="141"/>
      <c r="C1019" s="133"/>
      <c r="D1019" s="141"/>
      <c r="E1019" s="119"/>
      <c r="F1019" s="141"/>
      <c r="G1019" s="141"/>
      <c r="H1019" s="19" t="s">
        <v>5</v>
      </c>
      <c r="I1019" s="36"/>
      <c r="J1019" s="36"/>
      <c r="K1019" s="36"/>
      <c r="L1019" s="36"/>
      <c r="M1019" s="36"/>
      <c r="N1019" s="36"/>
      <c r="O1019" s="36"/>
      <c r="P1019" s="141"/>
    </row>
    <row r="1020" spans="2:16" s="21" customFormat="1" ht="42.75" outlineLevel="1" x14ac:dyDescent="0.2">
      <c r="B1020" s="139" t="s">
        <v>548</v>
      </c>
      <c r="C1020" s="139"/>
      <c r="D1020" s="139" t="s">
        <v>540</v>
      </c>
      <c r="E1020" s="139" t="s">
        <v>99</v>
      </c>
      <c r="F1020" s="139" t="s">
        <v>549</v>
      </c>
      <c r="G1020" s="139" t="s">
        <v>543</v>
      </c>
      <c r="H1020" s="19" t="s">
        <v>3</v>
      </c>
      <c r="I1020" s="20">
        <f>SUM(J1020:O1020)</f>
        <v>86.5</v>
      </c>
      <c r="J1020" s="83">
        <f t="shared" ref="J1020:O1020" si="317">J1021+J1022+J1023</f>
        <v>3.5</v>
      </c>
      <c r="K1020" s="83">
        <f t="shared" si="317"/>
        <v>41.5</v>
      </c>
      <c r="L1020" s="83">
        <f t="shared" si="317"/>
        <v>41.5</v>
      </c>
      <c r="M1020" s="83">
        <f t="shared" si="317"/>
        <v>0</v>
      </c>
      <c r="N1020" s="83">
        <f t="shared" si="317"/>
        <v>0</v>
      </c>
      <c r="O1020" s="83">
        <f t="shared" si="317"/>
        <v>0</v>
      </c>
      <c r="P1020" s="139"/>
    </row>
    <row r="1021" spans="2:16" s="21" customFormat="1" outlineLevel="1" x14ac:dyDescent="0.2">
      <c r="B1021" s="140"/>
      <c r="C1021" s="132"/>
      <c r="D1021" s="140"/>
      <c r="E1021" s="140"/>
      <c r="F1021" s="140"/>
      <c r="G1021" s="140"/>
      <c r="H1021" s="19" t="s">
        <v>4</v>
      </c>
      <c r="I1021" s="75"/>
      <c r="J1021" s="75"/>
      <c r="K1021" s="75"/>
      <c r="L1021" s="75"/>
      <c r="M1021" s="75"/>
      <c r="N1021" s="75"/>
      <c r="O1021" s="75"/>
      <c r="P1021" s="140"/>
    </row>
    <row r="1022" spans="2:16" s="21" customFormat="1" outlineLevel="1" x14ac:dyDescent="0.2">
      <c r="B1022" s="140"/>
      <c r="C1022" s="132"/>
      <c r="D1022" s="140"/>
      <c r="E1022" s="140"/>
      <c r="F1022" s="140"/>
      <c r="G1022" s="140"/>
      <c r="H1022" s="19" t="s">
        <v>6</v>
      </c>
      <c r="I1022" s="83">
        <f>SUM(J1022:O1022)</f>
        <v>86.5</v>
      </c>
      <c r="J1022" s="75">
        <v>3.5</v>
      </c>
      <c r="K1022" s="75">
        <v>41.5</v>
      </c>
      <c r="L1022" s="75">
        <v>41.5</v>
      </c>
      <c r="M1022" s="75"/>
      <c r="N1022" s="75"/>
      <c r="O1022" s="75"/>
      <c r="P1022" s="140"/>
    </row>
    <row r="1023" spans="2:16" s="21" customFormat="1" outlineLevel="1" x14ac:dyDescent="0.2">
      <c r="B1023" s="141"/>
      <c r="C1023" s="133"/>
      <c r="D1023" s="141"/>
      <c r="E1023" s="141"/>
      <c r="F1023" s="141"/>
      <c r="G1023" s="141"/>
      <c r="H1023" s="19" t="s">
        <v>5</v>
      </c>
      <c r="I1023" s="75"/>
      <c r="J1023" s="75"/>
      <c r="K1023" s="75"/>
      <c r="L1023" s="75"/>
      <c r="M1023" s="75"/>
      <c r="N1023" s="75"/>
      <c r="O1023" s="75"/>
      <c r="P1023" s="141"/>
    </row>
    <row r="1024" spans="2:16" s="21" customFormat="1" ht="42.75" outlineLevel="1" x14ac:dyDescent="0.2">
      <c r="B1024" s="139" t="s">
        <v>550</v>
      </c>
      <c r="C1024" s="139"/>
      <c r="D1024" s="139" t="s">
        <v>540</v>
      </c>
      <c r="E1024" s="139" t="s">
        <v>503</v>
      </c>
      <c r="F1024" s="139" t="s">
        <v>551</v>
      </c>
      <c r="G1024" s="139" t="s">
        <v>543</v>
      </c>
      <c r="H1024" s="19" t="s">
        <v>3</v>
      </c>
      <c r="I1024" s="83">
        <f>SUM(J1024:O1024)</f>
        <v>125.69999999999999</v>
      </c>
      <c r="J1024" s="83">
        <v>0</v>
      </c>
      <c r="K1024" s="83">
        <f t="shared" ref="K1024:O1024" si="318">K1025+K1026+K1027</f>
        <v>0</v>
      </c>
      <c r="L1024" s="83">
        <f t="shared" si="318"/>
        <v>0</v>
      </c>
      <c r="M1024" s="83">
        <f t="shared" si="318"/>
        <v>41.9</v>
      </c>
      <c r="N1024" s="83">
        <f t="shared" si="318"/>
        <v>41.9</v>
      </c>
      <c r="O1024" s="83">
        <f t="shared" si="318"/>
        <v>41.9</v>
      </c>
      <c r="P1024" s="139"/>
    </row>
    <row r="1025" spans="2:16" s="21" customFormat="1" outlineLevel="1" x14ac:dyDescent="0.2">
      <c r="B1025" s="140"/>
      <c r="C1025" s="132"/>
      <c r="D1025" s="140"/>
      <c r="E1025" s="140"/>
      <c r="F1025" s="140"/>
      <c r="G1025" s="140"/>
      <c r="H1025" s="19" t="s">
        <v>4</v>
      </c>
      <c r="I1025" s="83">
        <f t="shared" ref="I1025:I1043" si="319">SUM(J1025:O1025)</f>
        <v>0</v>
      </c>
      <c r="J1025" s="75"/>
      <c r="K1025" s="75"/>
      <c r="L1025" s="75"/>
      <c r="M1025" s="75"/>
      <c r="N1025" s="75"/>
      <c r="O1025" s="75"/>
      <c r="P1025" s="140"/>
    </row>
    <row r="1026" spans="2:16" s="21" customFormat="1" outlineLevel="1" x14ac:dyDescent="0.2">
      <c r="B1026" s="140"/>
      <c r="C1026" s="132"/>
      <c r="D1026" s="140"/>
      <c r="E1026" s="140"/>
      <c r="F1026" s="140"/>
      <c r="G1026" s="140"/>
      <c r="H1026" s="19" t="s">
        <v>6</v>
      </c>
      <c r="I1026" s="83">
        <f t="shared" si="319"/>
        <v>125.69999999999999</v>
      </c>
      <c r="J1026" s="75"/>
      <c r="K1026" s="75"/>
      <c r="L1026" s="75"/>
      <c r="M1026" s="75">
        <v>41.9</v>
      </c>
      <c r="N1026" s="75">
        <v>41.9</v>
      </c>
      <c r="O1026" s="75">
        <v>41.9</v>
      </c>
      <c r="P1026" s="140"/>
    </row>
    <row r="1027" spans="2:16" s="21" customFormat="1" outlineLevel="1" x14ac:dyDescent="0.2">
      <c r="B1027" s="141"/>
      <c r="C1027" s="133"/>
      <c r="D1027" s="141"/>
      <c r="E1027" s="141"/>
      <c r="F1027" s="141"/>
      <c r="G1027" s="141"/>
      <c r="H1027" s="19" t="s">
        <v>5</v>
      </c>
      <c r="I1027" s="83">
        <f t="shared" si="319"/>
        <v>0</v>
      </c>
      <c r="J1027" s="75"/>
      <c r="K1027" s="75"/>
      <c r="L1027" s="75"/>
      <c r="M1027" s="75"/>
      <c r="N1027" s="75"/>
      <c r="O1027" s="75"/>
      <c r="P1027" s="141"/>
    </row>
    <row r="1028" spans="2:16" s="21" customFormat="1" ht="42.75" outlineLevel="1" x14ac:dyDescent="0.2">
      <c r="B1028" s="139" t="s">
        <v>552</v>
      </c>
      <c r="C1028" s="139"/>
      <c r="D1028" s="139" t="s">
        <v>540</v>
      </c>
      <c r="E1028" s="139">
        <v>2020</v>
      </c>
      <c r="F1028" s="139" t="s">
        <v>553</v>
      </c>
      <c r="G1028" s="139" t="s">
        <v>543</v>
      </c>
      <c r="H1028" s="19" t="s">
        <v>3</v>
      </c>
      <c r="I1028" s="83">
        <f t="shared" si="319"/>
        <v>7.45</v>
      </c>
      <c r="J1028" s="83">
        <f t="shared" ref="J1028:O1028" si="320">J1029+J1030+J1031</f>
        <v>7.45</v>
      </c>
      <c r="K1028" s="83">
        <f t="shared" si="320"/>
        <v>0</v>
      </c>
      <c r="L1028" s="83">
        <f t="shared" si="320"/>
        <v>0</v>
      </c>
      <c r="M1028" s="83">
        <f t="shared" si="320"/>
        <v>0</v>
      </c>
      <c r="N1028" s="83">
        <f t="shared" si="320"/>
        <v>0</v>
      </c>
      <c r="O1028" s="83">
        <f t="shared" si="320"/>
        <v>0</v>
      </c>
      <c r="P1028" s="139">
        <v>508</v>
      </c>
    </row>
    <row r="1029" spans="2:16" s="21" customFormat="1" outlineLevel="1" x14ac:dyDescent="0.2">
      <c r="B1029" s="140"/>
      <c r="C1029" s="132"/>
      <c r="D1029" s="140"/>
      <c r="E1029" s="140"/>
      <c r="F1029" s="140"/>
      <c r="G1029" s="140"/>
      <c r="H1029" s="19" t="s">
        <v>4</v>
      </c>
      <c r="I1029" s="83">
        <f t="shared" si="319"/>
        <v>0</v>
      </c>
      <c r="J1029" s="75"/>
      <c r="K1029" s="75"/>
      <c r="L1029" s="75"/>
      <c r="M1029" s="75"/>
      <c r="N1029" s="75"/>
      <c r="O1029" s="75"/>
      <c r="P1029" s="140"/>
    </row>
    <row r="1030" spans="2:16" s="21" customFormat="1" outlineLevel="1" x14ac:dyDescent="0.2">
      <c r="B1030" s="140"/>
      <c r="C1030" s="132"/>
      <c r="D1030" s="140"/>
      <c r="E1030" s="140"/>
      <c r="F1030" s="140"/>
      <c r="G1030" s="140"/>
      <c r="H1030" s="19" t="s">
        <v>6</v>
      </c>
      <c r="I1030" s="83">
        <f t="shared" si="319"/>
        <v>7.45</v>
      </c>
      <c r="J1030" s="83">
        <v>7.45</v>
      </c>
      <c r="K1030" s="75"/>
      <c r="L1030" s="75"/>
      <c r="M1030" s="75"/>
      <c r="N1030" s="75"/>
      <c r="O1030" s="75"/>
      <c r="P1030" s="140"/>
    </row>
    <row r="1031" spans="2:16" s="21" customFormat="1" outlineLevel="1" x14ac:dyDescent="0.2">
      <c r="B1031" s="141"/>
      <c r="C1031" s="133"/>
      <c r="D1031" s="141"/>
      <c r="E1031" s="141"/>
      <c r="F1031" s="141"/>
      <c r="G1031" s="141"/>
      <c r="H1031" s="19" t="s">
        <v>5</v>
      </c>
      <c r="I1031" s="83">
        <f t="shared" si="319"/>
        <v>0</v>
      </c>
      <c r="J1031" s="75"/>
      <c r="K1031" s="75"/>
      <c r="L1031" s="75"/>
      <c r="M1031" s="75"/>
      <c r="N1031" s="75"/>
      <c r="O1031" s="75"/>
      <c r="P1031" s="141"/>
    </row>
    <row r="1032" spans="2:16" s="21" customFormat="1" ht="42.75" outlineLevel="1" x14ac:dyDescent="0.2">
      <c r="B1032" s="139" t="s">
        <v>552</v>
      </c>
      <c r="C1032" s="139"/>
      <c r="D1032" s="139" t="s">
        <v>540</v>
      </c>
      <c r="E1032" s="139">
        <v>2021</v>
      </c>
      <c r="F1032" s="139" t="s">
        <v>554</v>
      </c>
      <c r="G1032" s="139" t="s">
        <v>543</v>
      </c>
      <c r="H1032" s="19" t="s">
        <v>3</v>
      </c>
      <c r="I1032" s="83">
        <f t="shared" si="319"/>
        <v>7.45</v>
      </c>
      <c r="J1032" s="83">
        <v>0</v>
      </c>
      <c r="K1032" s="83">
        <f t="shared" ref="K1032:O1032" si="321">K1033+K1034+K1035</f>
        <v>7.45</v>
      </c>
      <c r="L1032" s="83">
        <f t="shared" si="321"/>
        <v>0</v>
      </c>
      <c r="M1032" s="83">
        <f t="shared" si="321"/>
        <v>0</v>
      </c>
      <c r="N1032" s="83">
        <f t="shared" si="321"/>
        <v>0</v>
      </c>
      <c r="O1032" s="83">
        <f t="shared" si="321"/>
        <v>0</v>
      </c>
      <c r="P1032" s="139">
        <v>1201</v>
      </c>
    </row>
    <row r="1033" spans="2:16" s="21" customFormat="1" outlineLevel="1" x14ac:dyDescent="0.2">
      <c r="B1033" s="140"/>
      <c r="C1033" s="132"/>
      <c r="D1033" s="140"/>
      <c r="E1033" s="140"/>
      <c r="F1033" s="140"/>
      <c r="G1033" s="140"/>
      <c r="H1033" s="19" t="s">
        <v>4</v>
      </c>
      <c r="I1033" s="83">
        <f t="shared" si="319"/>
        <v>0</v>
      </c>
      <c r="J1033" s="75"/>
      <c r="K1033" s="75"/>
      <c r="L1033" s="75"/>
      <c r="M1033" s="75"/>
      <c r="N1033" s="75"/>
      <c r="O1033" s="75"/>
      <c r="P1033" s="140"/>
    </row>
    <row r="1034" spans="2:16" s="21" customFormat="1" outlineLevel="1" x14ac:dyDescent="0.2">
      <c r="B1034" s="140"/>
      <c r="C1034" s="132"/>
      <c r="D1034" s="140"/>
      <c r="E1034" s="140"/>
      <c r="F1034" s="140"/>
      <c r="G1034" s="140"/>
      <c r="H1034" s="19" t="s">
        <v>6</v>
      </c>
      <c r="I1034" s="83">
        <f t="shared" si="319"/>
        <v>7.45</v>
      </c>
      <c r="J1034" s="75"/>
      <c r="K1034" s="83">
        <v>7.45</v>
      </c>
      <c r="L1034" s="75"/>
      <c r="M1034" s="75"/>
      <c r="N1034" s="75"/>
      <c r="O1034" s="75"/>
      <c r="P1034" s="140"/>
    </row>
    <row r="1035" spans="2:16" s="21" customFormat="1" outlineLevel="1" x14ac:dyDescent="0.2">
      <c r="B1035" s="141"/>
      <c r="C1035" s="133"/>
      <c r="D1035" s="141"/>
      <c r="E1035" s="141"/>
      <c r="F1035" s="141"/>
      <c r="G1035" s="141"/>
      <c r="H1035" s="19" t="s">
        <v>5</v>
      </c>
      <c r="I1035" s="83">
        <f t="shared" si="319"/>
        <v>0</v>
      </c>
      <c r="J1035" s="75"/>
      <c r="K1035" s="75"/>
      <c r="L1035" s="75"/>
      <c r="M1035" s="75"/>
      <c r="N1035" s="75"/>
      <c r="O1035" s="75"/>
      <c r="P1035" s="141"/>
    </row>
    <row r="1036" spans="2:16" s="21" customFormat="1" ht="42.75" outlineLevel="1" x14ac:dyDescent="0.2">
      <c r="B1036" s="139" t="s">
        <v>552</v>
      </c>
      <c r="C1036" s="139"/>
      <c r="D1036" s="139" t="s">
        <v>540</v>
      </c>
      <c r="E1036" s="139">
        <v>2022</v>
      </c>
      <c r="F1036" s="139" t="s">
        <v>554</v>
      </c>
      <c r="G1036" s="139" t="s">
        <v>543</v>
      </c>
      <c r="H1036" s="19" t="s">
        <v>3</v>
      </c>
      <c r="I1036" s="83">
        <f t="shared" si="319"/>
        <v>7.45</v>
      </c>
      <c r="J1036" s="83">
        <v>0</v>
      </c>
      <c r="K1036" s="83">
        <f t="shared" ref="K1036:O1036" si="322">K1037+K1038+K1039</f>
        <v>0</v>
      </c>
      <c r="L1036" s="83">
        <f t="shared" si="322"/>
        <v>7.45</v>
      </c>
      <c r="M1036" s="83">
        <f t="shared" si="322"/>
        <v>0</v>
      </c>
      <c r="N1036" s="83">
        <f t="shared" si="322"/>
        <v>0</v>
      </c>
      <c r="O1036" s="83">
        <f t="shared" si="322"/>
        <v>0</v>
      </c>
      <c r="P1036" s="139">
        <v>437</v>
      </c>
    </row>
    <row r="1037" spans="2:16" s="21" customFormat="1" outlineLevel="1" x14ac:dyDescent="0.2">
      <c r="B1037" s="140"/>
      <c r="C1037" s="132"/>
      <c r="D1037" s="140"/>
      <c r="E1037" s="140"/>
      <c r="F1037" s="140"/>
      <c r="G1037" s="140"/>
      <c r="H1037" s="19" t="s">
        <v>4</v>
      </c>
      <c r="I1037" s="83">
        <f t="shared" si="319"/>
        <v>0</v>
      </c>
      <c r="J1037" s="75"/>
      <c r="K1037" s="75"/>
      <c r="L1037" s="75"/>
      <c r="M1037" s="75"/>
      <c r="N1037" s="75"/>
      <c r="O1037" s="75"/>
      <c r="P1037" s="140"/>
    </row>
    <row r="1038" spans="2:16" s="21" customFormat="1" outlineLevel="1" x14ac:dyDescent="0.2">
      <c r="B1038" s="140"/>
      <c r="C1038" s="132"/>
      <c r="D1038" s="140"/>
      <c r="E1038" s="140"/>
      <c r="F1038" s="140"/>
      <c r="G1038" s="140"/>
      <c r="H1038" s="19" t="s">
        <v>6</v>
      </c>
      <c r="I1038" s="83">
        <f t="shared" si="319"/>
        <v>7.45</v>
      </c>
      <c r="J1038" s="75"/>
      <c r="K1038" s="75"/>
      <c r="L1038" s="83">
        <v>7.45</v>
      </c>
      <c r="M1038" s="75"/>
      <c r="N1038" s="75"/>
      <c r="O1038" s="75"/>
      <c r="P1038" s="140"/>
    </row>
    <row r="1039" spans="2:16" s="21" customFormat="1" outlineLevel="1" x14ac:dyDescent="0.2">
      <c r="B1039" s="141"/>
      <c r="C1039" s="133"/>
      <c r="D1039" s="141"/>
      <c r="E1039" s="141"/>
      <c r="F1039" s="141"/>
      <c r="G1039" s="141"/>
      <c r="H1039" s="19" t="s">
        <v>5</v>
      </c>
      <c r="I1039" s="83">
        <f t="shared" si="319"/>
        <v>0</v>
      </c>
      <c r="J1039" s="75"/>
      <c r="K1039" s="75"/>
      <c r="L1039" s="75"/>
      <c r="M1039" s="75"/>
      <c r="N1039" s="75"/>
      <c r="O1039" s="75"/>
      <c r="P1039" s="141"/>
    </row>
    <row r="1040" spans="2:16" s="21" customFormat="1" ht="42.75" outlineLevel="1" x14ac:dyDescent="0.2">
      <c r="B1040" s="139" t="s">
        <v>555</v>
      </c>
      <c r="C1040" s="139"/>
      <c r="D1040" s="139" t="s">
        <v>540</v>
      </c>
      <c r="E1040" s="139">
        <v>2020</v>
      </c>
      <c r="F1040" s="139">
        <v>3.5459999999999998</v>
      </c>
      <c r="G1040" s="139" t="s">
        <v>543</v>
      </c>
      <c r="H1040" s="19" t="s">
        <v>3</v>
      </c>
      <c r="I1040" s="83">
        <f t="shared" si="319"/>
        <v>26.5</v>
      </c>
      <c r="J1040" s="83">
        <f t="shared" ref="J1040:O1040" si="323">J1041+J1042+J1043</f>
        <v>26.5</v>
      </c>
      <c r="K1040" s="83">
        <f t="shared" si="323"/>
        <v>0</v>
      </c>
      <c r="L1040" s="83">
        <f t="shared" si="323"/>
        <v>0</v>
      </c>
      <c r="M1040" s="83">
        <f t="shared" si="323"/>
        <v>0</v>
      </c>
      <c r="N1040" s="83">
        <f t="shared" si="323"/>
        <v>0</v>
      </c>
      <c r="O1040" s="83">
        <f t="shared" si="323"/>
        <v>0</v>
      </c>
      <c r="P1040" s="139"/>
    </row>
    <row r="1041" spans="2:18" s="21" customFormat="1" outlineLevel="1" x14ac:dyDescent="0.2">
      <c r="B1041" s="140"/>
      <c r="C1041" s="132"/>
      <c r="D1041" s="140"/>
      <c r="E1041" s="140"/>
      <c r="F1041" s="140"/>
      <c r="G1041" s="140"/>
      <c r="H1041" s="19" t="s">
        <v>4</v>
      </c>
      <c r="I1041" s="83">
        <f t="shared" si="319"/>
        <v>0</v>
      </c>
      <c r="J1041" s="75"/>
      <c r="K1041" s="75"/>
      <c r="L1041" s="75"/>
      <c r="M1041" s="75"/>
      <c r="N1041" s="75"/>
      <c r="O1041" s="75"/>
      <c r="P1041" s="140"/>
    </row>
    <row r="1042" spans="2:18" s="21" customFormat="1" outlineLevel="1" x14ac:dyDescent="0.2">
      <c r="B1042" s="140"/>
      <c r="C1042" s="132"/>
      <c r="D1042" s="140"/>
      <c r="E1042" s="140"/>
      <c r="F1042" s="140"/>
      <c r="G1042" s="140"/>
      <c r="H1042" s="19" t="s">
        <v>6</v>
      </c>
      <c r="I1042" s="83">
        <f t="shared" si="319"/>
        <v>26.5</v>
      </c>
      <c r="J1042" s="75">
        <v>26.5</v>
      </c>
      <c r="K1042" s="75"/>
      <c r="L1042" s="83"/>
      <c r="M1042" s="75"/>
      <c r="N1042" s="75"/>
      <c r="O1042" s="75"/>
      <c r="P1042" s="140"/>
    </row>
    <row r="1043" spans="2:18" s="21" customFormat="1" outlineLevel="1" x14ac:dyDescent="0.2">
      <c r="B1043" s="141"/>
      <c r="C1043" s="133"/>
      <c r="D1043" s="141"/>
      <c r="E1043" s="141"/>
      <c r="F1043" s="141"/>
      <c r="G1043" s="141"/>
      <c r="H1043" s="19" t="s">
        <v>5</v>
      </c>
      <c r="I1043" s="83">
        <f t="shared" si="319"/>
        <v>0</v>
      </c>
      <c r="J1043" s="75"/>
      <c r="K1043" s="75"/>
      <c r="L1043" s="75"/>
      <c r="M1043" s="75"/>
      <c r="N1043" s="75"/>
      <c r="O1043" s="75"/>
      <c r="P1043" s="141"/>
    </row>
    <row r="1044" spans="2:18" ht="42.75" x14ac:dyDescent="0.2">
      <c r="B1044" s="128" t="s">
        <v>556</v>
      </c>
      <c r="C1044" s="128" t="s">
        <v>38</v>
      </c>
      <c r="D1044" s="128" t="s">
        <v>38</v>
      </c>
      <c r="E1044" s="128" t="s">
        <v>38</v>
      </c>
      <c r="F1044" s="128" t="s">
        <v>38</v>
      </c>
      <c r="G1044" s="128" t="s">
        <v>38</v>
      </c>
      <c r="H1044" s="84" t="s">
        <v>3</v>
      </c>
      <c r="I1044" s="14">
        <f t="shared" ref="I1044:O1044" si="324">SUMIF($H$1008:$H$1043,"Объем*",I$1008:I$1043)</f>
        <v>430.34999999999997</v>
      </c>
      <c r="J1044" s="14">
        <f t="shared" si="324"/>
        <v>75.75</v>
      </c>
      <c r="K1044" s="14">
        <f t="shared" si="324"/>
        <v>75.150000000000006</v>
      </c>
      <c r="L1044" s="14">
        <f t="shared" si="324"/>
        <v>75.150000000000006</v>
      </c>
      <c r="M1044" s="14">
        <f t="shared" si="324"/>
        <v>68.099999999999994</v>
      </c>
      <c r="N1044" s="14">
        <f t="shared" si="324"/>
        <v>68.099999999999994</v>
      </c>
      <c r="O1044" s="14">
        <f t="shared" si="324"/>
        <v>68.099999999999994</v>
      </c>
      <c r="P1044" s="128"/>
      <c r="Q1044" s="7"/>
    </row>
    <row r="1045" spans="2:18" ht="15.75" x14ac:dyDescent="0.2">
      <c r="B1045" s="129"/>
      <c r="C1045" s="129"/>
      <c r="D1045" s="129"/>
      <c r="E1045" s="129"/>
      <c r="F1045" s="129"/>
      <c r="G1045" s="129"/>
      <c r="H1045" s="84" t="s">
        <v>4</v>
      </c>
      <c r="I1045" s="14">
        <f t="shared" ref="I1045:O1045" si="325">SUMIF($H$1008:$H$1043,"фед*",I$1008:I$1043)</f>
        <v>0</v>
      </c>
      <c r="J1045" s="14">
        <f t="shared" si="325"/>
        <v>0</v>
      </c>
      <c r="K1045" s="14">
        <f t="shared" si="325"/>
        <v>0</v>
      </c>
      <c r="L1045" s="14">
        <f t="shared" si="325"/>
        <v>0</v>
      </c>
      <c r="M1045" s="14">
        <f t="shared" si="325"/>
        <v>0</v>
      </c>
      <c r="N1045" s="14">
        <f t="shared" si="325"/>
        <v>0</v>
      </c>
      <c r="O1045" s="14">
        <f t="shared" si="325"/>
        <v>0</v>
      </c>
      <c r="P1045" s="129"/>
    </row>
    <row r="1046" spans="2:18" ht="15.75" x14ac:dyDescent="0.2">
      <c r="B1046" s="129"/>
      <c r="C1046" s="129"/>
      <c r="D1046" s="129"/>
      <c r="E1046" s="129"/>
      <c r="F1046" s="129"/>
      <c r="G1046" s="129"/>
      <c r="H1046" s="84" t="s">
        <v>6</v>
      </c>
      <c r="I1046" s="14">
        <f t="shared" ref="I1046:O1046" si="326">SUMIF($H$1008:$H$1043,"конс*",I$1008:I$1043)</f>
        <v>430.34999999999997</v>
      </c>
      <c r="J1046" s="14">
        <f t="shared" si="326"/>
        <v>75.75</v>
      </c>
      <c r="K1046" s="14">
        <f t="shared" si="326"/>
        <v>75.150000000000006</v>
      </c>
      <c r="L1046" s="14">
        <f t="shared" si="326"/>
        <v>75.150000000000006</v>
      </c>
      <c r="M1046" s="14">
        <f t="shared" si="326"/>
        <v>68.099999999999994</v>
      </c>
      <c r="N1046" s="14">
        <f t="shared" si="326"/>
        <v>68.099999999999994</v>
      </c>
      <c r="O1046" s="14">
        <f t="shared" si="326"/>
        <v>68.099999999999994</v>
      </c>
      <c r="P1046" s="129"/>
    </row>
    <row r="1047" spans="2:18" ht="15.75" x14ac:dyDescent="0.2">
      <c r="B1047" s="130"/>
      <c r="C1047" s="130"/>
      <c r="D1047" s="130"/>
      <c r="E1047" s="130"/>
      <c r="F1047" s="130"/>
      <c r="G1047" s="130"/>
      <c r="H1047" s="84" t="s">
        <v>5</v>
      </c>
      <c r="I1047" s="14">
        <f t="shared" ref="I1047:O1047" si="327">SUMIF($H$1008:$H$1043,"вне*",I$1008:I$1043)</f>
        <v>0</v>
      </c>
      <c r="J1047" s="14">
        <f t="shared" si="327"/>
        <v>0</v>
      </c>
      <c r="K1047" s="14">
        <f t="shared" si="327"/>
        <v>0</v>
      </c>
      <c r="L1047" s="14">
        <f t="shared" si="327"/>
        <v>0</v>
      </c>
      <c r="M1047" s="14">
        <f t="shared" si="327"/>
        <v>0</v>
      </c>
      <c r="N1047" s="14">
        <f t="shared" si="327"/>
        <v>0</v>
      </c>
      <c r="O1047" s="14">
        <f t="shared" si="327"/>
        <v>0</v>
      </c>
      <c r="P1047" s="130"/>
    </row>
    <row r="1048" spans="2:18" ht="25.5" customHeight="1" x14ac:dyDescent="0.2">
      <c r="B1048" s="111" t="s">
        <v>557</v>
      </c>
      <c r="C1048" s="112"/>
      <c r="D1048" s="112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3"/>
    </row>
    <row r="1049" spans="2:18" ht="42.75" outlineLevel="1" x14ac:dyDescent="0.2">
      <c r="B1049" s="117" t="s">
        <v>558</v>
      </c>
      <c r="C1049" s="117"/>
      <c r="D1049" s="117" t="s">
        <v>559</v>
      </c>
      <c r="E1049" s="117">
        <v>2021</v>
      </c>
      <c r="F1049" s="117"/>
      <c r="G1049" s="117" t="s">
        <v>138</v>
      </c>
      <c r="H1049" s="84" t="s">
        <v>3</v>
      </c>
      <c r="I1049" s="83">
        <f>SUM(J1049:O1049)</f>
        <v>32.5</v>
      </c>
      <c r="J1049" s="83">
        <f t="shared" ref="J1049:O1049" si="328">J1050+J1051+J1052</f>
        <v>0</v>
      </c>
      <c r="K1049" s="83">
        <f t="shared" si="328"/>
        <v>12.5</v>
      </c>
      <c r="L1049" s="83">
        <f t="shared" si="328"/>
        <v>20</v>
      </c>
      <c r="M1049" s="83">
        <f t="shared" si="328"/>
        <v>0</v>
      </c>
      <c r="N1049" s="83">
        <f t="shared" si="328"/>
        <v>0</v>
      </c>
      <c r="O1049" s="83">
        <f t="shared" si="328"/>
        <v>0</v>
      </c>
      <c r="P1049" s="117"/>
    </row>
    <row r="1050" spans="2:18" outlineLevel="1" x14ac:dyDescent="0.2">
      <c r="B1050" s="118"/>
      <c r="C1050" s="132"/>
      <c r="D1050" s="118"/>
      <c r="E1050" s="118"/>
      <c r="F1050" s="118"/>
      <c r="G1050" s="118"/>
      <c r="H1050" s="84" t="s">
        <v>4</v>
      </c>
      <c r="I1050" s="83">
        <f>SUM(J1050:O1050)</f>
        <v>0</v>
      </c>
      <c r="J1050" s="83"/>
      <c r="K1050" s="17"/>
      <c r="L1050" s="37"/>
      <c r="M1050" s="27"/>
      <c r="N1050" s="83"/>
      <c r="O1050" s="83"/>
      <c r="P1050" s="118"/>
    </row>
    <row r="1051" spans="2:18" outlineLevel="1" x14ac:dyDescent="0.2">
      <c r="B1051" s="118"/>
      <c r="C1051" s="132"/>
      <c r="D1051" s="118"/>
      <c r="E1051" s="118"/>
      <c r="F1051" s="118"/>
      <c r="G1051" s="118"/>
      <c r="H1051" s="84" t="s">
        <v>6</v>
      </c>
      <c r="I1051" s="83">
        <f>SUM(J1051:O1051)</f>
        <v>32.5</v>
      </c>
      <c r="J1051" s="27"/>
      <c r="K1051" s="17">
        <v>12.5</v>
      </c>
      <c r="L1051" s="17">
        <v>20</v>
      </c>
      <c r="M1051" s="83"/>
      <c r="N1051" s="83"/>
      <c r="O1051" s="83"/>
      <c r="P1051" s="118"/>
    </row>
    <row r="1052" spans="2:18" outlineLevel="1" x14ac:dyDescent="0.2">
      <c r="B1052" s="119"/>
      <c r="C1052" s="133"/>
      <c r="D1052" s="119"/>
      <c r="E1052" s="119"/>
      <c r="F1052" s="119"/>
      <c r="G1052" s="119"/>
      <c r="H1052" s="84" t="s">
        <v>5</v>
      </c>
      <c r="I1052" s="83">
        <f>SUM(J1052:O1052)</f>
        <v>0</v>
      </c>
      <c r="J1052" s="83"/>
      <c r="K1052" s="83"/>
      <c r="L1052" s="83"/>
      <c r="M1052" s="83"/>
      <c r="N1052" s="83"/>
      <c r="O1052" s="83"/>
      <c r="P1052" s="119"/>
    </row>
    <row r="1053" spans="2:18" ht="42.75" x14ac:dyDescent="0.2">
      <c r="B1053" s="128" t="s">
        <v>560</v>
      </c>
      <c r="C1053" s="128" t="s">
        <v>38</v>
      </c>
      <c r="D1053" s="128" t="s">
        <v>38</v>
      </c>
      <c r="E1053" s="128" t="s">
        <v>38</v>
      </c>
      <c r="F1053" s="128" t="s">
        <v>38</v>
      </c>
      <c r="G1053" s="128" t="s">
        <v>38</v>
      </c>
      <c r="H1053" s="84" t="s">
        <v>3</v>
      </c>
      <c r="I1053" s="14">
        <f t="shared" ref="I1053:O1053" si="329">SUMIF($H$1049:$H$1051,"Объем*",I$1049:I$1051)</f>
        <v>32.5</v>
      </c>
      <c r="J1053" s="14">
        <f t="shared" si="329"/>
        <v>0</v>
      </c>
      <c r="K1053" s="14">
        <f t="shared" si="329"/>
        <v>12.5</v>
      </c>
      <c r="L1053" s="14">
        <f t="shared" si="329"/>
        <v>20</v>
      </c>
      <c r="M1053" s="14">
        <f t="shared" si="329"/>
        <v>0</v>
      </c>
      <c r="N1053" s="14">
        <f t="shared" si="329"/>
        <v>0</v>
      </c>
      <c r="O1053" s="14">
        <f t="shared" si="329"/>
        <v>0</v>
      </c>
      <c r="P1053" s="128"/>
      <c r="Q1053" s="7"/>
      <c r="R1053" s="7"/>
    </row>
    <row r="1054" spans="2:18" ht="15.75" x14ac:dyDescent="0.2">
      <c r="B1054" s="129"/>
      <c r="C1054" s="129"/>
      <c r="D1054" s="129"/>
      <c r="E1054" s="129"/>
      <c r="F1054" s="129"/>
      <c r="G1054" s="129"/>
      <c r="H1054" s="84" t="s">
        <v>4</v>
      </c>
      <c r="I1054" s="14">
        <f t="shared" ref="I1054:O1054" si="330">SUMIF($H$1049:$H$1051,"фед*",I$1049:I$1051)</f>
        <v>0</v>
      </c>
      <c r="J1054" s="14">
        <f t="shared" si="330"/>
        <v>0</v>
      </c>
      <c r="K1054" s="14">
        <f t="shared" si="330"/>
        <v>0</v>
      </c>
      <c r="L1054" s="14">
        <f t="shared" si="330"/>
        <v>0</v>
      </c>
      <c r="M1054" s="14">
        <f t="shared" si="330"/>
        <v>0</v>
      </c>
      <c r="N1054" s="14">
        <f t="shared" si="330"/>
        <v>0</v>
      </c>
      <c r="O1054" s="14">
        <f t="shared" si="330"/>
        <v>0</v>
      </c>
      <c r="P1054" s="129"/>
      <c r="Q1054" s="7"/>
    </row>
    <row r="1055" spans="2:18" ht="15.75" x14ac:dyDescent="0.2">
      <c r="B1055" s="129"/>
      <c r="C1055" s="129"/>
      <c r="D1055" s="129"/>
      <c r="E1055" s="129"/>
      <c r="F1055" s="129"/>
      <c r="G1055" s="129"/>
      <c r="H1055" s="84" t="s">
        <v>6</v>
      </c>
      <c r="I1055" s="14">
        <f t="shared" ref="I1055:O1055" si="331">SUMIF($H$1049:$H$1051,"конс*",I$1049:I$1051)</f>
        <v>32.5</v>
      </c>
      <c r="J1055" s="14">
        <f t="shared" si="331"/>
        <v>0</v>
      </c>
      <c r="K1055" s="14">
        <f t="shared" si="331"/>
        <v>12.5</v>
      </c>
      <c r="L1055" s="14">
        <f t="shared" si="331"/>
        <v>20</v>
      </c>
      <c r="M1055" s="14">
        <f t="shared" si="331"/>
        <v>0</v>
      </c>
      <c r="N1055" s="14">
        <f t="shared" si="331"/>
        <v>0</v>
      </c>
      <c r="O1055" s="14">
        <f t="shared" si="331"/>
        <v>0</v>
      </c>
      <c r="P1055" s="129"/>
      <c r="Q1055" s="7"/>
    </row>
    <row r="1056" spans="2:18" ht="15.75" x14ac:dyDescent="0.2">
      <c r="B1056" s="130"/>
      <c r="C1056" s="130"/>
      <c r="D1056" s="130"/>
      <c r="E1056" s="130"/>
      <c r="F1056" s="130"/>
      <c r="G1056" s="130"/>
      <c r="H1056" s="84" t="s">
        <v>5</v>
      </c>
      <c r="I1056" s="14">
        <f t="shared" ref="I1056:O1056" si="332">SUMIF($H$1051:$H$1051,"вне*",I$1049:I$1051)</f>
        <v>0</v>
      </c>
      <c r="J1056" s="14">
        <f t="shared" si="332"/>
        <v>0</v>
      </c>
      <c r="K1056" s="14">
        <f t="shared" si="332"/>
        <v>0</v>
      </c>
      <c r="L1056" s="14">
        <f t="shared" si="332"/>
        <v>0</v>
      </c>
      <c r="M1056" s="14">
        <f t="shared" si="332"/>
        <v>0</v>
      </c>
      <c r="N1056" s="14">
        <f t="shared" si="332"/>
        <v>0</v>
      </c>
      <c r="O1056" s="14">
        <f t="shared" si="332"/>
        <v>0</v>
      </c>
      <c r="P1056" s="130"/>
      <c r="Q1056" s="7"/>
    </row>
    <row r="1057" spans="2:16" ht="25.5" customHeight="1" x14ac:dyDescent="0.2">
      <c r="B1057" s="111" t="s">
        <v>65</v>
      </c>
      <c r="C1057" s="112"/>
      <c r="D1057" s="112"/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3"/>
    </row>
    <row r="1058" spans="2:16" s="21" customFormat="1" ht="42.75" customHeight="1" outlineLevel="1" x14ac:dyDescent="0.2">
      <c r="B1058" s="153" t="s">
        <v>561</v>
      </c>
      <c r="C1058" s="153"/>
      <c r="D1058" s="153" t="s">
        <v>65</v>
      </c>
      <c r="E1058" s="153" t="s">
        <v>562</v>
      </c>
      <c r="F1058" s="153" t="s">
        <v>563</v>
      </c>
      <c r="G1058" s="153" t="s">
        <v>138</v>
      </c>
      <c r="H1058" s="19" t="s">
        <v>3</v>
      </c>
      <c r="I1058" s="38">
        <f>SUM(J1058:O1058)</f>
        <v>8000</v>
      </c>
      <c r="J1058" s="39">
        <f>J1059+J1060+J1061</f>
        <v>0</v>
      </c>
      <c r="K1058" s="39">
        <f>K1059+K1060+K1061</f>
        <v>0</v>
      </c>
      <c r="L1058" s="39"/>
      <c r="M1058" s="39"/>
      <c r="N1058" s="39">
        <f>N1059+N1060+N1061</f>
        <v>4000</v>
      </c>
      <c r="O1058" s="39">
        <f>O1059+O1060+O1061</f>
        <v>4000</v>
      </c>
      <c r="P1058" s="134">
        <v>500000</v>
      </c>
    </row>
    <row r="1059" spans="2:16" s="21" customFormat="1" outlineLevel="1" x14ac:dyDescent="0.2">
      <c r="B1059" s="154"/>
      <c r="C1059" s="154"/>
      <c r="D1059" s="154"/>
      <c r="E1059" s="154"/>
      <c r="F1059" s="154"/>
      <c r="G1059" s="154"/>
      <c r="H1059" s="19" t="s">
        <v>4</v>
      </c>
      <c r="I1059" s="38">
        <f>SUM(J1059:O1059)</f>
        <v>7200</v>
      </c>
      <c r="J1059" s="39"/>
      <c r="K1059" s="39"/>
      <c r="L1059" s="39"/>
      <c r="M1059" s="39"/>
      <c r="N1059" s="39">
        <v>3600</v>
      </c>
      <c r="O1059" s="39">
        <v>3600</v>
      </c>
      <c r="P1059" s="135"/>
    </row>
    <row r="1060" spans="2:16" s="21" customFormat="1" outlineLevel="1" x14ac:dyDescent="0.2">
      <c r="B1060" s="154"/>
      <c r="C1060" s="154"/>
      <c r="D1060" s="154"/>
      <c r="E1060" s="154"/>
      <c r="F1060" s="154"/>
      <c r="G1060" s="154"/>
      <c r="H1060" s="19" t="s">
        <v>6</v>
      </c>
      <c r="I1060" s="38">
        <f>SUM(J1060:O1060)</f>
        <v>800</v>
      </c>
      <c r="J1060" s="39"/>
      <c r="K1060" s="39"/>
      <c r="L1060" s="39"/>
      <c r="M1060" s="39"/>
      <c r="N1060" s="39">
        <v>400</v>
      </c>
      <c r="O1060" s="39">
        <v>400</v>
      </c>
      <c r="P1060" s="135"/>
    </row>
    <row r="1061" spans="2:16" s="21" customFormat="1" outlineLevel="1" x14ac:dyDescent="0.2">
      <c r="B1061" s="155"/>
      <c r="C1061" s="155"/>
      <c r="D1061" s="155"/>
      <c r="E1061" s="155"/>
      <c r="F1061" s="155"/>
      <c r="G1061" s="155"/>
      <c r="H1061" s="19" t="s">
        <v>5</v>
      </c>
      <c r="I1061" s="75"/>
      <c r="J1061" s="86"/>
      <c r="K1061" s="86"/>
      <c r="L1061" s="86"/>
      <c r="M1061" s="86"/>
      <c r="N1061" s="86"/>
      <c r="O1061" s="86"/>
      <c r="P1061" s="136"/>
    </row>
    <row r="1062" spans="2:16" s="21" customFormat="1" ht="42.75" customHeight="1" outlineLevel="1" x14ac:dyDescent="0.2">
      <c r="B1062" s="150" t="s">
        <v>564</v>
      </c>
      <c r="C1062" s="150"/>
      <c r="D1062" s="150" t="s">
        <v>65</v>
      </c>
      <c r="E1062" s="150" t="s">
        <v>286</v>
      </c>
      <c r="F1062" s="150" t="s">
        <v>565</v>
      </c>
      <c r="G1062" s="150" t="s">
        <v>566</v>
      </c>
      <c r="H1062" s="19" t="s">
        <v>3</v>
      </c>
      <c r="I1062" s="38">
        <f>SUM(J1062:O1062)</f>
        <v>1000</v>
      </c>
      <c r="J1062" s="81"/>
      <c r="K1062" s="81">
        <f>K1063+K1064+K1065</f>
        <v>0</v>
      </c>
      <c r="L1062" s="81">
        <f>L1063+L1064+L1065</f>
        <v>0</v>
      </c>
      <c r="M1062" s="81">
        <f>M1063+M1064+M1065</f>
        <v>600</v>
      </c>
      <c r="N1062" s="81">
        <f>N1063+N1064+N1065</f>
        <v>200</v>
      </c>
      <c r="O1062" s="81">
        <f>O1063+O1064+O1065</f>
        <v>200</v>
      </c>
      <c r="P1062" s="134">
        <v>400000</v>
      </c>
    </row>
    <row r="1063" spans="2:16" s="21" customFormat="1" outlineLevel="1" x14ac:dyDescent="0.2">
      <c r="B1063" s="151"/>
      <c r="C1063" s="151"/>
      <c r="D1063" s="151"/>
      <c r="E1063" s="151"/>
      <c r="F1063" s="151"/>
      <c r="G1063" s="151"/>
      <c r="H1063" s="19" t="s">
        <v>4</v>
      </c>
      <c r="I1063" s="38">
        <f>SUM(J1063:O1063)</f>
        <v>500</v>
      </c>
      <c r="J1063" s="16"/>
      <c r="K1063" s="16"/>
      <c r="L1063" s="16"/>
      <c r="M1063" s="16">
        <v>300</v>
      </c>
      <c r="N1063" s="16">
        <v>100</v>
      </c>
      <c r="O1063" s="16">
        <v>100</v>
      </c>
      <c r="P1063" s="135"/>
    </row>
    <row r="1064" spans="2:16" s="21" customFormat="1" outlineLevel="1" x14ac:dyDescent="0.2">
      <c r="B1064" s="151"/>
      <c r="C1064" s="151"/>
      <c r="D1064" s="151"/>
      <c r="E1064" s="151"/>
      <c r="F1064" s="151"/>
      <c r="G1064" s="151"/>
      <c r="H1064" s="19" t="s">
        <v>6</v>
      </c>
      <c r="I1064" s="38">
        <f>SUM(J1064:O1064)</f>
        <v>500</v>
      </c>
      <c r="J1064" s="16"/>
      <c r="K1064" s="16"/>
      <c r="L1064" s="16"/>
      <c r="M1064" s="16">
        <v>300</v>
      </c>
      <c r="N1064" s="16">
        <v>100</v>
      </c>
      <c r="O1064" s="16">
        <v>100</v>
      </c>
      <c r="P1064" s="135"/>
    </row>
    <row r="1065" spans="2:16" s="21" customFormat="1" outlineLevel="1" x14ac:dyDescent="0.2">
      <c r="B1065" s="152"/>
      <c r="C1065" s="152"/>
      <c r="D1065" s="152"/>
      <c r="E1065" s="152"/>
      <c r="F1065" s="152"/>
      <c r="G1065" s="152"/>
      <c r="H1065" s="19" t="s">
        <v>5</v>
      </c>
      <c r="I1065" s="75"/>
      <c r="J1065" s="16"/>
      <c r="K1065" s="16"/>
      <c r="L1065" s="16"/>
      <c r="M1065" s="16"/>
      <c r="N1065" s="16"/>
      <c r="O1065" s="16"/>
      <c r="P1065" s="136"/>
    </row>
    <row r="1066" spans="2:16" s="21" customFormat="1" ht="42.75" customHeight="1" outlineLevel="1" x14ac:dyDescent="0.2">
      <c r="B1066" s="150" t="s">
        <v>567</v>
      </c>
      <c r="C1066" s="150"/>
      <c r="D1066" s="150" t="s">
        <v>65</v>
      </c>
      <c r="E1066" s="150" t="s">
        <v>568</v>
      </c>
      <c r="F1066" s="150"/>
      <c r="G1066" s="150" t="s">
        <v>566</v>
      </c>
      <c r="H1066" s="19" t="s">
        <v>3</v>
      </c>
      <c r="I1066" s="38">
        <f>SUM(J1066:O1066)</f>
        <v>1215</v>
      </c>
      <c r="J1066" s="81"/>
      <c r="K1066" s="81"/>
      <c r="L1066" s="81">
        <f>L1067+L1068+L1069</f>
        <v>15</v>
      </c>
      <c r="M1066" s="81">
        <f>M1067+M1068+M1069</f>
        <v>400</v>
      </c>
      <c r="N1066" s="81">
        <f>N1067+N1068+N1069</f>
        <v>400</v>
      </c>
      <c r="O1066" s="81">
        <f>O1067+O1068+O1069</f>
        <v>400</v>
      </c>
      <c r="P1066" s="134">
        <v>100000</v>
      </c>
    </row>
    <row r="1067" spans="2:16" s="21" customFormat="1" outlineLevel="1" x14ac:dyDescent="0.2">
      <c r="B1067" s="151"/>
      <c r="C1067" s="151"/>
      <c r="D1067" s="151"/>
      <c r="E1067" s="151"/>
      <c r="F1067" s="151"/>
      <c r="G1067" s="151"/>
      <c r="H1067" s="19" t="s">
        <v>4</v>
      </c>
      <c r="I1067" s="38">
        <f>SUM(J1067:O1067)</f>
        <v>1080</v>
      </c>
      <c r="J1067" s="16"/>
      <c r="K1067" s="16"/>
      <c r="L1067" s="16"/>
      <c r="M1067" s="16">
        <v>360</v>
      </c>
      <c r="N1067" s="16">
        <v>360</v>
      </c>
      <c r="O1067" s="16">
        <v>360</v>
      </c>
      <c r="P1067" s="135"/>
    </row>
    <row r="1068" spans="2:16" s="21" customFormat="1" outlineLevel="1" x14ac:dyDescent="0.2">
      <c r="B1068" s="151"/>
      <c r="C1068" s="151"/>
      <c r="D1068" s="151"/>
      <c r="E1068" s="151"/>
      <c r="F1068" s="151"/>
      <c r="G1068" s="151"/>
      <c r="H1068" s="19" t="s">
        <v>6</v>
      </c>
      <c r="I1068" s="38">
        <f>SUM(J1068:O1068)</f>
        <v>135</v>
      </c>
      <c r="J1068" s="16"/>
      <c r="K1068" s="16"/>
      <c r="L1068" s="16">
        <v>15</v>
      </c>
      <c r="M1068" s="16">
        <v>40</v>
      </c>
      <c r="N1068" s="16">
        <v>40</v>
      </c>
      <c r="O1068" s="16">
        <v>40</v>
      </c>
      <c r="P1068" s="135"/>
    </row>
    <row r="1069" spans="2:16" s="21" customFormat="1" outlineLevel="1" x14ac:dyDescent="0.2">
      <c r="B1069" s="152"/>
      <c r="C1069" s="152"/>
      <c r="D1069" s="152"/>
      <c r="E1069" s="152"/>
      <c r="F1069" s="152"/>
      <c r="G1069" s="152"/>
      <c r="H1069" s="19" t="s">
        <v>5</v>
      </c>
      <c r="I1069" s="75"/>
      <c r="J1069" s="16"/>
      <c r="K1069" s="16"/>
      <c r="L1069" s="16"/>
      <c r="M1069" s="16"/>
      <c r="N1069" s="16"/>
      <c r="O1069" s="16"/>
      <c r="P1069" s="136"/>
    </row>
    <row r="1070" spans="2:16" s="21" customFormat="1" ht="42.75" customHeight="1" outlineLevel="1" x14ac:dyDescent="0.2">
      <c r="B1070" s="150" t="s">
        <v>569</v>
      </c>
      <c r="C1070" s="150"/>
      <c r="D1070" s="150" t="s">
        <v>65</v>
      </c>
      <c r="E1070" s="150" t="s">
        <v>209</v>
      </c>
      <c r="F1070" s="153" t="s">
        <v>570</v>
      </c>
      <c r="G1070" s="153" t="s">
        <v>566</v>
      </c>
      <c r="H1070" s="19" t="s">
        <v>3</v>
      </c>
      <c r="I1070" s="38">
        <f>SUM(J1070:O1070)</f>
        <v>320</v>
      </c>
      <c r="J1070" s="81">
        <f>J1071+J1072+J1073</f>
        <v>0</v>
      </c>
      <c r="K1070" s="81">
        <f>K1071+K1072+K1073</f>
        <v>20</v>
      </c>
      <c r="L1070" s="81">
        <f>L1071+L1072+L1073</f>
        <v>100</v>
      </c>
      <c r="M1070" s="81">
        <f>M1071+M1072+M1073</f>
        <v>100</v>
      </c>
      <c r="N1070" s="81">
        <f>N1071+N1072+N1073</f>
        <v>100</v>
      </c>
      <c r="O1070" s="81">
        <v>0</v>
      </c>
      <c r="P1070" s="134">
        <v>100000</v>
      </c>
    </row>
    <row r="1071" spans="2:16" s="21" customFormat="1" outlineLevel="1" x14ac:dyDescent="0.2">
      <c r="B1071" s="151"/>
      <c r="C1071" s="151"/>
      <c r="D1071" s="151"/>
      <c r="E1071" s="151"/>
      <c r="F1071" s="154"/>
      <c r="G1071" s="154"/>
      <c r="H1071" s="19" t="s">
        <v>4</v>
      </c>
      <c r="I1071" s="83"/>
      <c r="J1071" s="81"/>
      <c r="K1071" s="81"/>
      <c r="L1071" s="81"/>
      <c r="M1071" s="81"/>
      <c r="N1071" s="81"/>
      <c r="O1071" s="81">
        <v>0</v>
      </c>
      <c r="P1071" s="135"/>
    </row>
    <row r="1072" spans="2:16" s="21" customFormat="1" outlineLevel="1" x14ac:dyDescent="0.2">
      <c r="B1072" s="151"/>
      <c r="C1072" s="151"/>
      <c r="D1072" s="151"/>
      <c r="E1072" s="151"/>
      <c r="F1072" s="154"/>
      <c r="G1072" s="154"/>
      <c r="H1072" s="19" t="s">
        <v>6</v>
      </c>
      <c r="I1072" s="38">
        <f>SUM(J1072:O1072)</f>
        <v>320</v>
      </c>
      <c r="J1072" s="81"/>
      <c r="K1072" s="81">
        <v>20</v>
      </c>
      <c r="L1072" s="81">
        <v>100</v>
      </c>
      <c r="M1072" s="81">
        <v>100</v>
      </c>
      <c r="N1072" s="81">
        <v>100</v>
      </c>
      <c r="O1072" s="81">
        <v>0</v>
      </c>
      <c r="P1072" s="135"/>
    </row>
    <row r="1073" spans="2:16" s="21" customFormat="1" outlineLevel="1" x14ac:dyDescent="0.2">
      <c r="B1073" s="152"/>
      <c r="C1073" s="152"/>
      <c r="D1073" s="152"/>
      <c r="E1073" s="152"/>
      <c r="F1073" s="155"/>
      <c r="G1073" s="155"/>
      <c r="H1073" s="19" t="s">
        <v>5</v>
      </c>
      <c r="I1073" s="75"/>
      <c r="J1073" s="81"/>
      <c r="K1073" s="81"/>
      <c r="L1073" s="81"/>
      <c r="M1073" s="81"/>
      <c r="N1073" s="81"/>
      <c r="O1073" s="81"/>
      <c r="P1073" s="136"/>
    </row>
    <row r="1074" spans="2:16" s="21" customFormat="1" ht="42.75" customHeight="1" outlineLevel="1" x14ac:dyDescent="0.2">
      <c r="B1074" s="150" t="s">
        <v>571</v>
      </c>
      <c r="C1074" s="150"/>
      <c r="D1074" s="150" t="s">
        <v>65</v>
      </c>
      <c r="E1074" s="150" t="s">
        <v>34</v>
      </c>
      <c r="F1074" s="150">
        <v>75</v>
      </c>
      <c r="G1074" s="150" t="s">
        <v>572</v>
      </c>
      <c r="H1074" s="19" t="s">
        <v>3</v>
      </c>
      <c r="I1074" s="38">
        <f>SUM(J1074:O1074)</f>
        <v>1500</v>
      </c>
      <c r="J1074" s="81">
        <f>J1075+J1076+J1077</f>
        <v>0</v>
      </c>
      <c r="K1074" s="81">
        <v>500</v>
      </c>
      <c r="L1074" s="81">
        <v>500</v>
      </c>
      <c r="M1074" s="81">
        <v>500</v>
      </c>
      <c r="N1074" s="81">
        <f>N1075+N1076+N1077</f>
        <v>0</v>
      </c>
      <c r="O1074" s="81">
        <f>O1075+O1076+O1077</f>
        <v>0</v>
      </c>
      <c r="P1074" s="134"/>
    </row>
    <row r="1075" spans="2:16" s="21" customFormat="1" outlineLevel="1" x14ac:dyDescent="0.2">
      <c r="B1075" s="151"/>
      <c r="C1075" s="151"/>
      <c r="D1075" s="151"/>
      <c r="E1075" s="151"/>
      <c r="F1075" s="151"/>
      <c r="G1075" s="151"/>
      <c r="H1075" s="19" t="s">
        <v>4</v>
      </c>
      <c r="I1075" s="38">
        <f t="shared" ref="I1075:I1077" si="333">SUM(J1075:O1075)</f>
        <v>1500</v>
      </c>
      <c r="J1075" s="81"/>
      <c r="K1075" s="81">
        <v>500</v>
      </c>
      <c r="L1075" s="81">
        <v>500</v>
      </c>
      <c r="M1075" s="81">
        <v>500</v>
      </c>
      <c r="N1075" s="81">
        <v>0</v>
      </c>
      <c r="O1075" s="81">
        <v>0</v>
      </c>
      <c r="P1075" s="135">
        <v>0</v>
      </c>
    </row>
    <row r="1076" spans="2:16" s="21" customFormat="1" outlineLevel="1" x14ac:dyDescent="0.2">
      <c r="B1076" s="151"/>
      <c r="C1076" s="151"/>
      <c r="D1076" s="151"/>
      <c r="E1076" s="151"/>
      <c r="F1076" s="151"/>
      <c r="G1076" s="151"/>
      <c r="H1076" s="19" t="s">
        <v>6</v>
      </c>
      <c r="I1076" s="38">
        <f t="shared" si="333"/>
        <v>0</v>
      </c>
      <c r="J1076" s="81"/>
      <c r="K1076" s="81"/>
      <c r="L1076" s="81"/>
      <c r="M1076" s="81"/>
      <c r="N1076" s="81"/>
      <c r="O1076" s="81"/>
      <c r="P1076" s="135"/>
    </row>
    <row r="1077" spans="2:16" s="21" customFormat="1" outlineLevel="1" x14ac:dyDescent="0.2">
      <c r="B1077" s="159"/>
      <c r="C1077" s="152"/>
      <c r="D1077" s="152"/>
      <c r="E1077" s="152"/>
      <c r="F1077" s="152"/>
      <c r="G1077" s="152"/>
      <c r="H1077" s="19" t="s">
        <v>5</v>
      </c>
      <c r="I1077" s="38">
        <f t="shared" si="333"/>
        <v>0</v>
      </c>
      <c r="J1077" s="81"/>
      <c r="K1077" s="81"/>
      <c r="L1077" s="81"/>
      <c r="M1077" s="81"/>
      <c r="N1077" s="81"/>
      <c r="O1077" s="81"/>
      <c r="P1077" s="136"/>
    </row>
    <row r="1078" spans="2:16" s="21" customFormat="1" ht="42.75" customHeight="1" outlineLevel="1" x14ac:dyDescent="0.2">
      <c r="B1078" s="156" t="s">
        <v>573</v>
      </c>
      <c r="C1078" s="153" t="s">
        <v>574</v>
      </c>
      <c r="D1078" s="153" t="s">
        <v>575</v>
      </c>
      <c r="E1078" s="153">
        <v>2021</v>
      </c>
      <c r="F1078" s="153" t="s">
        <v>576</v>
      </c>
      <c r="G1078" s="153" t="s">
        <v>577</v>
      </c>
      <c r="H1078" s="19" t="s">
        <v>3</v>
      </c>
      <c r="I1078" s="38">
        <f>SUM(J1078:O1078)</f>
        <v>50</v>
      </c>
      <c r="J1078" s="86">
        <v>0</v>
      </c>
      <c r="K1078" s="40">
        <f>K1079+K1080</f>
        <v>50</v>
      </c>
      <c r="L1078" s="86">
        <f>L1079+L1080+L1081</f>
        <v>0</v>
      </c>
      <c r="M1078" s="86">
        <f>M1079+M1080+M1081</f>
        <v>0</v>
      </c>
      <c r="N1078" s="86">
        <f>N1079+N1080+N1081</f>
        <v>0</v>
      </c>
      <c r="O1078" s="86">
        <f>O1079+O1080+O1081</f>
        <v>0</v>
      </c>
      <c r="P1078" s="134">
        <v>40000</v>
      </c>
    </row>
    <row r="1079" spans="2:16" s="21" customFormat="1" outlineLevel="1" x14ac:dyDescent="0.2">
      <c r="B1079" s="157"/>
      <c r="C1079" s="154"/>
      <c r="D1079" s="154"/>
      <c r="E1079" s="154"/>
      <c r="F1079" s="154"/>
      <c r="G1079" s="154"/>
      <c r="H1079" s="19" t="s">
        <v>4</v>
      </c>
      <c r="I1079" s="38">
        <f>SUM(J1079:O1079)</f>
        <v>45</v>
      </c>
      <c r="J1079" s="86"/>
      <c r="K1079" s="40">
        <v>45</v>
      </c>
      <c r="L1079" s="86"/>
      <c r="M1079" s="86"/>
      <c r="N1079" s="86"/>
      <c r="O1079" s="86"/>
      <c r="P1079" s="135"/>
    </row>
    <row r="1080" spans="2:16" s="21" customFormat="1" outlineLevel="1" x14ac:dyDescent="0.2">
      <c r="B1080" s="157"/>
      <c r="C1080" s="154"/>
      <c r="D1080" s="154"/>
      <c r="E1080" s="154"/>
      <c r="F1080" s="154"/>
      <c r="G1080" s="154"/>
      <c r="H1080" s="19" t="s">
        <v>6</v>
      </c>
      <c r="I1080" s="38">
        <f>SUM(J1080:O1080)</f>
        <v>5</v>
      </c>
      <c r="J1080" s="86"/>
      <c r="K1080" s="40">
        <v>5</v>
      </c>
      <c r="L1080" s="86"/>
      <c r="M1080" s="86"/>
      <c r="N1080" s="86"/>
      <c r="O1080" s="86"/>
      <c r="P1080" s="135"/>
    </row>
    <row r="1081" spans="2:16" s="21" customFormat="1" outlineLevel="1" x14ac:dyDescent="0.2">
      <c r="B1081" s="158"/>
      <c r="C1081" s="155"/>
      <c r="D1081" s="155"/>
      <c r="E1081" s="155"/>
      <c r="F1081" s="155"/>
      <c r="G1081" s="155"/>
      <c r="H1081" s="19" t="s">
        <v>5</v>
      </c>
      <c r="I1081" s="86"/>
      <c r="J1081" s="86"/>
      <c r="K1081" s="86"/>
      <c r="L1081" s="86"/>
      <c r="M1081" s="86"/>
      <c r="N1081" s="86"/>
      <c r="O1081" s="86"/>
      <c r="P1081" s="136"/>
    </row>
    <row r="1082" spans="2:16" s="21" customFormat="1" ht="42.75" customHeight="1" outlineLevel="1" x14ac:dyDescent="0.2">
      <c r="B1082" s="153" t="s">
        <v>578</v>
      </c>
      <c r="C1082" s="153" t="s">
        <v>574</v>
      </c>
      <c r="D1082" s="153" t="s">
        <v>65</v>
      </c>
      <c r="E1082" s="153" t="s">
        <v>34</v>
      </c>
      <c r="F1082" s="153" t="s">
        <v>336</v>
      </c>
      <c r="G1082" s="153" t="s">
        <v>138</v>
      </c>
      <c r="H1082" s="19" t="s">
        <v>3</v>
      </c>
      <c r="I1082" s="38">
        <f>SUM(J1082:O1082)</f>
        <v>1000</v>
      </c>
      <c r="J1082" s="86">
        <f t="shared" ref="J1082:O1082" si="334">J1083+J1084+J1085</f>
        <v>0</v>
      </c>
      <c r="K1082" s="86">
        <f t="shared" si="334"/>
        <v>250</v>
      </c>
      <c r="L1082" s="86">
        <f t="shared" si="334"/>
        <v>250</v>
      </c>
      <c r="M1082" s="86">
        <f t="shared" si="334"/>
        <v>500</v>
      </c>
      <c r="N1082" s="86">
        <f t="shared" si="334"/>
        <v>0</v>
      </c>
      <c r="O1082" s="86">
        <f t="shared" si="334"/>
        <v>0</v>
      </c>
      <c r="P1082" s="134">
        <v>50000</v>
      </c>
    </row>
    <row r="1083" spans="2:16" s="21" customFormat="1" ht="15" customHeight="1" outlineLevel="1" x14ac:dyDescent="0.2">
      <c r="B1083" s="154"/>
      <c r="C1083" s="154"/>
      <c r="D1083" s="154"/>
      <c r="E1083" s="154"/>
      <c r="F1083" s="154"/>
      <c r="G1083" s="154"/>
      <c r="H1083" s="19" t="s">
        <v>4</v>
      </c>
      <c r="I1083" s="38">
        <f>SUM(J1083:O1083)</f>
        <v>900</v>
      </c>
      <c r="J1083" s="86"/>
      <c r="K1083" s="86">
        <v>225</v>
      </c>
      <c r="L1083" s="86">
        <v>225</v>
      </c>
      <c r="M1083" s="86">
        <v>450</v>
      </c>
      <c r="N1083" s="86"/>
      <c r="O1083" s="86"/>
      <c r="P1083" s="135"/>
    </row>
    <row r="1084" spans="2:16" s="21" customFormat="1" ht="15" customHeight="1" outlineLevel="1" x14ac:dyDescent="0.2">
      <c r="B1084" s="154"/>
      <c r="C1084" s="154"/>
      <c r="D1084" s="154"/>
      <c r="E1084" s="154"/>
      <c r="F1084" s="154"/>
      <c r="G1084" s="154"/>
      <c r="H1084" s="19" t="s">
        <v>6</v>
      </c>
      <c r="I1084" s="38">
        <f>SUM(J1084:O1084)</f>
        <v>100</v>
      </c>
      <c r="J1084" s="86"/>
      <c r="K1084" s="86">
        <v>25</v>
      </c>
      <c r="L1084" s="86">
        <v>25</v>
      </c>
      <c r="M1084" s="86">
        <v>50</v>
      </c>
      <c r="N1084" s="86"/>
      <c r="O1084" s="86"/>
      <c r="P1084" s="135"/>
    </row>
    <row r="1085" spans="2:16" s="21" customFormat="1" ht="15" customHeight="1" outlineLevel="1" x14ac:dyDescent="0.2">
      <c r="B1085" s="155"/>
      <c r="C1085" s="155"/>
      <c r="D1085" s="155"/>
      <c r="E1085" s="155"/>
      <c r="F1085" s="155"/>
      <c r="G1085" s="155"/>
      <c r="H1085" s="19" t="s">
        <v>5</v>
      </c>
      <c r="I1085" s="83"/>
      <c r="J1085" s="86"/>
      <c r="K1085" s="86"/>
      <c r="L1085" s="86"/>
      <c r="M1085" s="86"/>
      <c r="N1085" s="86"/>
      <c r="O1085" s="86"/>
      <c r="P1085" s="136"/>
    </row>
    <row r="1086" spans="2:16" s="21" customFormat="1" ht="42.75" customHeight="1" outlineLevel="1" x14ac:dyDescent="0.2">
      <c r="B1086" s="153" t="s">
        <v>579</v>
      </c>
      <c r="C1086" s="153" t="s">
        <v>574</v>
      </c>
      <c r="D1086" s="153" t="s">
        <v>65</v>
      </c>
      <c r="E1086" s="153">
        <v>2022</v>
      </c>
      <c r="F1086" s="153" t="s">
        <v>191</v>
      </c>
      <c r="G1086" s="153" t="s">
        <v>580</v>
      </c>
      <c r="H1086" s="19" t="s">
        <v>3</v>
      </c>
      <c r="I1086" s="41">
        <f>SUM(J1086:O1086)</f>
        <v>133.38999999999999</v>
      </c>
      <c r="J1086" s="86">
        <f t="shared" ref="J1086:O1086" si="335">J1087+J1088+J1089</f>
        <v>0</v>
      </c>
      <c r="K1086" s="86">
        <f t="shared" si="335"/>
        <v>0</v>
      </c>
      <c r="L1086" s="86">
        <f t="shared" si="335"/>
        <v>0</v>
      </c>
      <c r="M1086" s="86">
        <f t="shared" si="335"/>
        <v>133.38999999999999</v>
      </c>
      <c r="N1086" s="86">
        <f t="shared" si="335"/>
        <v>0</v>
      </c>
      <c r="O1086" s="86">
        <f t="shared" si="335"/>
        <v>0</v>
      </c>
      <c r="P1086" s="134">
        <v>20000</v>
      </c>
    </row>
    <row r="1087" spans="2:16" s="21" customFormat="1" outlineLevel="1" x14ac:dyDescent="0.2">
      <c r="B1087" s="154"/>
      <c r="C1087" s="154"/>
      <c r="D1087" s="154"/>
      <c r="E1087" s="154"/>
      <c r="F1087" s="154"/>
      <c r="G1087" s="154"/>
      <c r="H1087" s="19" t="s">
        <v>4</v>
      </c>
      <c r="I1087" s="41">
        <f>SUM(J1087:O1087)</f>
        <v>120.05</v>
      </c>
      <c r="J1087" s="86"/>
      <c r="K1087" s="86"/>
      <c r="L1087" s="86"/>
      <c r="M1087" s="86">
        <v>120.05</v>
      </c>
      <c r="N1087" s="86"/>
      <c r="O1087" s="86"/>
      <c r="P1087" s="135"/>
    </row>
    <row r="1088" spans="2:16" s="21" customFormat="1" outlineLevel="1" x14ac:dyDescent="0.2">
      <c r="B1088" s="154"/>
      <c r="C1088" s="154"/>
      <c r="D1088" s="154"/>
      <c r="E1088" s="154"/>
      <c r="F1088" s="154"/>
      <c r="G1088" s="154"/>
      <c r="H1088" s="19" t="s">
        <v>6</v>
      </c>
      <c r="I1088" s="41">
        <f>SUM(J1088:O1088)</f>
        <v>13.34</v>
      </c>
      <c r="J1088" s="86"/>
      <c r="K1088" s="86"/>
      <c r="L1088" s="86"/>
      <c r="M1088" s="86">
        <v>13.34</v>
      </c>
      <c r="N1088" s="86"/>
      <c r="O1088" s="86"/>
      <c r="P1088" s="135"/>
    </row>
    <row r="1089" spans="1:16" s="21" customFormat="1" outlineLevel="1" x14ac:dyDescent="0.2">
      <c r="B1089" s="155"/>
      <c r="C1089" s="155"/>
      <c r="D1089" s="155"/>
      <c r="E1089" s="155"/>
      <c r="F1089" s="155"/>
      <c r="G1089" s="155"/>
      <c r="H1089" s="19" t="s">
        <v>5</v>
      </c>
      <c r="I1089" s="16"/>
      <c r="J1089" s="86"/>
      <c r="K1089" s="86"/>
      <c r="L1089" s="86"/>
      <c r="M1089" s="86"/>
      <c r="N1089" s="86"/>
      <c r="O1089" s="86"/>
      <c r="P1089" s="136"/>
    </row>
    <row r="1090" spans="1:16" s="21" customFormat="1" ht="42.75" customHeight="1" outlineLevel="1" x14ac:dyDescent="0.2">
      <c r="B1090" s="156" t="s">
        <v>581</v>
      </c>
      <c r="C1090" s="153" t="s">
        <v>574</v>
      </c>
      <c r="D1090" s="153" t="s">
        <v>65</v>
      </c>
      <c r="E1090" s="153">
        <v>2022</v>
      </c>
      <c r="F1090" s="153" t="s">
        <v>365</v>
      </c>
      <c r="G1090" s="153" t="s">
        <v>580</v>
      </c>
      <c r="H1090" s="19" t="s">
        <v>3</v>
      </c>
      <c r="I1090" s="41">
        <f>SUM(J1090:O1090)</f>
        <v>29.81</v>
      </c>
      <c r="J1090" s="86">
        <f>J1091+J1092+J1093</f>
        <v>0</v>
      </c>
      <c r="K1090" s="86">
        <f>K1091+K1092+K1093</f>
        <v>0</v>
      </c>
      <c r="L1090" s="86">
        <f>L1091+L1092+L1093</f>
        <v>29.81</v>
      </c>
      <c r="M1090" s="86">
        <v>0</v>
      </c>
      <c r="N1090" s="86">
        <f>N1091+N1092+N1093</f>
        <v>0</v>
      </c>
      <c r="O1090" s="86">
        <f>O1091+O1092+O1093</f>
        <v>0</v>
      </c>
      <c r="P1090" s="134">
        <v>10000</v>
      </c>
    </row>
    <row r="1091" spans="1:16" s="21" customFormat="1" outlineLevel="1" x14ac:dyDescent="0.2">
      <c r="B1091" s="157"/>
      <c r="C1091" s="154"/>
      <c r="D1091" s="154"/>
      <c r="E1091" s="154"/>
      <c r="F1091" s="154"/>
      <c r="G1091" s="154"/>
      <c r="H1091" s="19" t="s">
        <v>4</v>
      </c>
      <c r="I1091" s="41">
        <f>SUM(J1091:O1091)</f>
        <v>26.83</v>
      </c>
      <c r="J1091" s="86"/>
      <c r="K1091" s="86"/>
      <c r="L1091" s="86">
        <v>26.83</v>
      </c>
      <c r="M1091" s="86"/>
      <c r="N1091" s="86"/>
      <c r="O1091" s="86"/>
      <c r="P1091" s="135"/>
    </row>
    <row r="1092" spans="1:16" s="21" customFormat="1" outlineLevel="1" x14ac:dyDescent="0.2">
      <c r="B1092" s="157"/>
      <c r="C1092" s="154"/>
      <c r="D1092" s="154"/>
      <c r="E1092" s="154"/>
      <c r="F1092" s="154"/>
      <c r="G1092" s="154"/>
      <c r="H1092" s="19" t="s">
        <v>6</v>
      </c>
      <c r="I1092" s="41">
        <f>SUM(J1092:O1092)</f>
        <v>2.98</v>
      </c>
      <c r="J1092" s="86"/>
      <c r="K1092" s="86"/>
      <c r="L1092" s="86">
        <v>2.98</v>
      </c>
      <c r="M1092" s="86"/>
      <c r="N1092" s="86"/>
      <c r="O1092" s="86"/>
      <c r="P1092" s="135"/>
    </row>
    <row r="1093" spans="1:16" s="21" customFormat="1" outlineLevel="1" x14ac:dyDescent="0.2">
      <c r="B1093" s="158"/>
      <c r="C1093" s="155"/>
      <c r="D1093" s="155"/>
      <c r="E1093" s="155"/>
      <c r="F1093" s="155"/>
      <c r="G1093" s="155"/>
      <c r="H1093" s="19" t="s">
        <v>5</v>
      </c>
      <c r="I1093" s="16"/>
      <c r="J1093" s="86"/>
      <c r="K1093" s="86"/>
      <c r="L1093" s="86"/>
      <c r="M1093" s="86"/>
      <c r="N1093" s="86"/>
      <c r="O1093" s="86"/>
      <c r="P1093" s="136"/>
    </row>
    <row r="1094" spans="1:16" s="21" customFormat="1" ht="42.75" customHeight="1" outlineLevel="1" x14ac:dyDescent="0.2">
      <c r="B1094" s="153" t="s">
        <v>582</v>
      </c>
      <c r="C1094" s="153" t="s">
        <v>574</v>
      </c>
      <c r="D1094" s="153" t="s">
        <v>575</v>
      </c>
      <c r="E1094" s="153">
        <v>2023</v>
      </c>
      <c r="F1094" s="153" t="s">
        <v>191</v>
      </c>
      <c r="G1094" s="153" t="s">
        <v>138</v>
      </c>
      <c r="H1094" s="19" t="s">
        <v>3</v>
      </c>
      <c r="I1094" s="41">
        <f>SUM(J1094:O1094)</f>
        <v>162.1</v>
      </c>
      <c r="J1094" s="86">
        <v>0</v>
      </c>
      <c r="K1094" s="86">
        <v>0</v>
      </c>
      <c r="L1094" s="86">
        <f>L1095+L1096+L1097</f>
        <v>0</v>
      </c>
      <c r="M1094" s="86">
        <f>M1095+M1096+M1097</f>
        <v>162.1</v>
      </c>
      <c r="N1094" s="86">
        <f>N1095+N1096+N1097</f>
        <v>0</v>
      </c>
      <c r="O1094" s="86">
        <f>O1095+O1096+O1097</f>
        <v>0</v>
      </c>
      <c r="P1094" s="134">
        <v>30000</v>
      </c>
    </row>
    <row r="1095" spans="1:16" s="21" customFormat="1" outlineLevel="1" x14ac:dyDescent="0.2">
      <c r="B1095" s="154"/>
      <c r="C1095" s="154"/>
      <c r="D1095" s="154"/>
      <c r="E1095" s="154"/>
      <c r="F1095" s="154"/>
      <c r="G1095" s="154"/>
      <c r="H1095" s="19" t="s">
        <v>4</v>
      </c>
      <c r="I1095" s="41">
        <f>SUM(J1095:O1095)</f>
        <v>145.88999999999999</v>
      </c>
      <c r="J1095" s="86"/>
      <c r="K1095" s="86"/>
      <c r="L1095" s="86"/>
      <c r="M1095" s="86">
        <v>145.88999999999999</v>
      </c>
      <c r="N1095" s="86"/>
      <c r="O1095" s="86"/>
      <c r="P1095" s="135"/>
    </row>
    <row r="1096" spans="1:16" s="21" customFormat="1" outlineLevel="1" x14ac:dyDescent="0.2">
      <c r="B1096" s="154"/>
      <c r="C1096" s="154"/>
      <c r="D1096" s="154"/>
      <c r="E1096" s="154"/>
      <c r="F1096" s="154"/>
      <c r="G1096" s="154"/>
      <c r="H1096" s="19" t="s">
        <v>6</v>
      </c>
      <c r="I1096" s="41">
        <f>SUM(J1096:O1096)</f>
        <v>16.21</v>
      </c>
      <c r="J1096" s="86"/>
      <c r="K1096" s="86"/>
      <c r="L1096" s="86"/>
      <c r="M1096" s="86">
        <v>16.21</v>
      </c>
      <c r="N1096" s="86"/>
      <c r="O1096" s="86"/>
      <c r="P1096" s="135"/>
    </row>
    <row r="1097" spans="1:16" s="21" customFormat="1" outlineLevel="1" x14ac:dyDescent="0.2">
      <c r="B1097" s="155"/>
      <c r="C1097" s="155"/>
      <c r="D1097" s="155"/>
      <c r="E1097" s="155"/>
      <c r="F1097" s="155"/>
      <c r="G1097" s="155"/>
      <c r="H1097" s="19" t="s">
        <v>5</v>
      </c>
      <c r="I1097" s="16"/>
      <c r="J1097" s="86"/>
      <c r="K1097" s="86"/>
      <c r="L1097" s="86"/>
      <c r="M1097" s="86"/>
      <c r="N1097" s="86"/>
      <c r="O1097" s="86"/>
      <c r="P1097" s="136"/>
    </row>
    <row r="1098" spans="1:16" s="21" customFormat="1" ht="42.75" customHeight="1" outlineLevel="1" x14ac:dyDescent="0.2">
      <c r="A1098" s="160" t="s">
        <v>573</v>
      </c>
      <c r="B1098" s="153" t="s">
        <v>583</v>
      </c>
      <c r="C1098" s="153" t="s">
        <v>574</v>
      </c>
      <c r="D1098" s="153" t="s">
        <v>65</v>
      </c>
      <c r="E1098" s="153">
        <v>2022</v>
      </c>
      <c r="F1098" s="153" t="s">
        <v>576</v>
      </c>
      <c r="G1098" s="153" t="s">
        <v>138</v>
      </c>
      <c r="H1098" s="42" t="s">
        <v>3</v>
      </c>
      <c r="I1098" s="41">
        <f>SUM(J1098:O1098)</f>
        <v>56.25</v>
      </c>
      <c r="J1098" s="86">
        <f>J1099+J1100+J1101</f>
        <v>0</v>
      </c>
      <c r="K1098" s="86">
        <f>K1099+K1100+K1101</f>
        <v>0</v>
      </c>
      <c r="L1098" s="86">
        <f>L1099+L1100+L1101</f>
        <v>56.25</v>
      </c>
      <c r="M1098" s="86">
        <v>0</v>
      </c>
      <c r="N1098" s="86">
        <f>N1099+N1100+N1101</f>
        <v>0</v>
      </c>
      <c r="O1098" s="86">
        <f>O1099+O1100+O1101</f>
        <v>0</v>
      </c>
      <c r="P1098" s="134">
        <v>30000</v>
      </c>
    </row>
    <row r="1099" spans="1:16" s="21" customFormat="1" outlineLevel="1" x14ac:dyDescent="0.2">
      <c r="A1099" s="160"/>
      <c r="B1099" s="154"/>
      <c r="C1099" s="154"/>
      <c r="D1099" s="154"/>
      <c r="E1099" s="154"/>
      <c r="F1099" s="154"/>
      <c r="G1099" s="154"/>
      <c r="H1099" s="42" t="s">
        <v>4</v>
      </c>
      <c r="I1099" s="41">
        <f>SUM(J1099:O1099)</f>
        <v>0</v>
      </c>
      <c r="J1099" s="86"/>
      <c r="K1099" s="86"/>
      <c r="L1099" s="86"/>
      <c r="M1099" s="86"/>
      <c r="N1099" s="86"/>
      <c r="O1099" s="86"/>
      <c r="P1099" s="135"/>
    </row>
    <row r="1100" spans="1:16" s="21" customFormat="1" outlineLevel="1" x14ac:dyDescent="0.2">
      <c r="A1100" s="160"/>
      <c r="B1100" s="154"/>
      <c r="C1100" s="154"/>
      <c r="D1100" s="154"/>
      <c r="E1100" s="154"/>
      <c r="F1100" s="154"/>
      <c r="G1100" s="154"/>
      <c r="H1100" s="42" t="s">
        <v>6</v>
      </c>
      <c r="I1100" s="41">
        <f>SUM(J1100:O1100)</f>
        <v>56.25</v>
      </c>
      <c r="J1100" s="86"/>
      <c r="K1100" s="86"/>
      <c r="L1100" s="86">
        <v>56.25</v>
      </c>
      <c r="M1100" s="86"/>
      <c r="N1100" s="86"/>
      <c r="O1100" s="86"/>
      <c r="P1100" s="135"/>
    </row>
    <row r="1101" spans="1:16" s="21" customFormat="1" outlineLevel="1" x14ac:dyDescent="0.2">
      <c r="A1101" s="160"/>
      <c r="B1101" s="155"/>
      <c r="C1101" s="155"/>
      <c r="D1101" s="155"/>
      <c r="E1101" s="155"/>
      <c r="F1101" s="155"/>
      <c r="G1101" s="155"/>
      <c r="H1101" s="42" t="s">
        <v>5</v>
      </c>
      <c r="I1101" s="81"/>
      <c r="J1101" s="86"/>
      <c r="K1101" s="86"/>
      <c r="L1101" s="86"/>
      <c r="M1101" s="86"/>
      <c r="N1101" s="86"/>
      <c r="O1101" s="86"/>
      <c r="P1101" s="136"/>
    </row>
    <row r="1102" spans="1:16" s="21" customFormat="1" ht="42.75" customHeight="1" outlineLevel="1" x14ac:dyDescent="0.2">
      <c r="A1102" s="161" t="s">
        <v>578</v>
      </c>
      <c r="B1102" s="153" t="s">
        <v>584</v>
      </c>
      <c r="C1102" s="153"/>
      <c r="D1102" s="153" t="s">
        <v>65</v>
      </c>
      <c r="E1102" s="153" t="s">
        <v>209</v>
      </c>
      <c r="F1102" s="153" t="s">
        <v>333</v>
      </c>
      <c r="G1102" s="153" t="s">
        <v>566</v>
      </c>
      <c r="H1102" s="42" t="s">
        <v>3</v>
      </c>
      <c r="I1102" s="41">
        <f>SUM(J1102:O1102)</f>
        <v>615.5</v>
      </c>
      <c r="J1102" s="86">
        <f t="shared" ref="J1102:O1102" si="336">J1103+J1104+J1105</f>
        <v>0</v>
      </c>
      <c r="K1102" s="86">
        <f t="shared" si="336"/>
        <v>0</v>
      </c>
      <c r="L1102" s="86">
        <f t="shared" si="336"/>
        <v>0</v>
      </c>
      <c r="M1102" s="40">
        <f t="shared" si="336"/>
        <v>200</v>
      </c>
      <c r="N1102" s="40">
        <f t="shared" si="336"/>
        <v>415.5</v>
      </c>
      <c r="O1102" s="86">
        <f t="shared" si="336"/>
        <v>0</v>
      </c>
      <c r="P1102" s="134">
        <v>200000</v>
      </c>
    </row>
    <row r="1103" spans="1:16" s="21" customFormat="1" outlineLevel="1" x14ac:dyDescent="0.2">
      <c r="A1103" s="161"/>
      <c r="B1103" s="154"/>
      <c r="C1103" s="154"/>
      <c r="D1103" s="154"/>
      <c r="E1103" s="154"/>
      <c r="F1103" s="154"/>
      <c r="G1103" s="154"/>
      <c r="H1103" s="42" t="s">
        <v>4</v>
      </c>
      <c r="I1103" s="41">
        <f>SUM(J1103:O1103)</f>
        <v>553.95000000000005</v>
      </c>
      <c r="J1103" s="86"/>
      <c r="K1103" s="86"/>
      <c r="L1103" s="86"/>
      <c r="M1103" s="86">
        <v>180</v>
      </c>
      <c r="N1103" s="86">
        <v>373.95</v>
      </c>
      <c r="O1103" s="86">
        <v>0</v>
      </c>
      <c r="P1103" s="135"/>
    </row>
    <row r="1104" spans="1:16" s="21" customFormat="1" outlineLevel="1" x14ac:dyDescent="0.2">
      <c r="A1104" s="161"/>
      <c r="B1104" s="154"/>
      <c r="C1104" s="154"/>
      <c r="D1104" s="154"/>
      <c r="E1104" s="154"/>
      <c r="F1104" s="154"/>
      <c r="G1104" s="154"/>
      <c r="H1104" s="42" t="s">
        <v>6</v>
      </c>
      <c r="I1104" s="41">
        <f>SUM(J1104:O1104)</f>
        <v>61.55</v>
      </c>
      <c r="J1104" s="86"/>
      <c r="K1104" s="86"/>
      <c r="L1104" s="86"/>
      <c r="M1104" s="86">
        <v>20</v>
      </c>
      <c r="N1104" s="40">
        <v>41.55</v>
      </c>
      <c r="O1104" s="86"/>
      <c r="P1104" s="135"/>
    </row>
    <row r="1105" spans="1:16" s="21" customFormat="1" outlineLevel="1" x14ac:dyDescent="0.2">
      <c r="A1105" s="161"/>
      <c r="B1105" s="155"/>
      <c r="C1105" s="155"/>
      <c r="D1105" s="155"/>
      <c r="E1105" s="155"/>
      <c r="F1105" s="155"/>
      <c r="G1105" s="155"/>
      <c r="H1105" s="42" t="s">
        <v>5</v>
      </c>
      <c r="I1105" s="86"/>
      <c r="J1105" s="86"/>
      <c r="K1105" s="86"/>
      <c r="L1105" s="86"/>
      <c r="M1105" s="86"/>
      <c r="N1105" s="86"/>
      <c r="O1105" s="86"/>
      <c r="P1105" s="136"/>
    </row>
    <row r="1106" spans="1:16" s="21" customFormat="1" ht="42.75" customHeight="1" outlineLevel="1" x14ac:dyDescent="0.2">
      <c r="A1106" s="161" t="s">
        <v>579</v>
      </c>
      <c r="B1106" s="153" t="s">
        <v>585</v>
      </c>
      <c r="C1106" s="153"/>
      <c r="D1106" s="153" t="s">
        <v>575</v>
      </c>
      <c r="E1106" s="153" t="s">
        <v>209</v>
      </c>
      <c r="F1106" s="153" t="s">
        <v>300</v>
      </c>
      <c r="G1106" s="153" t="s">
        <v>566</v>
      </c>
      <c r="H1106" s="42" t="s">
        <v>3</v>
      </c>
      <c r="I1106" s="41">
        <f>SUM(J1106:O1106)</f>
        <v>307.76</v>
      </c>
      <c r="J1106" s="86">
        <v>0</v>
      </c>
      <c r="K1106" s="86">
        <v>0</v>
      </c>
      <c r="L1106" s="86">
        <f>L1107+L1108+L1109</f>
        <v>0</v>
      </c>
      <c r="M1106" s="86">
        <f>M1107+M1108+M1109</f>
        <v>100</v>
      </c>
      <c r="N1106" s="86">
        <f>N1107+N1108+N1109</f>
        <v>207.76</v>
      </c>
      <c r="O1106" s="86">
        <f>O1107+O1108+O1109</f>
        <v>0</v>
      </c>
      <c r="P1106" s="134">
        <v>100000</v>
      </c>
    </row>
    <row r="1107" spans="1:16" s="21" customFormat="1" outlineLevel="1" x14ac:dyDescent="0.2">
      <c r="A1107" s="161"/>
      <c r="B1107" s="154"/>
      <c r="C1107" s="154"/>
      <c r="D1107" s="154"/>
      <c r="E1107" s="154"/>
      <c r="F1107" s="154"/>
      <c r="G1107" s="154"/>
      <c r="H1107" s="42" t="s">
        <v>4</v>
      </c>
      <c r="I1107" s="41">
        <f>SUM(J1107:O1107)</f>
        <v>276.98</v>
      </c>
      <c r="J1107" s="86"/>
      <c r="K1107" s="86"/>
      <c r="L1107" s="86"/>
      <c r="M1107" s="86">
        <v>90</v>
      </c>
      <c r="N1107" s="86">
        <v>186.98</v>
      </c>
      <c r="O1107" s="86"/>
      <c r="P1107" s="135"/>
    </row>
    <row r="1108" spans="1:16" s="21" customFormat="1" outlineLevel="1" x14ac:dyDescent="0.2">
      <c r="A1108" s="161"/>
      <c r="B1108" s="154"/>
      <c r="C1108" s="154"/>
      <c r="D1108" s="154"/>
      <c r="E1108" s="154"/>
      <c r="F1108" s="154"/>
      <c r="G1108" s="154"/>
      <c r="H1108" s="42" t="s">
        <v>6</v>
      </c>
      <c r="I1108" s="41">
        <f>SUM(J1108:O1108)</f>
        <v>30.78</v>
      </c>
      <c r="J1108" s="86"/>
      <c r="K1108" s="86"/>
      <c r="L1108" s="86"/>
      <c r="M1108" s="86">
        <v>10</v>
      </c>
      <c r="N1108" s="86">
        <v>20.78</v>
      </c>
      <c r="O1108" s="86"/>
      <c r="P1108" s="135"/>
    </row>
    <row r="1109" spans="1:16" s="21" customFormat="1" outlineLevel="1" x14ac:dyDescent="0.2">
      <c r="A1109" s="161"/>
      <c r="B1109" s="155"/>
      <c r="C1109" s="155"/>
      <c r="D1109" s="155"/>
      <c r="E1109" s="155"/>
      <c r="F1109" s="155"/>
      <c r="G1109" s="155"/>
      <c r="H1109" s="42" t="s">
        <v>5</v>
      </c>
      <c r="I1109" s="86"/>
      <c r="J1109" s="86"/>
      <c r="K1109" s="86"/>
      <c r="L1109" s="86"/>
      <c r="M1109" s="86"/>
      <c r="N1109" s="86"/>
      <c r="O1109" s="86"/>
      <c r="P1109" s="136"/>
    </row>
    <row r="1110" spans="1:16" s="21" customFormat="1" ht="42.75" customHeight="1" outlineLevel="1" x14ac:dyDescent="0.2">
      <c r="A1110" s="160" t="s">
        <v>581</v>
      </c>
      <c r="B1110" s="153" t="s">
        <v>586</v>
      </c>
      <c r="C1110" s="153"/>
      <c r="D1110" s="153" t="s">
        <v>65</v>
      </c>
      <c r="E1110" s="153" t="s">
        <v>56</v>
      </c>
      <c r="F1110" s="153" t="s">
        <v>127</v>
      </c>
      <c r="G1110" s="153" t="s">
        <v>587</v>
      </c>
      <c r="H1110" s="42" t="s">
        <v>3</v>
      </c>
      <c r="I1110" s="41">
        <f>SUM(J1110:O1110)</f>
        <v>985.5</v>
      </c>
      <c r="J1110" s="86">
        <f>J1111+J1112+J1113</f>
        <v>0</v>
      </c>
      <c r="K1110" s="86">
        <f>K1111+K1112+K1113</f>
        <v>0</v>
      </c>
      <c r="L1110" s="86">
        <f>L1111+L1112+L1113</f>
        <v>0</v>
      </c>
      <c r="M1110" s="86">
        <v>0</v>
      </c>
      <c r="N1110" s="86">
        <f>N1111+N1112+N1113</f>
        <v>492.75</v>
      </c>
      <c r="O1110" s="86">
        <f>O1111+O1112+O1113</f>
        <v>492.75</v>
      </c>
      <c r="P1110" s="134">
        <v>50000</v>
      </c>
    </row>
    <row r="1111" spans="1:16" s="21" customFormat="1" outlineLevel="1" x14ac:dyDescent="0.2">
      <c r="A1111" s="160"/>
      <c r="B1111" s="154"/>
      <c r="C1111" s="154"/>
      <c r="D1111" s="154"/>
      <c r="E1111" s="154"/>
      <c r="F1111" s="154"/>
      <c r="G1111" s="154"/>
      <c r="H1111" s="42" t="s">
        <v>4</v>
      </c>
      <c r="I1111" s="41">
        <f>SUM(J1111:O1111)</f>
        <v>886.96</v>
      </c>
      <c r="J1111" s="86"/>
      <c r="K1111" s="86"/>
      <c r="L1111" s="86"/>
      <c r="M1111" s="86">
        <v>0</v>
      </c>
      <c r="N1111" s="86">
        <v>443.48</v>
      </c>
      <c r="O1111" s="86">
        <v>443.48</v>
      </c>
      <c r="P1111" s="135"/>
    </row>
    <row r="1112" spans="1:16" s="21" customFormat="1" outlineLevel="1" x14ac:dyDescent="0.2">
      <c r="A1112" s="160"/>
      <c r="B1112" s="154"/>
      <c r="C1112" s="154"/>
      <c r="D1112" s="154"/>
      <c r="E1112" s="154"/>
      <c r="F1112" s="154"/>
      <c r="G1112" s="154"/>
      <c r="H1112" s="42" t="s">
        <v>6</v>
      </c>
      <c r="I1112" s="41">
        <f>SUM(J1112:O1112)</f>
        <v>98.54</v>
      </c>
      <c r="J1112" s="86"/>
      <c r="K1112" s="86"/>
      <c r="L1112" s="86"/>
      <c r="M1112" s="86"/>
      <c r="N1112" s="86">
        <v>49.27</v>
      </c>
      <c r="O1112" s="86">
        <v>49.27</v>
      </c>
      <c r="P1112" s="135"/>
    </row>
    <row r="1113" spans="1:16" s="21" customFormat="1" outlineLevel="1" x14ac:dyDescent="0.2">
      <c r="A1113" s="160"/>
      <c r="B1113" s="155"/>
      <c r="C1113" s="155"/>
      <c r="D1113" s="155"/>
      <c r="E1113" s="155"/>
      <c r="F1113" s="155"/>
      <c r="G1113" s="155"/>
      <c r="H1113" s="42" t="s">
        <v>5</v>
      </c>
      <c r="I1113" s="86"/>
      <c r="J1113" s="86"/>
      <c r="K1113" s="86"/>
      <c r="L1113" s="86"/>
      <c r="M1113" s="86"/>
      <c r="N1113" s="86"/>
      <c r="O1113" s="86"/>
      <c r="P1113" s="136"/>
    </row>
    <row r="1114" spans="1:16" s="21" customFormat="1" ht="42.75" customHeight="1" outlineLevel="1" x14ac:dyDescent="0.2">
      <c r="A1114" s="161" t="s">
        <v>582</v>
      </c>
      <c r="B1114" s="153" t="s">
        <v>588</v>
      </c>
      <c r="C1114" s="153"/>
      <c r="D1114" s="153" t="s">
        <v>65</v>
      </c>
      <c r="E1114" s="153" t="s">
        <v>56</v>
      </c>
      <c r="F1114" s="153" t="s">
        <v>333</v>
      </c>
      <c r="G1114" s="153" t="s">
        <v>587</v>
      </c>
      <c r="H1114" s="42" t="s">
        <v>3</v>
      </c>
      <c r="I1114" s="41">
        <f>SUM(J1114:O1114)</f>
        <v>631.70000000000005</v>
      </c>
      <c r="J1114" s="86">
        <f>J1115+J1116+J1117</f>
        <v>0</v>
      </c>
      <c r="K1114" s="86">
        <f>K1115+K1116+K1117</f>
        <v>0</v>
      </c>
      <c r="L1114" s="86">
        <f>L1115+L1116+L1117</f>
        <v>0</v>
      </c>
      <c r="M1114" s="86">
        <v>0</v>
      </c>
      <c r="N1114" s="86">
        <f>N1115+N1116+N1117</f>
        <v>300</v>
      </c>
      <c r="O1114" s="86">
        <f>O1115+O1116+O1117</f>
        <v>331.7</v>
      </c>
      <c r="P1114" s="134">
        <v>50000</v>
      </c>
    </row>
    <row r="1115" spans="1:16" s="21" customFormat="1" outlineLevel="1" x14ac:dyDescent="0.2">
      <c r="A1115" s="161"/>
      <c r="B1115" s="154"/>
      <c r="C1115" s="154"/>
      <c r="D1115" s="154"/>
      <c r="E1115" s="154"/>
      <c r="F1115" s="154"/>
      <c r="G1115" s="154"/>
      <c r="H1115" s="42" t="s">
        <v>4</v>
      </c>
      <c r="I1115" s="41">
        <f>SUM(J1115:O1115)</f>
        <v>568.53</v>
      </c>
      <c r="J1115" s="86"/>
      <c r="K1115" s="86"/>
      <c r="L1115" s="86"/>
      <c r="M1115" s="86"/>
      <c r="N1115" s="86">
        <v>270</v>
      </c>
      <c r="O1115" s="86">
        <v>298.52999999999997</v>
      </c>
      <c r="P1115" s="135"/>
    </row>
    <row r="1116" spans="1:16" s="21" customFormat="1" outlineLevel="1" x14ac:dyDescent="0.2">
      <c r="A1116" s="161"/>
      <c r="B1116" s="154"/>
      <c r="C1116" s="154"/>
      <c r="D1116" s="154"/>
      <c r="E1116" s="154"/>
      <c r="F1116" s="154"/>
      <c r="G1116" s="154"/>
      <c r="H1116" s="42" t="s">
        <v>6</v>
      </c>
      <c r="I1116" s="41">
        <f>SUM(J1116:O1116)</f>
        <v>63.17</v>
      </c>
      <c r="J1116" s="86"/>
      <c r="K1116" s="86"/>
      <c r="L1116" s="86"/>
      <c r="M1116" s="86"/>
      <c r="N1116" s="86">
        <v>30</v>
      </c>
      <c r="O1116" s="86">
        <v>33.17</v>
      </c>
      <c r="P1116" s="135"/>
    </row>
    <row r="1117" spans="1:16" s="21" customFormat="1" outlineLevel="1" x14ac:dyDescent="0.2">
      <c r="A1117" s="161"/>
      <c r="B1117" s="155"/>
      <c r="C1117" s="155"/>
      <c r="D1117" s="155"/>
      <c r="E1117" s="155"/>
      <c r="F1117" s="155"/>
      <c r="G1117" s="155"/>
      <c r="H1117" s="42" t="s">
        <v>5</v>
      </c>
      <c r="I1117" s="86"/>
      <c r="J1117" s="86"/>
      <c r="K1117" s="86"/>
      <c r="L1117" s="86"/>
      <c r="M1117" s="86"/>
      <c r="N1117" s="86"/>
      <c r="O1117" s="86"/>
      <c r="P1117" s="136"/>
    </row>
    <row r="1118" spans="1:16" s="21" customFormat="1" ht="42.75" customHeight="1" outlineLevel="1" x14ac:dyDescent="0.2">
      <c r="A1118" s="161" t="s">
        <v>583</v>
      </c>
      <c r="B1118" s="153" t="s">
        <v>589</v>
      </c>
      <c r="C1118" s="153"/>
      <c r="D1118" s="153" t="s">
        <v>65</v>
      </c>
      <c r="E1118" s="153">
        <v>2021</v>
      </c>
      <c r="F1118" s="153" t="s">
        <v>367</v>
      </c>
      <c r="G1118" s="153" t="s">
        <v>580</v>
      </c>
      <c r="H1118" s="42" t="s">
        <v>3</v>
      </c>
      <c r="I1118" s="38">
        <f>SUM(J1118:O1118)</f>
        <v>30</v>
      </c>
      <c r="J1118" s="86">
        <v>0</v>
      </c>
      <c r="K1118" s="86">
        <f>SUM(K1119:K1121)</f>
        <v>30</v>
      </c>
      <c r="L1118" s="86">
        <v>0</v>
      </c>
      <c r="M1118" s="86">
        <v>0</v>
      </c>
      <c r="N1118" s="86">
        <v>0</v>
      </c>
      <c r="O1118" s="86">
        <v>0</v>
      </c>
      <c r="P1118" s="134">
        <v>10000</v>
      </c>
    </row>
    <row r="1119" spans="1:16" s="21" customFormat="1" outlineLevel="1" x14ac:dyDescent="0.2">
      <c r="A1119" s="161"/>
      <c r="B1119" s="154"/>
      <c r="C1119" s="154"/>
      <c r="D1119" s="154"/>
      <c r="E1119" s="154"/>
      <c r="F1119" s="154"/>
      <c r="G1119" s="154"/>
      <c r="H1119" s="42" t="s">
        <v>4</v>
      </c>
      <c r="I1119" s="86"/>
      <c r="J1119" s="86"/>
      <c r="K1119" s="86"/>
      <c r="L1119" s="86"/>
      <c r="M1119" s="86"/>
      <c r="N1119" s="86"/>
      <c r="O1119" s="86"/>
      <c r="P1119" s="135"/>
    </row>
    <row r="1120" spans="1:16" s="21" customFormat="1" outlineLevel="1" x14ac:dyDescent="0.2">
      <c r="A1120" s="161"/>
      <c r="B1120" s="154"/>
      <c r="C1120" s="154"/>
      <c r="D1120" s="154"/>
      <c r="E1120" s="154"/>
      <c r="F1120" s="154"/>
      <c r="G1120" s="154"/>
      <c r="H1120" s="42" t="s">
        <v>6</v>
      </c>
      <c r="I1120" s="38">
        <f>SUM(J1120:O1120)</f>
        <v>30</v>
      </c>
      <c r="J1120" s="86"/>
      <c r="K1120" s="86">
        <v>30</v>
      </c>
      <c r="L1120" s="86"/>
      <c r="M1120" s="86"/>
      <c r="N1120" s="86"/>
      <c r="O1120" s="86"/>
      <c r="P1120" s="135"/>
    </row>
    <row r="1121" spans="1:16" s="21" customFormat="1" outlineLevel="1" x14ac:dyDescent="0.2">
      <c r="A1121" s="161"/>
      <c r="B1121" s="155"/>
      <c r="C1121" s="155"/>
      <c r="D1121" s="155"/>
      <c r="E1121" s="155"/>
      <c r="F1121" s="155"/>
      <c r="G1121" s="155"/>
      <c r="H1121" s="42" t="s">
        <v>5</v>
      </c>
      <c r="I1121" s="86"/>
      <c r="J1121" s="86"/>
      <c r="K1121" s="86"/>
      <c r="L1121" s="86"/>
      <c r="M1121" s="86"/>
      <c r="N1121" s="86"/>
      <c r="O1121" s="86"/>
      <c r="P1121" s="136"/>
    </row>
    <row r="1122" spans="1:16" s="21" customFormat="1" ht="42.75" customHeight="1" outlineLevel="1" x14ac:dyDescent="0.2">
      <c r="A1122" s="161" t="s">
        <v>561</v>
      </c>
      <c r="B1122" s="153" t="s">
        <v>590</v>
      </c>
      <c r="C1122" s="153" t="s">
        <v>574</v>
      </c>
      <c r="D1122" s="153" t="s">
        <v>65</v>
      </c>
      <c r="E1122" s="153">
        <v>2025</v>
      </c>
      <c r="F1122" s="153" t="s">
        <v>591</v>
      </c>
      <c r="G1122" s="153" t="s">
        <v>580</v>
      </c>
      <c r="H1122" s="42" t="s">
        <v>3</v>
      </c>
      <c r="I1122" s="41">
        <f>SUM(J1122:O1122)</f>
        <v>326.25</v>
      </c>
      <c r="J1122" s="86">
        <f>J1123+J1124+J1125</f>
        <v>0</v>
      </c>
      <c r="K1122" s="86">
        <f>K1123+K1124+K1125</f>
        <v>0</v>
      </c>
      <c r="L1122" s="86">
        <f>L1123+L1124+L1125</f>
        <v>0</v>
      </c>
      <c r="M1122" s="86">
        <v>0</v>
      </c>
      <c r="N1122" s="86">
        <f>N1123+N1124+N1125</f>
        <v>0</v>
      </c>
      <c r="O1122" s="86">
        <f>O1123+O1124+O1125</f>
        <v>326.25</v>
      </c>
      <c r="P1122" s="134">
        <v>50000</v>
      </c>
    </row>
    <row r="1123" spans="1:16" s="21" customFormat="1" outlineLevel="1" x14ac:dyDescent="0.2">
      <c r="A1123" s="161"/>
      <c r="B1123" s="154"/>
      <c r="C1123" s="154"/>
      <c r="D1123" s="154"/>
      <c r="E1123" s="154"/>
      <c r="F1123" s="154"/>
      <c r="G1123" s="154"/>
      <c r="H1123" s="42" t="s">
        <v>4</v>
      </c>
      <c r="I1123" s="41">
        <f>SUM(J1123:O1123)</f>
        <v>293.63</v>
      </c>
      <c r="J1123" s="86"/>
      <c r="K1123" s="86"/>
      <c r="L1123" s="86">
        <v>0</v>
      </c>
      <c r="M1123" s="86"/>
      <c r="N1123" s="86"/>
      <c r="O1123" s="86">
        <v>293.63</v>
      </c>
      <c r="P1123" s="135"/>
    </row>
    <row r="1124" spans="1:16" s="21" customFormat="1" outlineLevel="1" x14ac:dyDescent="0.2">
      <c r="A1124" s="161"/>
      <c r="B1124" s="154"/>
      <c r="C1124" s="154"/>
      <c r="D1124" s="154"/>
      <c r="E1124" s="154"/>
      <c r="F1124" s="154"/>
      <c r="G1124" s="154"/>
      <c r="H1124" s="42" t="s">
        <v>6</v>
      </c>
      <c r="I1124" s="41">
        <f>SUM(J1124:O1124)</f>
        <v>32.619999999999997</v>
      </c>
      <c r="J1124" s="86"/>
      <c r="K1124" s="86"/>
      <c r="L1124" s="86"/>
      <c r="M1124" s="86"/>
      <c r="N1124" s="86"/>
      <c r="O1124" s="86">
        <v>32.619999999999997</v>
      </c>
      <c r="P1124" s="135"/>
    </row>
    <row r="1125" spans="1:16" s="21" customFormat="1" outlineLevel="1" x14ac:dyDescent="0.2">
      <c r="A1125" s="161"/>
      <c r="B1125" s="155"/>
      <c r="C1125" s="155"/>
      <c r="D1125" s="155"/>
      <c r="E1125" s="155"/>
      <c r="F1125" s="155"/>
      <c r="G1125" s="155"/>
      <c r="H1125" s="42" t="s">
        <v>5</v>
      </c>
      <c r="I1125" s="86"/>
      <c r="J1125" s="86"/>
      <c r="K1125" s="86"/>
      <c r="L1125" s="86"/>
      <c r="M1125" s="86"/>
      <c r="N1125" s="86"/>
      <c r="O1125" s="86"/>
      <c r="P1125" s="136"/>
    </row>
    <row r="1126" spans="1:16" s="21" customFormat="1" ht="42.75" customHeight="1" outlineLevel="1" x14ac:dyDescent="0.2">
      <c r="A1126" s="161" t="s">
        <v>584</v>
      </c>
      <c r="B1126" s="153" t="s">
        <v>592</v>
      </c>
      <c r="C1126" s="153"/>
      <c r="D1126" s="153" t="s">
        <v>575</v>
      </c>
      <c r="E1126" s="153">
        <v>2023</v>
      </c>
      <c r="F1126" s="153" t="s">
        <v>593</v>
      </c>
      <c r="G1126" s="153" t="s">
        <v>580</v>
      </c>
      <c r="H1126" s="42" t="s">
        <v>3</v>
      </c>
      <c r="I1126" s="41">
        <f>SUM(J1126:O1126)</f>
        <v>50.57</v>
      </c>
      <c r="J1126" s="86">
        <v>0</v>
      </c>
      <c r="K1126" s="86">
        <v>0</v>
      </c>
      <c r="L1126" s="86">
        <f>L1127+L1128+L1129</f>
        <v>0</v>
      </c>
      <c r="M1126" s="86">
        <f>M1127+M1128+M1129</f>
        <v>50.57</v>
      </c>
      <c r="N1126" s="86">
        <f>N1127+N1128+N1129</f>
        <v>0</v>
      </c>
      <c r="O1126" s="86">
        <f>O1127+O1128+O1129</f>
        <v>0</v>
      </c>
      <c r="P1126" s="134">
        <v>50000</v>
      </c>
    </row>
    <row r="1127" spans="1:16" s="21" customFormat="1" outlineLevel="1" x14ac:dyDescent="0.2">
      <c r="A1127" s="161"/>
      <c r="B1127" s="154"/>
      <c r="C1127" s="154"/>
      <c r="D1127" s="154"/>
      <c r="E1127" s="154"/>
      <c r="F1127" s="154"/>
      <c r="G1127" s="154"/>
      <c r="H1127" s="42" t="s">
        <v>4</v>
      </c>
      <c r="I1127" s="41">
        <f>SUM(J1127:O1127)</f>
        <v>45.51</v>
      </c>
      <c r="J1127" s="86"/>
      <c r="K1127" s="86"/>
      <c r="L1127" s="86"/>
      <c r="M1127" s="86">
        <v>45.51</v>
      </c>
      <c r="N1127" s="86"/>
      <c r="O1127" s="86"/>
      <c r="P1127" s="135"/>
    </row>
    <row r="1128" spans="1:16" s="21" customFormat="1" outlineLevel="1" x14ac:dyDescent="0.2">
      <c r="A1128" s="161"/>
      <c r="B1128" s="154"/>
      <c r="C1128" s="154"/>
      <c r="D1128" s="154"/>
      <c r="E1128" s="154"/>
      <c r="F1128" s="154"/>
      <c r="G1128" s="154"/>
      <c r="H1128" s="42" t="s">
        <v>6</v>
      </c>
      <c r="I1128" s="41">
        <f>SUM(J1128:O1128)</f>
        <v>5.0599999999999996</v>
      </c>
      <c r="J1128" s="86"/>
      <c r="K1128" s="86"/>
      <c r="L1128" s="86"/>
      <c r="M1128" s="86">
        <v>5.0599999999999996</v>
      </c>
      <c r="N1128" s="86"/>
      <c r="O1128" s="86"/>
      <c r="P1128" s="135"/>
    </row>
    <row r="1129" spans="1:16" s="21" customFormat="1" outlineLevel="1" x14ac:dyDescent="0.2">
      <c r="A1129" s="161"/>
      <c r="B1129" s="155"/>
      <c r="C1129" s="155"/>
      <c r="D1129" s="155"/>
      <c r="E1129" s="155"/>
      <c r="F1129" s="155"/>
      <c r="G1129" s="155"/>
      <c r="H1129" s="42" t="s">
        <v>5</v>
      </c>
      <c r="I1129" s="86"/>
      <c r="J1129" s="86"/>
      <c r="K1129" s="86"/>
      <c r="L1129" s="86"/>
      <c r="M1129" s="86"/>
      <c r="N1129" s="86"/>
      <c r="O1129" s="86"/>
      <c r="P1129" s="136"/>
    </row>
    <row r="1130" spans="1:16" s="21" customFormat="1" ht="42.75" customHeight="1" outlineLevel="1" x14ac:dyDescent="0.2">
      <c r="A1130" s="161" t="s">
        <v>585</v>
      </c>
      <c r="B1130" s="153" t="s">
        <v>594</v>
      </c>
      <c r="C1130" s="153" t="s">
        <v>574</v>
      </c>
      <c r="D1130" s="153" t="s">
        <v>65</v>
      </c>
      <c r="E1130" s="153">
        <v>2021</v>
      </c>
      <c r="F1130" s="153" t="s">
        <v>595</v>
      </c>
      <c r="G1130" s="153" t="s">
        <v>577</v>
      </c>
      <c r="H1130" s="42" t="s">
        <v>3</v>
      </c>
      <c r="I1130" s="38">
        <f>SUM(J1130:O1130)</f>
        <v>100</v>
      </c>
      <c r="J1130" s="86">
        <f>J1131+J1132+J1133</f>
        <v>0</v>
      </c>
      <c r="K1130" s="40">
        <f>K1131+K1132+K1133</f>
        <v>100</v>
      </c>
      <c r="L1130" s="86">
        <f>L1131+L1132+L1133</f>
        <v>0</v>
      </c>
      <c r="M1130" s="86">
        <v>0</v>
      </c>
      <c r="N1130" s="86">
        <f>N1131+N1132+N1133</f>
        <v>0</v>
      </c>
      <c r="O1130" s="86">
        <f>O1131+O1132+O1133</f>
        <v>0</v>
      </c>
      <c r="P1130" s="134">
        <v>300000</v>
      </c>
    </row>
    <row r="1131" spans="1:16" s="21" customFormat="1" outlineLevel="1" x14ac:dyDescent="0.2">
      <c r="A1131" s="161"/>
      <c r="B1131" s="154"/>
      <c r="C1131" s="154"/>
      <c r="D1131" s="154"/>
      <c r="E1131" s="154"/>
      <c r="F1131" s="154"/>
      <c r="G1131" s="154"/>
      <c r="H1131" s="42" t="s">
        <v>4</v>
      </c>
      <c r="I1131" s="38">
        <f>SUM(J1131:O1131)</f>
        <v>90</v>
      </c>
      <c r="J1131" s="86"/>
      <c r="K1131" s="40">
        <v>90</v>
      </c>
      <c r="L1131" s="86"/>
      <c r="M1131" s="86"/>
      <c r="N1131" s="86"/>
      <c r="O1131" s="86"/>
      <c r="P1131" s="135"/>
    </row>
    <row r="1132" spans="1:16" s="21" customFormat="1" outlineLevel="1" x14ac:dyDescent="0.2">
      <c r="A1132" s="161"/>
      <c r="B1132" s="154"/>
      <c r="C1132" s="154"/>
      <c r="D1132" s="154"/>
      <c r="E1132" s="154"/>
      <c r="F1132" s="154"/>
      <c r="G1132" s="154"/>
      <c r="H1132" s="42" t="s">
        <v>6</v>
      </c>
      <c r="I1132" s="38">
        <f>SUM(J1132:O1132)</f>
        <v>10</v>
      </c>
      <c r="J1132" s="86"/>
      <c r="K1132" s="40">
        <v>10</v>
      </c>
      <c r="L1132" s="86"/>
      <c r="M1132" s="86"/>
      <c r="N1132" s="86"/>
      <c r="O1132" s="86"/>
      <c r="P1132" s="135"/>
    </row>
    <row r="1133" spans="1:16" s="21" customFormat="1" outlineLevel="1" x14ac:dyDescent="0.2">
      <c r="A1133" s="161"/>
      <c r="B1133" s="155"/>
      <c r="C1133" s="155"/>
      <c r="D1133" s="155"/>
      <c r="E1133" s="155"/>
      <c r="F1133" s="155"/>
      <c r="G1133" s="155"/>
      <c r="H1133" s="42" t="s">
        <v>5</v>
      </c>
      <c r="I1133" s="86"/>
      <c r="J1133" s="86"/>
      <c r="K1133" s="86"/>
      <c r="L1133" s="86"/>
      <c r="M1133" s="86"/>
      <c r="N1133" s="86"/>
      <c r="O1133" s="86"/>
      <c r="P1133" s="136"/>
    </row>
    <row r="1134" spans="1:16" s="21" customFormat="1" ht="42.75" customHeight="1" outlineLevel="1" x14ac:dyDescent="0.2">
      <c r="A1134" s="161" t="s">
        <v>586</v>
      </c>
      <c r="B1134" s="153" t="s">
        <v>596</v>
      </c>
      <c r="C1134" s="153" t="s">
        <v>574</v>
      </c>
      <c r="D1134" s="153" t="s">
        <v>65</v>
      </c>
      <c r="E1134" s="153" t="s">
        <v>99</v>
      </c>
      <c r="F1134" s="153" t="s">
        <v>304</v>
      </c>
      <c r="G1134" s="153" t="s">
        <v>138</v>
      </c>
      <c r="H1134" s="42" t="s">
        <v>3</v>
      </c>
      <c r="I1134" s="43">
        <f>SUM(J1134:O1134)</f>
        <v>848</v>
      </c>
      <c r="J1134" s="86">
        <f>J1135+J1136+J1137</f>
        <v>200</v>
      </c>
      <c r="K1134" s="86">
        <f>K1135+K1136+K1137</f>
        <v>300</v>
      </c>
      <c r="L1134" s="86">
        <f>L1135+L1136+L1137</f>
        <v>348</v>
      </c>
      <c r="M1134" s="86">
        <v>0</v>
      </c>
      <c r="N1134" s="86">
        <f>N1135+N1136+N1137</f>
        <v>0</v>
      </c>
      <c r="O1134" s="86">
        <f>O1135+O1136+O1137</f>
        <v>0</v>
      </c>
      <c r="P1134" s="134">
        <v>100000</v>
      </c>
    </row>
    <row r="1135" spans="1:16" s="21" customFormat="1" outlineLevel="1" x14ac:dyDescent="0.2">
      <c r="A1135" s="161"/>
      <c r="B1135" s="154"/>
      <c r="C1135" s="154"/>
      <c r="D1135" s="154"/>
      <c r="E1135" s="154"/>
      <c r="F1135" s="154"/>
      <c r="G1135" s="154"/>
      <c r="H1135" s="42" t="s">
        <v>4</v>
      </c>
      <c r="I1135" s="43">
        <f>SUM(J1135:O1135)</f>
        <v>763.2</v>
      </c>
      <c r="J1135" s="86">
        <v>180</v>
      </c>
      <c r="K1135" s="86">
        <v>270</v>
      </c>
      <c r="L1135" s="86">
        <v>313.2</v>
      </c>
      <c r="M1135" s="86"/>
      <c r="N1135" s="86"/>
      <c r="O1135" s="86"/>
      <c r="P1135" s="135"/>
    </row>
    <row r="1136" spans="1:16" s="21" customFormat="1" outlineLevel="1" x14ac:dyDescent="0.2">
      <c r="A1136" s="161"/>
      <c r="B1136" s="154"/>
      <c r="C1136" s="154"/>
      <c r="D1136" s="154"/>
      <c r="E1136" s="154"/>
      <c r="F1136" s="154"/>
      <c r="G1136" s="154"/>
      <c r="H1136" s="42" t="s">
        <v>6</v>
      </c>
      <c r="I1136" s="43">
        <f>SUM(J1136:O1136)</f>
        <v>84.8</v>
      </c>
      <c r="J1136" s="86">
        <v>20</v>
      </c>
      <c r="K1136" s="86">
        <v>30</v>
      </c>
      <c r="L1136" s="86">
        <v>34.799999999999997</v>
      </c>
      <c r="M1136" s="86"/>
      <c r="N1136" s="86"/>
      <c r="O1136" s="86"/>
      <c r="P1136" s="135"/>
    </row>
    <row r="1137" spans="1:17" s="21" customFormat="1" outlineLevel="1" x14ac:dyDescent="0.2">
      <c r="A1137" s="161"/>
      <c r="B1137" s="155"/>
      <c r="C1137" s="155"/>
      <c r="D1137" s="155"/>
      <c r="E1137" s="155"/>
      <c r="F1137" s="155"/>
      <c r="G1137" s="155"/>
      <c r="H1137" s="42" t="s">
        <v>5</v>
      </c>
      <c r="I1137" s="86"/>
      <c r="J1137" s="86"/>
      <c r="K1137" s="86"/>
      <c r="L1137" s="86"/>
      <c r="M1137" s="86"/>
      <c r="N1137" s="86"/>
      <c r="O1137" s="86"/>
      <c r="P1137" s="136"/>
    </row>
    <row r="1138" spans="1:17" s="21" customFormat="1" ht="42.75" customHeight="1" outlineLevel="1" x14ac:dyDescent="0.2">
      <c r="A1138" s="161" t="s">
        <v>588</v>
      </c>
      <c r="B1138" s="153" t="s">
        <v>597</v>
      </c>
      <c r="C1138" s="79"/>
      <c r="D1138" s="153" t="s">
        <v>65</v>
      </c>
      <c r="E1138" s="153">
        <v>2023</v>
      </c>
      <c r="F1138" s="79"/>
      <c r="G1138" s="162" t="s">
        <v>138</v>
      </c>
      <c r="H1138" s="42" t="s">
        <v>3</v>
      </c>
      <c r="I1138" s="38">
        <f>SUM(J1138:O1138)</f>
        <v>700</v>
      </c>
      <c r="J1138" s="86"/>
      <c r="K1138" s="86">
        <f>K1139+K1140+K1141</f>
        <v>100</v>
      </c>
      <c r="L1138" s="86">
        <f>L1139+L1140+L1141</f>
        <v>300</v>
      </c>
      <c r="M1138" s="86">
        <f>M1139+M1140+M1141</f>
        <v>300</v>
      </c>
      <c r="N1138" s="86"/>
      <c r="O1138" s="86"/>
      <c r="P1138" s="77"/>
    </row>
    <row r="1139" spans="1:17" s="21" customFormat="1" outlineLevel="1" x14ac:dyDescent="0.2">
      <c r="A1139" s="161"/>
      <c r="B1139" s="154"/>
      <c r="C1139" s="79"/>
      <c r="D1139" s="154"/>
      <c r="E1139" s="154"/>
      <c r="F1139" s="79"/>
      <c r="G1139" s="163"/>
      <c r="H1139" s="42" t="s">
        <v>4</v>
      </c>
      <c r="I1139" s="38">
        <f>SUM(J1139:O1139)</f>
        <v>630</v>
      </c>
      <c r="J1139" s="86"/>
      <c r="K1139" s="86">
        <v>90</v>
      </c>
      <c r="L1139" s="86">
        <v>270</v>
      </c>
      <c r="M1139" s="86">
        <v>270</v>
      </c>
      <c r="N1139" s="86"/>
      <c r="O1139" s="86"/>
      <c r="P1139" s="77"/>
    </row>
    <row r="1140" spans="1:17" s="21" customFormat="1" outlineLevel="1" x14ac:dyDescent="0.2">
      <c r="A1140" s="161"/>
      <c r="B1140" s="154"/>
      <c r="C1140" s="79"/>
      <c r="D1140" s="154"/>
      <c r="E1140" s="154"/>
      <c r="F1140" s="79"/>
      <c r="G1140" s="163"/>
      <c r="H1140" s="42" t="s">
        <v>6</v>
      </c>
      <c r="I1140" s="38">
        <f>SUM(J1140:O1140)</f>
        <v>70</v>
      </c>
      <c r="J1140" s="86"/>
      <c r="K1140" s="86">
        <v>10</v>
      </c>
      <c r="L1140" s="86">
        <v>30</v>
      </c>
      <c r="M1140" s="86">
        <v>30</v>
      </c>
      <c r="N1140" s="86"/>
      <c r="O1140" s="86"/>
      <c r="P1140" s="77"/>
    </row>
    <row r="1141" spans="1:17" s="21" customFormat="1" outlineLevel="1" x14ac:dyDescent="0.2">
      <c r="A1141" s="161"/>
      <c r="B1141" s="155"/>
      <c r="C1141" s="79"/>
      <c r="D1141" s="155"/>
      <c r="E1141" s="155"/>
      <c r="F1141" s="79"/>
      <c r="G1141" s="164"/>
      <c r="H1141" s="42" t="s">
        <v>5</v>
      </c>
      <c r="I1141" s="86"/>
      <c r="J1141" s="86"/>
      <c r="K1141" s="86"/>
      <c r="L1141" s="86"/>
      <c r="M1141" s="86"/>
      <c r="N1141" s="86"/>
      <c r="O1141" s="86"/>
      <c r="P1141" s="77"/>
    </row>
    <row r="1142" spans="1:17" s="21" customFormat="1" ht="42.75" customHeight="1" outlineLevel="1" x14ac:dyDescent="0.2">
      <c r="A1142" s="161" t="s">
        <v>589</v>
      </c>
      <c r="B1142" s="153" t="s">
        <v>598</v>
      </c>
      <c r="C1142" s="153"/>
      <c r="D1142" s="153" t="s">
        <v>65</v>
      </c>
      <c r="E1142" s="153">
        <v>2023</v>
      </c>
      <c r="F1142" s="153" t="s">
        <v>599</v>
      </c>
      <c r="G1142" s="153" t="s">
        <v>138</v>
      </c>
      <c r="H1142" s="42" t="s">
        <v>3</v>
      </c>
      <c r="I1142" s="38">
        <f>SUM(J1142:O1142)</f>
        <v>10</v>
      </c>
      <c r="J1142" s="86">
        <f>SUM(J1143:J1145)</f>
        <v>0</v>
      </c>
      <c r="K1142" s="86">
        <f t="shared" ref="K1142:O1142" si="337">SUM(K1143:K1145)</f>
        <v>10</v>
      </c>
      <c r="L1142" s="86">
        <f t="shared" si="337"/>
        <v>0</v>
      </c>
      <c r="M1142" s="86">
        <f t="shared" si="337"/>
        <v>0</v>
      </c>
      <c r="N1142" s="86">
        <f t="shared" si="337"/>
        <v>0</v>
      </c>
      <c r="O1142" s="86">
        <f t="shared" si="337"/>
        <v>0</v>
      </c>
      <c r="P1142" s="134">
        <v>500</v>
      </c>
    </row>
    <row r="1143" spans="1:17" s="21" customFormat="1" outlineLevel="1" x14ac:dyDescent="0.2">
      <c r="A1143" s="161"/>
      <c r="B1143" s="154"/>
      <c r="C1143" s="154"/>
      <c r="D1143" s="154"/>
      <c r="E1143" s="154"/>
      <c r="F1143" s="154"/>
      <c r="G1143" s="154"/>
      <c r="H1143" s="42" t="s">
        <v>4</v>
      </c>
      <c r="I1143" s="86"/>
      <c r="J1143" s="86"/>
      <c r="K1143" s="86"/>
      <c r="L1143" s="86"/>
      <c r="M1143" s="86"/>
      <c r="N1143" s="86"/>
      <c r="O1143" s="86"/>
      <c r="P1143" s="135"/>
    </row>
    <row r="1144" spans="1:17" s="21" customFormat="1" outlineLevel="1" x14ac:dyDescent="0.2">
      <c r="A1144" s="161"/>
      <c r="B1144" s="154"/>
      <c r="C1144" s="154"/>
      <c r="D1144" s="154"/>
      <c r="E1144" s="154"/>
      <c r="F1144" s="154"/>
      <c r="G1144" s="154"/>
      <c r="H1144" s="42" t="s">
        <v>6</v>
      </c>
      <c r="I1144" s="38">
        <f>SUM(J1144:O1144)</f>
        <v>10</v>
      </c>
      <c r="J1144" s="86"/>
      <c r="K1144" s="86">
        <v>10</v>
      </c>
      <c r="L1144" s="86"/>
      <c r="M1144" s="86"/>
      <c r="N1144" s="86"/>
      <c r="O1144" s="86"/>
      <c r="P1144" s="135"/>
    </row>
    <row r="1145" spans="1:17" s="21" customFormat="1" outlineLevel="1" x14ac:dyDescent="0.2">
      <c r="A1145" s="161"/>
      <c r="B1145" s="155"/>
      <c r="C1145" s="155"/>
      <c r="D1145" s="155"/>
      <c r="E1145" s="155"/>
      <c r="F1145" s="155"/>
      <c r="G1145" s="155"/>
      <c r="H1145" s="42" t="s">
        <v>5</v>
      </c>
      <c r="I1145" s="86"/>
      <c r="J1145" s="86"/>
      <c r="K1145" s="86"/>
      <c r="L1145" s="86"/>
      <c r="M1145" s="86"/>
      <c r="N1145" s="86"/>
      <c r="O1145" s="86"/>
      <c r="P1145" s="136"/>
    </row>
    <row r="1146" spans="1:17" s="21" customFormat="1" ht="42.75" customHeight="1" outlineLevel="1" x14ac:dyDescent="0.2">
      <c r="A1146" s="161" t="s">
        <v>590</v>
      </c>
      <c r="B1146" s="153" t="s">
        <v>600</v>
      </c>
      <c r="C1146" s="153"/>
      <c r="D1146" s="153" t="s">
        <v>65</v>
      </c>
      <c r="E1146" s="153">
        <v>2023</v>
      </c>
      <c r="F1146" s="153" t="s">
        <v>601</v>
      </c>
      <c r="G1146" s="153" t="s">
        <v>138</v>
      </c>
      <c r="H1146" s="42" t="s">
        <v>3</v>
      </c>
      <c r="I1146" s="38">
        <f>SUM(J1146:O1146)</f>
        <v>10</v>
      </c>
      <c r="J1146" s="86">
        <f>SUM(J1147:J1149)</f>
        <v>0</v>
      </c>
      <c r="K1146" s="86">
        <f t="shared" ref="K1146:O1146" si="338">SUM(K1147:K1149)</f>
        <v>10</v>
      </c>
      <c r="L1146" s="86">
        <f t="shared" si="338"/>
        <v>0</v>
      </c>
      <c r="M1146" s="86">
        <f t="shared" si="338"/>
        <v>0</v>
      </c>
      <c r="N1146" s="86">
        <f t="shared" si="338"/>
        <v>0</v>
      </c>
      <c r="O1146" s="86">
        <f t="shared" si="338"/>
        <v>0</v>
      </c>
      <c r="P1146" s="134">
        <v>500</v>
      </c>
    </row>
    <row r="1147" spans="1:17" s="21" customFormat="1" outlineLevel="1" x14ac:dyDescent="0.2">
      <c r="A1147" s="161"/>
      <c r="B1147" s="154"/>
      <c r="C1147" s="154"/>
      <c r="D1147" s="154"/>
      <c r="E1147" s="154"/>
      <c r="F1147" s="154"/>
      <c r="G1147" s="154"/>
      <c r="H1147" s="42" t="s">
        <v>4</v>
      </c>
      <c r="I1147" s="86"/>
      <c r="J1147" s="86"/>
      <c r="K1147" s="86"/>
      <c r="L1147" s="86"/>
      <c r="M1147" s="86"/>
      <c r="N1147" s="86"/>
      <c r="O1147" s="86"/>
      <c r="P1147" s="135"/>
    </row>
    <row r="1148" spans="1:17" s="21" customFormat="1" outlineLevel="1" x14ac:dyDescent="0.2">
      <c r="A1148" s="161"/>
      <c r="B1148" s="154"/>
      <c r="C1148" s="154"/>
      <c r="D1148" s="154"/>
      <c r="E1148" s="154"/>
      <c r="F1148" s="154"/>
      <c r="G1148" s="154"/>
      <c r="H1148" s="42" t="s">
        <v>6</v>
      </c>
      <c r="I1148" s="38">
        <f>SUM(J1148:O1148)</f>
        <v>10</v>
      </c>
      <c r="J1148" s="86"/>
      <c r="K1148" s="86">
        <v>10</v>
      </c>
      <c r="L1148" s="86"/>
      <c r="M1148" s="86"/>
      <c r="N1148" s="86"/>
      <c r="O1148" s="86"/>
      <c r="P1148" s="135"/>
    </row>
    <row r="1149" spans="1:17" s="21" customFormat="1" outlineLevel="1" x14ac:dyDescent="0.2">
      <c r="A1149" s="161"/>
      <c r="B1149" s="155"/>
      <c r="C1149" s="155"/>
      <c r="D1149" s="155"/>
      <c r="E1149" s="155"/>
      <c r="F1149" s="155"/>
      <c r="G1149" s="155"/>
      <c r="H1149" s="42" t="s">
        <v>5</v>
      </c>
      <c r="I1149" s="86"/>
      <c r="J1149" s="86"/>
      <c r="K1149" s="86"/>
      <c r="L1149" s="86"/>
      <c r="M1149" s="86"/>
      <c r="N1149" s="86"/>
      <c r="O1149" s="86"/>
      <c r="P1149" s="136"/>
    </row>
    <row r="1150" spans="1:17" ht="42.75" x14ac:dyDescent="0.2">
      <c r="B1150" s="128" t="s">
        <v>76</v>
      </c>
      <c r="C1150" s="128" t="s">
        <v>38</v>
      </c>
      <c r="D1150" s="128" t="s">
        <v>38</v>
      </c>
      <c r="E1150" s="128" t="s">
        <v>38</v>
      </c>
      <c r="F1150" s="128" t="s">
        <v>38</v>
      </c>
      <c r="G1150" s="128" t="s">
        <v>38</v>
      </c>
      <c r="H1150" s="84" t="s">
        <v>3</v>
      </c>
      <c r="I1150" s="14">
        <f t="shared" ref="I1150:O1150" si="339">SUMIF($H$1058:$H$1149,"Объем*",I$1058:I$1149)</f>
        <v>18081.830000000002</v>
      </c>
      <c r="J1150" s="14">
        <f t="shared" si="339"/>
        <v>200</v>
      </c>
      <c r="K1150" s="14">
        <f t="shared" si="339"/>
        <v>1370</v>
      </c>
      <c r="L1150" s="14">
        <f t="shared" si="339"/>
        <v>1599.06</v>
      </c>
      <c r="M1150" s="14">
        <f t="shared" si="339"/>
        <v>3046.06</v>
      </c>
      <c r="N1150" s="14">
        <f t="shared" si="339"/>
        <v>6116.01</v>
      </c>
      <c r="O1150" s="14">
        <f t="shared" si="339"/>
        <v>5750.7</v>
      </c>
      <c r="P1150" s="128"/>
      <c r="Q1150" s="15"/>
    </row>
    <row r="1151" spans="1:17" ht="15.75" x14ac:dyDescent="0.2">
      <c r="B1151" s="129"/>
      <c r="C1151" s="129"/>
      <c r="D1151" s="129"/>
      <c r="E1151" s="129"/>
      <c r="F1151" s="129"/>
      <c r="G1151" s="129"/>
      <c r="H1151" s="84" t="s">
        <v>4</v>
      </c>
      <c r="I1151" s="14">
        <f t="shared" ref="I1151:O1151" si="340">SUMIF($H$1058:$H$1149,"фед*",I$1058:I$1149)</f>
        <v>15626.53</v>
      </c>
      <c r="J1151" s="14">
        <f t="shared" si="340"/>
        <v>180</v>
      </c>
      <c r="K1151" s="14">
        <f t="shared" si="340"/>
        <v>1220</v>
      </c>
      <c r="L1151" s="14">
        <f t="shared" si="340"/>
        <v>1335.03</v>
      </c>
      <c r="M1151" s="14">
        <f t="shared" si="340"/>
        <v>2461.4500000000003</v>
      </c>
      <c r="N1151" s="14">
        <f t="shared" si="340"/>
        <v>5334.41</v>
      </c>
      <c r="O1151" s="14">
        <f t="shared" si="340"/>
        <v>5095.6399999999994</v>
      </c>
      <c r="P1151" s="129"/>
      <c r="Q1151" s="15"/>
    </row>
    <row r="1152" spans="1:17" ht="15.75" x14ac:dyDescent="0.2">
      <c r="B1152" s="129"/>
      <c r="C1152" s="129"/>
      <c r="D1152" s="129"/>
      <c r="E1152" s="129"/>
      <c r="F1152" s="129"/>
      <c r="G1152" s="129"/>
      <c r="H1152" s="84" t="s">
        <v>6</v>
      </c>
      <c r="I1152" s="14">
        <f t="shared" ref="I1152:O1152" si="341">SUMIF($H$1058:$H$1149,"конс*",I$1058:I$1149)</f>
        <v>2455.3000000000002</v>
      </c>
      <c r="J1152" s="14">
        <f t="shared" si="341"/>
        <v>20</v>
      </c>
      <c r="K1152" s="14">
        <f t="shared" si="341"/>
        <v>150</v>
      </c>
      <c r="L1152" s="14">
        <f t="shared" si="341"/>
        <v>264.02999999999997</v>
      </c>
      <c r="M1152" s="14">
        <f t="shared" si="341"/>
        <v>584.6099999999999</v>
      </c>
      <c r="N1152" s="14">
        <f t="shared" si="341"/>
        <v>781.59999999999991</v>
      </c>
      <c r="O1152" s="14">
        <f t="shared" si="341"/>
        <v>655.05999999999995</v>
      </c>
      <c r="P1152" s="129"/>
      <c r="Q1152" s="15"/>
    </row>
    <row r="1153" spans="2:17" ht="15.75" x14ac:dyDescent="0.2">
      <c r="B1153" s="130"/>
      <c r="C1153" s="130"/>
      <c r="D1153" s="130"/>
      <c r="E1153" s="130"/>
      <c r="F1153" s="130"/>
      <c r="G1153" s="130"/>
      <c r="H1153" s="84" t="s">
        <v>5</v>
      </c>
      <c r="I1153" s="14">
        <f t="shared" ref="I1153:O1153" si="342">SUMIF($H$1058:$H$1149,"вне*",I$1058:I$1149)</f>
        <v>0</v>
      </c>
      <c r="J1153" s="14">
        <f t="shared" si="342"/>
        <v>0</v>
      </c>
      <c r="K1153" s="14">
        <f t="shared" si="342"/>
        <v>0</v>
      </c>
      <c r="L1153" s="14">
        <f t="shared" si="342"/>
        <v>0</v>
      </c>
      <c r="M1153" s="14">
        <f t="shared" si="342"/>
        <v>0</v>
      </c>
      <c r="N1153" s="14">
        <f t="shared" si="342"/>
        <v>0</v>
      </c>
      <c r="O1153" s="14">
        <f t="shared" si="342"/>
        <v>0</v>
      </c>
      <c r="P1153" s="130"/>
      <c r="Q1153" s="15"/>
    </row>
    <row r="1154" spans="2:17" ht="25.5" customHeight="1" x14ac:dyDescent="0.2">
      <c r="B1154" s="111" t="s">
        <v>602</v>
      </c>
      <c r="C1154" s="112"/>
      <c r="D1154" s="112"/>
      <c r="E1154" s="112"/>
      <c r="F1154" s="112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3"/>
      <c r="Q1154" s="15"/>
    </row>
    <row r="1155" spans="2:17" s="21" customFormat="1" ht="45" customHeight="1" outlineLevel="1" x14ac:dyDescent="0.2">
      <c r="B1155" s="139" t="s">
        <v>603</v>
      </c>
      <c r="C1155" s="139"/>
      <c r="D1155" s="139" t="s">
        <v>604</v>
      </c>
      <c r="E1155" s="139" t="s">
        <v>171</v>
      </c>
      <c r="F1155" s="139" t="s">
        <v>605</v>
      </c>
      <c r="G1155" s="139" t="s">
        <v>606</v>
      </c>
      <c r="H1155" s="19" t="s">
        <v>3</v>
      </c>
      <c r="I1155" s="20">
        <f>SUM(J1155:O1155)</f>
        <v>144</v>
      </c>
      <c r="J1155" s="20">
        <f t="shared" ref="J1155:O1155" si="343">J1156+J1157+J1158</f>
        <v>24.8</v>
      </c>
      <c r="K1155" s="20">
        <f t="shared" si="343"/>
        <v>24</v>
      </c>
      <c r="L1155" s="20">
        <f t="shared" si="343"/>
        <v>24</v>
      </c>
      <c r="M1155" s="20">
        <f t="shared" si="343"/>
        <v>24</v>
      </c>
      <c r="N1155" s="20">
        <f t="shared" si="343"/>
        <v>24</v>
      </c>
      <c r="O1155" s="20">
        <f t="shared" si="343"/>
        <v>23.2</v>
      </c>
      <c r="P1155" s="139">
        <v>28000</v>
      </c>
    </row>
    <row r="1156" spans="2:17" s="21" customFormat="1" outlineLevel="1" x14ac:dyDescent="0.2">
      <c r="B1156" s="140"/>
      <c r="C1156" s="132"/>
      <c r="D1156" s="140"/>
      <c r="E1156" s="140"/>
      <c r="F1156" s="140"/>
      <c r="G1156" s="140"/>
      <c r="H1156" s="19" t="s">
        <v>4</v>
      </c>
      <c r="I1156" s="20"/>
      <c r="J1156" s="20"/>
      <c r="K1156" s="20"/>
      <c r="L1156" s="20"/>
      <c r="M1156" s="20"/>
      <c r="N1156" s="20"/>
      <c r="O1156" s="20"/>
      <c r="P1156" s="140"/>
    </row>
    <row r="1157" spans="2:17" s="21" customFormat="1" outlineLevel="1" x14ac:dyDescent="0.2">
      <c r="B1157" s="140"/>
      <c r="C1157" s="132"/>
      <c r="D1157" s="140"/>
      <c r="E1157" s="140"/>
      <c r="F1157" s="140"/>
      <c r="G1157" s="140"/>
      <c r="H1157" s="19" t="s">
        <v>6</v>
      </c>
      <c r="I1157" s="20">
        <f>SUM(J1157:O1157)</f>
        <v>144</v>
      </c>
      <c r="J1157" s="20">
        <v>24.8</v>
      </c>
      <c r="K1157" s="20">
        <v>24</v>
      </c>
      <c r="L1157" s="20">
        <v>24</v>
      </c>
      <c r="M1157" s="20">
        <v>24</v>
      </c>
      <c r="N1157" s="20">
        <v>24</v>
      </c>
      <c r="O1157" s="20">
        <v>23.2</v>
      </c>
      <c r="P1157" s="140"/>
    </row>
    <row r="1158" spans="2:17" s="21" customFormat="1" outlineLevel="1" x14ac:dyDescent="0.2">
      <c r="B1158" s="141"/>
      <c r="C1158" s="133"/>
      <c r="D1158" s="141"/>
      <c r="E1158" s="141"/>
      <c r="F1158" s="141"/>
      <c r="G1158" s="141"/>
      <c r="H1158" s="19" t="s">
        <v>5</v>
      </c>
      <c r="I1158" s="20"/>
      <c r="J1158" s="20"/>
      <c r="K1158" s="20"/>
      <c r="L1158" s="20"/>
      <c r="M1158" s="20"/>
      <c r="N1158" s="20"/>
      <c r="O1158" s="20"/>
      <c r="P1158" s="141"/>
    </row>
    <row r="1159" spans="2:17" s="21" customFormat="1" ht="44.25" customHeight="1" outlineLevel="1" x14ac:dyDescent="0.2">
      <c r="B1159" s="139" t="s">
        <v>607</v>
      </c>
      <c r="C1159" s="139"/>
      <c r="D1159" s="139" t="s">
        <v>604</v>
      </c>
      <c r="E1159" s="139">
        <v>2020</v>
      </c>
      <c r="F1159" s="139">
        <v>0.9</v>
      </c>
      <c r="G1159" s="139" t="s">
        <v>606</v>
      </c>
      <c r="H1159" s="19" t="s">
        <v>3</v>
      </c>
      <c r="I1159" s="20">
        <f>SUM(J1159:O1159)</f>
        <v>26.5</v>
      </c>
      <c r="J1159" s="20">
        <f t="shared" ref="J1159:O1159" si="344">J1160+J1161+J1162</f>
        <v>26.5</v>
      </c>
      <c r="K1159" s="20">
        <f t="shared" si="344"/>
        <v>0</v>
      </c>
      <c r="L1159" s="20">
        <f t="shared" si="344"/>
        <v>0</v>
      </c>
      <c r="M1159" s="20">
        <f t="shared" si="344"/>
        <v>0</v>
      </c>
      <c r="N1159" s="20">
        <f t="shared" si="344"/>
        <v>0</v>
      </c>
      <c r="O1159" s="20">
        <f t="shared" si="344"/>
        <v>0</v>
      </c>
      <c r="P1159" s="139"/>
    </row>
    <row r="1160" spans="2:17" s="21" customFormat="1" outlineLevel="1" x14ac:dyDescent="0.2">
      <c r="B1160" s="140"/>
      <c r="C1160" s="132"/>
      <c r="D1160" s="140"/>
      <c r="E1160" s="140"/>
      <c r="F1160" s="140"/>
      <c r="G1160" s="140"/>
      <c r="H1160" s="19" t="s">
        <v>4</v>
      </c>
      <c r="I1160" s="20"/>
      <c r="J1160" s="20"/>
      <c r="K1160" s="20"/>
      <c r="L1160" s="20"/>
      <c r="M1160" s="20"/>
      <c r="N1160" s="20"/>
      <c r="O1160" s="20"/>
      <c r="P1160" s="140"/>
    </row>
    <row r="1161" spans="2:17" s="21" customFormat="1" outlineLevel="1" x14ac:dyDescent="0.2">
      <c r="B1161" s="140"/>
      <c r="C1161" s="132"/>
      <c r="D1161" s="140"/>
      <c r="E1161" s="140"/>
      <c r="F1161" s="140"/>
      <c r="G1161" s="140"/>
      <c r="H1161" s="19" t="s">
        <v>6</v>
      </c>
      <c r="I1161" s="20">
        <f>SUM(J1161:O1161)</f>
        <v>26.5</v>
      </c>
      <c r="J1161" s="20">
        <v>26.5</v>
      </c>
      <c r="K1161" s="20"/>
      <c r="L1161" s="20"/>
      <c r="M1161" s="20"/>
      <c r="N1161" s="20"/>
      <c r="O1161" s="20"/>
      <c r="P1161" s="140"/>
    </row>
    <row r="1162" spans="2:17" s="21" customFormat="1" outlineLevel="1" x14ac:dyDescent="0.2">
      <c r="B1162" s="141"/>
      <c r="C1162" s="133"/>
      <c r="D1162" s="141"/>
      <c r="E1162" s="141"/>
      <c r="F1162" s="141"/>
      <c r="G1162" s="141"/>
      <c r="H1162" s="19" t="s">
        <v>5</v>
      </c>
      <c r="I1162" s="20"/>
      <c r="J1162" s="20"/>
      <c r="K1162" s="20"/>
      <c r="L1162" s="20"/>
      <c r="M1162" s="20"/>
      <c r="N1162" s="20"/>
      <c r="O1162" s="20"/>
      <c r="P1162" s="141"/>
    </row>
    <row r="1163" spans="2:17" s="21" customFormat="1" ht="44.25" customHeight="1" outlineLevel="1" x14ac:dyDescent="0.2">
      <c r="B1163" s="139" t="s">
        <v>608</v>
      </c>
      <c r="C1163" s="139"/>
      <c r="D1163" s="139" t="s">
        <v>604</v>
      </c>
      <c r="E1163" s="139">
        <v>2021</v>
      </c>
      <c r="F1163" s="139"/>
      <c r="G1163" s="139" t="s">
        <v>606</v>
      </c>
      <c r="H1163" s="19" t="s">
        <v>3</v>
      </c>
      <c r="I1163" s="20">
        <f>SUM(J1163:O1163)</f>
        <v>26.5</v>
      </c>
      <c r="J1163" s="20">
        <f t="shared" ref="J1163:O1163" si="345">J1164+J1165+J1166</f>
        <v>0</v>
      </c>
      <c r="K1163" s="20">
        <f t="shared" si="345"/>
        <v>26.5</v>
      </c>
      <c r="L1163" s="20">
        <f t="shared" si="345"/>
        <v>0</v>
      </c>
      <c r="M1163" s="20">
        <f t="shared" si="345"/>
        <v>0</v>
      </c>
      <c r="N1163" s="20">
        <f t="shared" si="345"/>
        <v>0</v>
      </c>
      <c r="O1163" s="20">
        <f t="shared" si="345"/>
        <v>0</v>
      </c>
      <c r="P1163" s="139"/>
    </row>
    <row r="1164" spans="2:17" s="21" customFormat="1" outlineLevel="1" x14ac:dyDescent="0.2">
      <c r="B1164" s="140"/>
      <c r="C1164" s="132"/>
      <c r="D1164" s="140"/>
      <c r="E1164" s="140"/>
      <c r="F1164" s="140"/>
      <c r="G1164" s="140"/>
      <c r="H1164" s="19" t="s">
        <v>4</v>
      </c>
      <c r="I1164" s="20"/>
      <c r="J1164" s="20"/>
      <c r="K1164" s="20"/>
      <c r="L1164" s="20"/>
      <c r="M1164" s="20"/>
      <c r="N1164" s="20"/>
      <c r="O1164" s="20"/>
      <c r="P1164" s="140"/>
    </row>
    <row r="1165" spans="2:17" s="21" customFormat="1" outlineLevel="1" x14ac:dyDescent="0.2">
      <c r="B1165" s="140"/>
      <c r="C1165" s="132"/>
      <c r="D1165" s="140"/>
      <c r="E1165" s="140"/>
      <c r="F1165" s="140"/>
      <c r="G1165" s="140"/>
      <c r="H1165" s="19" t="s">
        <v>6</v>
      </c>
      <c r="I1165" s="20">
        <f>SUM(J1165:O1165)</f>
        <v>26.5</v>
      </c>
      <c r="J1165" s="20"/>
      <c r="K1165" s="20">
        <v>26.5</v>
      </c>
      <c r="L1165" s="20"/>
      <c r="M1165" s="20"/>
      <c r="N1165" s="20"/>
      <c r="O1165" s="20"/>
      <c r="P1165" s="140"/>
    </row>
    <row r="1166" spans="2:17" s="21" customFormat="1" outlineLevel="1" x14ac:dyDescent="0.2">
      <c r="B1166" s="141"/>
      <c r="C1166" s="133"/>
      <c r="D1166" s="141"/>
      <c r="E1166" s="141"/>
      <c r="F1166" s="141"/>
      <c r="G1166" s="141"/>
      <c r="H1166" s="19" t="s">
        <v>5</v>
      </c>
      <c r="I1166" s="20"/>
      <c r="J1166" s="20"/>
      <c r="K1166" s="20"/>
      <c r="L1166" s="20"/>
      <c r="M1166" s="20"/>
      <c r="N1166" s="20"/>
      <c r="O1166" s="20"/>
      <c r="P1166" s="141"/>
    </row>
    <row r="1167" spans="2:17" s="21" customFormat="1" ht="44.25" customHeight="1" outlineLevel="1" x14ac:dyDescent="0.2">
      <c r="B1167" s="139" t="s">
        <v>609</v>
      </c>
      <c r="C1167" s="139"/>
      <c r="D1167" s="139" t="s">
        <v>604</v>
      </c>
      <c r="E1167" s="139">
        <v>2022</v>
      </c>
      <c r="F1167" s="139"/>
      <c r="G1167" s="139" t="s">
        <v>606</v>
      </c>
      <c r="H1167" s="19" t="s">
        <v>3</v>
      </c>
      <c r="I1167" s="20">
        <f>SUM(J1167:O1167)</f>
        <v>26.5</v>
      </c>
      <c r="J1167" s="20">
        <f t="shared" ref="J1167:O1167" si="346">J1168+J1169+J1170</f>
        <v>0</v>
      </c>
      <c r="K1167" s="20">
        <f t="shared" si="346"/>
        <v>0</v>
      </c>
      <c r="L1167" s="20">
        <f t="shared" si="346"/>
        <v>26.5</v>
      </c>
      <c r="M1167" s="20">
        <f t="shared" si="346"/>
        <v>0</v>
      </c>
      <c r="N1167" s="20">
        <f t="shared" si="346"/>
        <v>0</v>
      </c>
      <c r="O1167" s="20">
        <f t="shared" si="346"/>
        <v>0</v>
      </c>
      <c r="P1167" s="139"/>
    </row>
    <row r="1168" spans="2:17" s="21" customFormat="1" outlineLevel="1" x14ac:dyDescent="0.2">
      <c r="B1168" s="140"/>
      <c r="C1168" s="132"/>
      <c r="D1168" s="140"/>
      <c r="E1168" s="140"/>
      <c r="F1168" s="140"/>
      <c r="G1168" s="140"/>
      <c r="H1168" s="19" t="s">
        <v>4</v>
      </c>
      <c r="I1168" s="20"/>
      <c r="J1168" s="20"/>
      <c r="K1168" s="20"/>
      <c r="L1168" s="20"/>
      <c r="M1168" s="20"/>
      <c r="N1168" s="20"/>
      <c r="O1168" s="20"/>
      <c r="P1168" s="140"/>
    </row>
    <row r="1169" spans="2:17" s="21" customFormat="1" outlineLevel="1" x14ac:dyDescent="0.2">
      <c r="B1169" s="140"/>
      <c r="C1169" s="132"/>
      <c r="D1169" s="140"/>
      <c r="E1169" s="140"/>
      <c r="F1169" s="140"/>
      <c r="G1169" s="140"/>
      <c r="H1169" s="19" t="s">
        <v>6</v>
      </c>
      <c r="I1169" s="20">
        <f>SUM(J1169:O1169)</f>
        <v>26.5</v>
      </c>
      <c r="J1169" s="20"/>
      <c r="K1169" s="20"/>
      <c r="L1169" s="20">
        <v>26.5</v>
      </c>
      <c r="M1169" s="20"/>
      <c r="N1169" s="20"/>
      <c r="O1169" s="20"/>
      <c r="P1169" s="140"/>
    </row>
    <row r="1170" spans="2:17" s="21" customFormat="1" outlineLevel="1" x14ac:dyDescent="0.2">
      <c r="B1170" s="141"/>
      <c r="C1170" s="133"/>
      <c r="D1170" s="141"/>
      <c r="E1170" s="141"/>
      <c r="F1170" s="141"/>
      <c r="G1170" s="141"/>
      <c r="H1170" s="19" t="s">
        <v>5</v>
      </c>
      <c r="I1170" s="20"/>
      <c r="J1170" s="20"/>
      <c r="K1170" s="20"/>
      <c r="L1170" s="20"/>
      <c r="M1170" s="20"/>
      <c r="N1170" s="20"/>
      <c r="O1170" s="20"/>
      <c r="P1170" s="141"/>
    </row>
    <row r="1171" spans="2:17" s="21" customFormat="1" ht="44.25" customHeight="1" outlineLevel="1" x14ac:dyDescent="0.2">
      <c r="B1171" s="139" t="s">
        <v>610</v>
      </c>
      <c r="C1171" s="139"/>
      <c r="D1171" s="139" t="s">
        <v>604</v>
      </c>
      <c r="E1171" s="139" t="s">
        <v>171</v>
      </c>
      <c r="F1171" s="139" t="s">
        <v>611</v>
      </c>
      <c r="G1171" s="139" t="s">
        <v>606</v>
      </c>
      <c r="H1171" s="19" t="s">
        <v>3</v>
      </c>
      <c r="I1171" s="20">
        <f>SUM(J1171:O1171)</f>
        <v>192.4</v>
      </c>
      <c r="J1171" s="20">
        <f t="shared" ref="J1171:O1171" si="347">J1172+J1173+J1174</f>
        <v>31.4</v>
      </c>
      <c r="K1171" s="20">
        <f t="shared" si="347"/>
        <v>31</v>
      </c>
      <c r="L1171" s="20">
        <f t="shared" si="347"/>
        <v>32</v>
      </c>
      <c r="M1171" s="20">
        <f t="shared" si="347"/>
        <v>32</v>
      </c>
      <c r="N1171" s="20">
        <f t="shared" si="347"/>
        <v>33</v>
      </c>
      <c r="O1171" s="20">
        <f t="shared" si="347"/>
        <v>33</v>
      </c>
      <c r="P1171" s="139">
        <v>28000</v>
      </c>
    </row>
    <row r="1172" spans="2:17" s="21" customFormat="1" outlineLevel="1" x14ac:dyDescent="0.2">
      <c r="B1172" s="140"/>
      <c r="C1172" s="132"/>
      <c r="D1172" s="140"/>
      <c r="E1172" s="140"/>
      <c r="F1172" s="140"/>
      <c r="G1172" s="140"/>
      <c r="H1172" s="19" t="s">
        <v>4</v>
      </c>
      <c r="I1172" s="20"/>
      <c r="J1172" s="20"/>
      <c r="K1172" s="20"/>
      <c r="L1172" s="20"/>
      <c r="M1172" s="20"/>
      <c r="N1172" s="20"/>
      <c r="O1172" s="20"/>
      <c r="P1172" s="140"/>
    </row>
    <row r="1173" spans="2:17" s="21" customFormat="1" outlineLevel="1" x14ac:dyDescent="0.2">
      <c r="B1173" s="140"/>
      <c r="C1173" s="132"/>
      <c r="D1173" s="140"/>
      <c r="E1173" s="140"/>
      <c r="F1173" s="140"/>
      <c r="G1173" s="140"/>
      <c r="H1173" s="19" t="s">
        <v>6</v>
      </c>
      <c r="I1173" s="20">
        <f>SUM(J1173:O1173)</f>
        <v>192.4</v>
      </c>
      <c r="J1173" s="20">
        <v>31.4</v>
      </c>
      <c r="K1173" s="20">
        <v>31</v>
      </c>
      <c r="L1173" s="20">
        <v>32</v>
      </c>
      <c r="M1173" s="20">
        <v>32</v>
      </c>
      <c r="N1173" s="20">
        <v>33</v>
      </c>
      <c r="O1173" s="20">
        <v>33</v>
      </c>
      <c r="P1173" s="140"/>
    </row>
    <row r="1174" spans="2:17" s="21" customFormat="1" outlineLevel="1" x14ac:dyDescent="0.2">
      <c r="B1174" s="141"/>
      <c r="C1174" s="133"/>
      <c r="D1174" s="141"/>
      <c r="E1174" s="141"/>
      <c r="F1174" s="141"/>
      <c r="G1174" s="141"/>
      <c r="H1174" s="19" t="s">
        <v>5</v>
      </c>
      <c r="I1174" s="20"/>
      <c r="J1174" s="20"/>
      <c r="K1174" s="20"/>
      <c r="L1174" s="20"/>
      <c r="M1174" s="20"/>
      <c r="N1174" s="20"/>
      <c r="O1174" s="20"/>
      <c r="P1174" s="141"/>
    </row>
    <row r="1175" spans="2:17" ht="42.75" x14ac:dyDescent="0.2">
      <c r="B1175" s="128" t="s">
        <v>612</v>
      </c>
      <c r="C1175" s="128" t="s">
        <v>38</v>
      </c>
      <c r="D1175" s="128" t="s">
        <v>38</v>
      </c>
      <c r="E1175" s="128" t="s">
        <v>38</v>
      </c>
      <c r="F1175" s="128" t="s">
        <v>38</v>
      </c>
      <c r="G1175" s="128" t="s">
        <v>38</v>
      </c>
      <c r="H1175" s="84" t="s">
        <v>3</v>
      </c>
      <c r="I1175" s="14">
        <f t="shared" ref="I1175:O1175" si="348">SUMIF($H$1155:$H$1174,"Объем*",I$1155:I$1174)</f>
        <v>415.9</v>
      </c>
      <c r="J1175" s="14">
        <f t="shared" si="348"/>
        <v>82.699999999999989</v>
      </c>
      <c r="K1175" s="14">
        <f t="shared" si="348"/>
        <v>81.5</v>
      </c>
      <c r="L1175" s="14">
        <f t="shared" si="348"/>
        <v>82.5</v>
      </c>
      <c r="M1175" s="14">
        <f t="shared" si="348"/>
        <v>56</v>
      </c>
      <c r="N1175" s="14">
        <f t="shared" si="348"/>
        <v>57</v>
      </c>
      <c r="O1175" s="14">
        <f t="shared" si="348"/>
        <v>56.2</v>
      </c>
      <c r="P1175" s="128"/>
      <c r="Q1175" s="7"/>
    </row>
    <row r="1176" spans="2:17" ht="15.75" x14ac:dyDescent="0.2">
      <c r="B1176" s="129"/>
      <c r="C1176" s="129"/>
      <c r="D1176" s="129"/>
      <c r="E1176" s="129"/>
      <c r="F1176" s="129"/>
      <c r="G1176" s="129"/>
      <c r="H1176" s="84" t="s">
        <v>4</v>
      </c>
      <c r="I1176" s="14">
        <f t="shared" ref="I1176:O1176" si="349">SUMIF($H$1155:$H$1174,"фед*",I$1155:I$1174)</f>
        <v>0</v>
      </c>
      <c r="J1176" s="14">
        <f t="shared" si="349"/>
        <v>0</v>
      </c>
      <c r="K1176" s="14">
        <f t="shared" si="349"/>
        <v>0</v>
      </c>
      <c r="L1176" s="14">
        <f t="shared" si="349"/>
        <v>0</v>
      </c>
      <c r="M1176" s="14">
        <f t="shared" si="349"/>
        <v>0</v>
      </c>
      <c r="N1176" s="14">
        <f t="shared" si="349"/>
        <v>0</v>
      </c>
      <c r="O1176" s="14">
        <f t="shared" si="349"/>
        <v>0</v>
      </c>
      <c r="P1176" s="129"/>
    </row>
    <row r="1177" spans="2:17" ht="15.75" x14ac:dyDescent="0.2">
      <c r="B1177" s="129"/>
      <c r="C1177" s="129"/>
      <c r="D1177" s="129"/>
      <c r="E1177" s="129"/>
      <c r="F1177" s="129"/>
      <c r="G1177" s="129"/>
      <c r="H1177" s="84" t="s">
        <v>6</v>
      </c>
      <c r="I1177" s="14">
        <f t="shared" ref="I1177:O1177" si="350">SUMIF($H$1155:$H$1174,"конс*",I$1155:I$1174)</f>
        <v>415.9</v>
      </c>
      <c r="J1177" s="14">
        <f t="shared" si="350"/>
        <v>82.699999999999989</v>
      </c>
      <c r="K1177" s="14">
        <f t="shared" si="350"/>
        <v>81.5</v>
      </c>
      <c r="L1177" s="14">
        <f t="shared" si="350"/>
        <v>82.5</v>
      </c>
      <c r="M1177" s="14">
        <f t="shared" si="350"/>
        <v>56</v>
      </c>
      <c r="N1177" s="14">
        <f t="shared" si="350"/>
        <v>57</v>
      </c>
      <c r="O1177" s="14">
        <f t="shared" si="350"/>
        <v>56.2</v>
      </c>
      <c r="P1177" s="129"/>
    </row>
    <row r="1178" spans="2:17" ht="15.75" x14ac:dyDescent="0.2">
      <c r="B1178" s="130"/>
      <c r="C1178" s="130"/>
      <c r="D1178" s="130"/>
      <c r="E1178" s="130"/>
      <c r="F1178" s="130"/>
      <c r="G1178" s="130"/>
      <c r="H1178" s="84" t="s">
        <v>5</v>
      </c>
      <c r="I1178" s="14">
        <f t="shared" ref="I1178:O1178" si="351">SUMIF($H$1155:$H$1174,"вне*",I$1155:I$1174)</f>
        <v>0</v>
      </c>
      <c r="J1178" s="14">
        <f t="shared" si="351"/>
        <v>0</v>
      </c>
      <c r="K1178" s="14">
        <f t="shared" si="351"/>
        <v>0</v>
      </c>
      <c r="L1178" s="14">
        <f t="shared" si="351"/>
        <v>0</v>
      </c>
      <c r="M1178" s="14">
        <f t="shared" si="351"/>
        <v>0</v>
      </c>
      <c r="N1178" s="14">
        <f t="shared" si="351"/>
        <v>0</v>
      </c>
      <c r="O1178" s="14">
        <f t="shared" si="351"/>
        <v>0</v>
      </c>
      <c r="P1178" s="130"/>
    </row>
    <row r="1179" spans="2:17" ht="25.5" customHeight="1" x14ac:dyDescent="0.2">
      <c r="B1179" s="111" t="s">
        <v>613</v>
      </c>
      <c r="C1179" s="112"/>
      <c r="D1179" s="112"/>
      <c r="E1179" s="112"/>
      <c r="F1179" s="112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3"/>
    </row>
    <row r="1180" spans="2:17" s="21" customFormat="1" ht="42.75" outlineLevel="1" x14ac:dyDescent="0.2">
      <c r="B1180" s="139" t="s">
        <v>614</v>
      </c>
      <c r="C1180" s="139"/>
      <c r="D1180" s="139"/>
      <c r="E1180" s="139" t="s">
        <v>615</v>
      </c>
      <c r="F1180" s="139"/>
      <c r="G1180" s="139" t="s">
        <v>83</v>
      </c>
      <c r="H1180" s="19" t="s">
        <v>3</v>
      </c>
      <c r="I1180" s="20">
        <f>SUM(J1180:O1180)</f>
        <v>544.9</v>
      </c>
      <c r="J1180" s="20">
        <f t="shared" ref="J1180:O1180" si="352">J1181+J1182+J1183</f>
        <v>150.19999999999999</v>
      </c>
      <c r="K1180" s="20">
        <f t="shared" si="352"/>
        <v>166.2</v>
      </c>
      <c r="L1180" s="20">
        <f t="shared" si="352"/>
        <v>228.5</v>
      </c>
      <c r="M1180" s="20">
        <f t="shared" si="352"/>
        <v>0</v>
      </c>
      <c r="N1180" s="20">
        <f t="shared" si="352"/>
        <v>0</v>
      </c>
      <c r="O1180" s="20">
        <f t="shared" si="352"/>
        <v>0</v>
      </c>
      <c r="P1180" s="139"/>
    </row>
    <row r="1181" spans="2:17" s="21" customFormat="1" outlineLevel="1" x14ac:dyDescent="0.2">
      <c r="B1181" s="140"/>
      <c r="C1181" s="132"/>
      <c r="D1181" s="140"/>
      <c r="E1181" s="140"/>
      <c r="F1181" s="140"/>
      <c r="G1181" s="140"/>
      <c r="H1181" s="19" t="s">
        <v>4</v>
      </c>
      <c r="I1181" s="20">
        <f t="shared" ref="I1181:I1207" si="353">SUM(J1181:O1181)</f>
        <v>0</v>
      </c>
      <c r="J1181" s="36"/>
      <c r="K1181" s="36"/>
      <c r="L1181" s="36"/>
      <c r="M1181" s="36"/>
      <c r="N1181" s="36"/>
      <c r="O1181" s="36"/>
      <c r="P1181" s="140"/>
    </row>
    <row r="1182" spans="2:17" s="21" customFormat="1" outlineLevel="1" x14ac:dyDescent="0.2">
      <c r="B1182" s="140"/>
      <c r="C1182" s="132"/>
      <c r="D1182" s="140"/>
      <c r="E1182" s="140"/>
      <c r="F1182" s="140"/>
      <c r="G1182" s="140"/>
      <c r="H1182" s="19" t="s">
        <v>6</v>
      </c>
      <c r="I1182" s="20">
        <f t="shared" si="353"/>
        <v>544.9</v>
      </c>
      <c r="J1182" s="36">
        <v>150.19999999999999</v>
      </c>
      <c r="K1182" s="36">
        <v>166.2</v>
      </c>
      <c r="L1182" s="36">
        <v>228.5</v>
      </c>
      <c r="M1182" s="36"/>
      <c r="N1182" s="36"/>
      <c r="O1182" s="36"/>
      <c r="P1182" s="140"/>
    </row>
    <row r="1183" spans="2:17" s="21" customFormat="1" outlineLevel="1" x14ac:dyDescent="0.2">
      <c r="B1183" s="141"/>
      <c r="C1183" s="133"/>
      <c r="D1183" s="141"/>
      <c r="E1183" s="141"/>
      <c r="F1183" s="141"/>
      <c r="G1183" s="141"/>
      <c r="H1183" s="19" t="s">
        <v>5</v>
      </c>
      <c r="I1183" s="20">
        <f t="shared" si="353"/>
        <v>0</v>
      </c>
      <c r="J1183" s="36"/>
      <c r="K1183" s="36"/>
      <c r="L1183" s="36"/>
      <c r="M1183" s="36"/>
      <c r="N1183" s="36"/>
      <c r="O1183" s="36"/>
      <c r="P1183" s="141"/>
    </row>
    <row r="1184" spans="2:17" s="21" customFormat="1" ht="126.75" customHeight="1" outlineLevel="1" x14ac:dyDescent="0.2">
      <c r="B1184" s="139" t="s">
        <v>616</v>
      </c>
      <c r="C1184" s="139"/>
      <c r="D1184" s="139"/>
      <c r="E1184" s="139" t="s">
        <v>615</v>
      </c>
      <c r="F1184" s="139"/>
      <c r="G1184" s="139" t="s">
        <v>83</v>
      </c>
      <c r="H1184" s="19" t="s">
        <v>3</v>
      </c>
      <c r="I1184" s="20">
        <f t="shared" si="353"/>
        <v>383.5</v>
      </c>
      <c r="J1184" s="20">
        <f t="shared" ref="J1184:O1184" si="354">J1185+J1186+J1187</f>
        <v>174.3</v>
      </c>
      <c r="K1184" s="20">
        <f t="shared" si="354"/>
        <v>102.39999999999999</v>
      </c>
      <c r="L1184" s="20">
        <f t="shared" si="354"/>
        <v>106.80000000000001</v>
      </c>
      <c r="M1184" s="20">
        <f t="shared" si="354"/>
        <v>0</v>
      </c>
      <c r="N1184" s="20">
        <f t="shared" si="354"/>
        <v>0</v>
      </c>
      <c r="O1184" s="20">
        <f t="shared" si="354"/>
        <v>0</v>
      </c>
      <c r="P1184" s="139"/>
    </row>
    <row r="1185" spans="2:16" s="21" customFormat="1" outlineLevel="1" x14ac:dyDescent="0.2">
      <c r="B1185" s="140"/>
      <c r="C1185" s="132"/>
      <c r="D1185" s="140"/>
      <c r="E1185" s="140"/>
      <c r="F1185" s="140"/>
      <c r="G1185" s="140"/>
      <c r="H1185" s="19" t="s">
        <v>4</v>
      </c>
      <c r="I1185" s="20">
        <f t="shared" si="353"/>
        <v>295</v>
      </c>
      <c r="J1185" s="36">
        <v>98.3</v>
      </c>
      <c r="K1185" s="36">
        <v>96.3</v>
      </c>
      <c r="L1185" s="36">
        <v>100.4</v>
      </c>
      <c r="M1185" s="36"/>
      <c r="N1185" s="36"/>
      <c r="O1185" s="36"/>
      <c r="P1185" s="140"/>
    </row>
    <row r="1186" spans="2:16" s="21" customFormat="1" outlineLevel="1" x14ac:dyDescent="0.2">
      <c r="B1186" s="140"/>
      <c r="C1186" s="132"/>
      <c r="D1186" s="140"/>
      <c r="E1186" s="140"/>
      <c r="F1186" s="140"/>
      <c r="G1186" s="140"/>
      <c r="H1186" s="19" t="s">
        <v>6</v>
      </c>
      <c r="I1186" s="20">
        <f t="shared" si="353"/>
        <v>88.5</v>
      </c>
      <c r="J1186" s="36">
        <v>76</v>
      </c>
      <c r="K1186" s="36">
        <v>6.1</v>
      </c>
      <c r="L1186" s="36">
        <v>6.4</v>
      </c>
      <c r="M1186" s="36"/>
      <c r="N1186" s="36"/>
      <c r="O1186" s="36"/>
      <c r="P1186" s="140"/>
    </row>
    <row r="1187" spans="2:16" s="21" customFormat="1" ht="24" customHeight="1" outlineLevel="1" x14ac:dyDescent="0.2">
      <c r="B1187" s="141"/>
      <c r="C1187" s="133"/>
      <c r="D1187" s="141"/>
      <c r="E1187" s="141"/>
      <c r="F1187" s="141"/>
      <c r="G1187" s="141"/>
      <c r="H1187" s="19" t="s">
        <v>5</v>
      </c>
      <c r="I1187" s="20">
        <f t="shared" si="353"/>
        <v>0</v>
      </c>
      <c r="J1187" s="36"/>
      <c r="K1187" s="36"/>
      <c r="L1187" s="36"/>
      <c r="M1187" s="36"/>
      <c r="N1187" s="36"/>
      <c r="O1187" s="36"/>
      <c r="P1187" s="141"/>
    </row>
    <row r="1188" spans="2:16" s="21" customFormat="1" ht="42.75" outlineLevel="1" x14ac:dyDescent="0.2">
      <c r="B1188" s="139" t="s">
        <v>617</v>
      </c>
      <c r="C1188" s="139"/>
      <c r="D1188" s="139"/>
      <c r="E1188" s="139" t="s">
        <v>615</v>
      </c>
      <c r="F1188" s="139"/>
      <c r="G1188" s="139" t="s">
        <v>83</v>
      </c>
      <c r="H1188" s="19" t="s">
        <v>3</v>
      </c>
      <c r="I1188" s="20">
        <f t="shared" si="353"/>
        <v>330</v>
      </c>
      <c r="J1188" s="20">
        <f t="shared" ref="J1188:O1188" si="355">J1189+J1190+J1191</f>
        <v>110</v>
      </c>
      <c r="K1188" s="20">
        <f t="shared" si="355"/>
        <v>110</v>
      </c>
      <c r="L1188" s="20">
        <f t="shared" si="355"/>
        <v>110</v>
      </c>
      <c r="M1188" s="20">
        <f t="shared" si="355"/>
        <v>0</v>
      </c>
      <c r="N1188" s="20">
        <f t="shared" si="355"/>
        <v>0</v>
      </c>
      <c r="O1188" s="20">
        <f t="shared" si="355"/>
        <v>0</v>
      </c>
      <c r="P1188" s="139"/>
    </row>
    <row r="1189" spans="2:16" s="21" customFormat="1" outlineLevel="1" x14ac:dyDescent="0.2">
      <c r="B1189" s="139"/>
      <c r="C1189" s="139"/>
      <c r="D1189" s="139"/>
      <c r="E1189" s="139"/>
      <c r="F1189" s="139"/>
      <c r="G1189" s="139"/>
      <c r="H1189" s="19" t="s">
        <v>4</v>
      </c>
      <c r="I1189" s="20">
        <f t="shared" si="353"/>
        <v>0</v>
      </c>
      <c r="J1189" s="36"/>
      <c r="K1189" s="36"/>
      <c r="L1189" s="36"/>
      <c r="M1189" s="36"/>
      <c r="N1189" s="36"/>
      <c r="O1189" s="36"/>
      <c r="P1189" s="140"/>
    </row>
    <row r="1190" spans="2:16" s="21" customFormat="1" outlineLevel="1" x14ac:dyDescent="0.2">
      <c r="B1190" s="139"/>
      <c r="C1190" s="139"/>
      <c r="D1190" s="139"/>
      <c r="E1190" s="139"/>
      <c r="F1190" s="139"/>
      <c r="G1190" s="139"/>
      <c r="H1190" s="19" t="s">
        <v>6</v>
      </c>
      <c r="I1190" s="20">
        <f t="shared" si="353"/>
        <v>330</v>
      </c>
      <c r="J1190" s="36">
        <v>110</v>
      </c>
      <c r="K1190" s="36">
        <v>110</v>
      </c>
      <c r="L1190" s="36">
        <v>110</v>
      </c>
      <c r="M1190" s="36"/>
      <c r="N1190" s="36"/>
      <c r="O1190" s="36"/>
      <c r="P1190" s="140"/>
    </row>
    <row r="1191" spans="2:16" s="21" customFormat="1" outlineLevel="1" x14ac:dyDescent="0.2">
      <c r="B1191" s="139"/>
      <c r="C1191" s="139"/>
      <c r="D1191" s="139"/>
      <c r="E1191" s="139"/>
      <c r="F1191" s="139"/>
      <c r="G1191" s="139"/>
      <c r="H1191" s="19" t="s">
        <v>5</v>
      </c>
      <c r="I1191" s="20">
        <f t="shared" si="353"/>
        <v>0</v>
      </c>
      <c r="J1191" s="36"/>
      <c r="K1191" s="36"/>
      <c r="L1191" s="36"/>
      <c r="M1191" s="36"/>
      <c r="N1191" s="36"/>
      <c r="O1191" s="36"/>
      <c r="P1191" s="141"/>
    </row>
    <row r="1192" spans="2:16" s="21" customFormat="1" ht="42.75" outlineLevel="1" x14ac:dyDescent="0.2">
      <c r="B1192" s="139" t="s">
        <v>618</v>
      </c>
      <c r="C1192" s="139"/>
      <c r="D1192" s="139"/>
      <c r="E1192" s="139" t="s">
        <v>615</v>
      </c>
      <c r="F1192" s="139"/>
      <c r="G1192" s="139" t="s">
        <v>83</v>
      </c>
      <c r="H1192" s="19" t="s">
        <v>3</v>
      </c>
      <c r="I1192" s="20">
        <f t="shared" si="353"/>
        <v>37</v>
      </c>
      <c r="J1192" s="20">
        <f t="shared" ref="J1192:O1192" si="356">J1193+J1194+J1195</f>
        <v>15</v>
      </c>
      <c r="K1192" s="20">
        <f t="shared" si="356"/>
        <v>11</v>
      </c>
      <c r="L1192" s="20">
        <f t="shared" si="356"/>
        <v>11</v>
      </c>
      <c r="M1192" s="20">
        <f t="shared" si="356"/>
        <v>0</v>
      </c>
      <c r="N1192" s="20">
        <f t="shared" si="356"/>
        <v>0</v>
      </c>
      <c r="O1192" s="20">
        <f t="shared" si="356"/>
        <v>0</v>
      </c>
      <c r="P1192" s="139"/>
    </row>
    <row r="1193" spans="2:16" s="21" customFormat="1" outlineLevel="1" x14ac:dyDescent="0.2">
      <c r="B1193" s="140"/>
      <c r="C1193" s="132"/>
      <c r="D1193" s="140"/>
      <c r="E1193" s="140"/>
      <c r="F1193" s="140"/>
      <c r="G1193" s="139"/>
      <c r="H1193" s="19" t="s">
        <v>4</v>
      </c>
      <c r="I1193" s="20">
        <f t="shared" si="353"/>
        <v>0</v>
      </c>
      <c r="J1193" s="20"/>
      <c r="K1193" s="20"/>
      <c r="L1193" s="20"/>
      <c r="M1193" s="20"/>
      <c r="N1193" s="20"/>
      <c r="O1193" s="20"/>
      <c r="P1193" s="140"/>
    </row>
    <row r="1194" spans="2:16" s="21" customFormat="1" outlineLevel="1" x14ac:dyDescent="0.2">
      <c r="B1194" s="140"/>
      <c r="C1194" s="132"/>
      <c r="D1194" s="140"/>
      <c r="E1194" s="140"/>
      <c r="F1194" s="140"/>
      <c r="G1194" s="139"/>
      <c r="H1194" s="19" t="s">
        <v>6</v>
      </c>
      <c r="I1194" s="20">
        <f t="shared" si="353"/>
        <v>37</v>
      </c>
      <c r="J1194" s="20">
        <v>15</v>
      </c>
      <c r="K1194" s="20">
        <v>11</v>
      </c>
      <c r="L1194" s="20">
        <v>11</v>
      </c>
      <c r="M1194" s="20"/>
      <c r="N1194" s="20"/>
      <c r="O1194" s="20"/>
      <c r="P1194" s="140"/>
    </row>
    <row r="1195" spans="2:16" s="21" customFormat="1" outlineLevel="1" x14ac:dyDescent="0.2">
      <c r="B1195" s="141"/>
      <c r="C1195" s="133"/>
      <c r="D1195" s="141"/>
      <c r="E1195" s="141"/>
      <c r="F1195" s="141"/>
      <c r="G1195" s="139"/>
      <c r="H1195" s="19" t="s">
        <v>5</v>
      </c>
      <c r="I1195" s="20">
        <f t="shared" si="353"/>
        <v>0</v>
      </c>
      <c r="J1195" s="20"/>
      <c r="K1195" s="20"/>
      <c r="L1195" s="20"/>
      <c r="M1195" s="20"/>
      <c r="N1195" s="20"/>
      <c r="O1195" s="20"/>
      <c r="P1195" s="141"/>
    </row>
    <row r="1196" spans="2:16" s="21" customFormat="1" ht="42.75" outlineLevel="1" x14ac:dyDescent="0.2">
      <c r="B1196" s="139" t="s">
        <v>619</v>
      </c>
      <c r="C1196" s="139" t="s">
        <v>620</v>
      </c>
      <c r="D1196" s="139"/>
      <c r="E1196" s="139" t="s">
        <v>615</v>
      </c>
      <c r="F1196" s="139"/>
      <c r="G1196" s="139" t="s">
        <v>83</v>
      </c>
      <c r="H1196" s="19" t="s">
        <v>3</v>
      </c>
      <c r="I1196" s="20">
        <f t="shared" si="353"/>
        <v>404.6</v>
      </c>
      <c r="J1196" s="20">
        <f t="shared" ref="J1196:O1196" si="357">J1197+J1198+J1199</f>
        <v>94.2</v>
      </c>
      <c r="K1196" s="20">
        <f t="shared" si="357"/>
        <v>110.4</v>
      </c>
      <c r="L1196" s="20">
        <f t="shared" si="357"/>
        <v>200</v>
      </c>
      <c r="M1196" s="20">
        <f t="shared" si="357"/>
        <v>0</v>
      </c>
      <c r="N1196" s="20">
        <f t="shared" si="357"/>
        <v>0</v>
      </c>
      <c r="O1196" s="20">
        <f t="shared" si="357"/>
        <v>0</v>
      </c>
      <c r="P1196" s="139"/>
    </row>
    <row r="1197" spans="2:16" s="21" customFormat="1" outlineLevel="1" x14ac:dyDescent="0.2">
      <c r="B1197" s="140"/>
      <c r="C1197" s="132"/>
      <c r="D1197" s="140"/>
      <c r="E1197" s="140"/>
      <c r="F1197" s="140"/>
      <c r="G1197" s="140"/>
      <c r="H1197" s="19" t="s">
        <v>4</v>
      </c>
      <c r="I1197" s="20">
        <f t="shared" si="353"/>
        <v>0</v>
      </c>
      <c r="J1197" s="20"/>
      <c r="K1197" s="20"/>
      <c r="L1197" s="20"/>
      <c r="M1197" s="20"/>
      <c r="N1197" s="20"/>
      <c r="O1197" s="20"/>
      <c r="P1197" s="140"/>
    </row>
    <row r="1198" spans="2:16" s="21" customFormat="1" outlineLevel="1" x14ac:dyDescent="0.2">
      <c r="B1198" s="140"/>
      <c r="C1198" s="132"/>
      <c r="D1198" s="140"/>
      <c r="E1198" s="140"/>
      <c r="F1198" s="140"/>
      <c r="G1198" s="140"/>
      <c r="H1198" s="19" t="s">
        <v>6</v>
      </c>
      <c r="I1198" s="20">
        <f t="shared" si="353"/>
        <v>404.6</v>
      </c>
      <c r="J1198" s="20">
        <v>94.2</v>
      </c>
      <c r="K1198" s="20">
        <v>110.4</v>
      </c>
      <c r="L1198" s="20">
        <v>200</v>
      </c>
      <c r="M1198" s="20"/>
      <c r="N1198" s="20"/>
      <c r="O1198" s="20"/>
      <c r="P1198" s="140"/>
    </row>
    <row r="1199" spans="2:16" s="21" customFormat="1" outlineLevel="1" x14ac:dyDescent="0.2">
      <c r="B1199" s="141"/>
      <c r="C1199" s="133"/>
      <c r="D1199" s="141"/>
      <c r="E1199" s="141"/>
      <c r="F1199" s="141"/>
      <c r="G1199" s="141"/>
      <c r="H1199" s="19" t="s">
        <v>5</v>
      </c>
      <c r="I1199" s="20">
        <f t="shared" si="353"/>
        <v>0</v>
      </c>
      <c r="J1199" s="20"/>
      <c r="K1199" s="20"/>
      <c r="L1199" s="20"/>
      <c r="M1199" s="20"/>
      <c r="N1199" s="20"/>
      <c r="O1199" s="20"/>
      <c r="P1199" s="141"/>
    </row>
    <row r="1200" spans="2:16" s="21" customFormat="1" ht="42.75" outlineLevel="1" x14ac:dyDescent="0.2">
      <c r="B1200" s="139" t="s">
        <v>621</v>
      </c>
      <c r="C1200" s="139" t="s">
        <v>620</v>
      </c>
      <c r="D1200" s="139"/>
      <c r="E1200" s="139" t="s">
        <v>615</v>
      </c>
      <c r="F1200" s="139"/>
      <c r="G1200" s="139" t="s">
        <v>83</v>
      </c>
      <c r="H1200" s="19" t="s">
        <v>3</v>
      </c>
      <c r="I1200" s="20">
        <f t="shared" si="353"/>
        <v>2236.1880000000001</v>
      </c>
      <c r="J1200" s="20">
        <f t="shared" ref="J1200:O1200" si="358">J1201+J1202+J1203</f>
        <v>527</v>
      </c>
      <c r="K1200" s="20">
        <f t="shared" si="358"/>
        <v>805.6880000000001</v>
      </c>
      <c r="L1200" s="20">
        <f t="shared" si="358"/>
        <v>903.5</v>
      </c>
      <c r="M1200" s="20">
        <f t="shared" si="358"/>
        <v>0</v>
      </c>
      <c r="N1200" s="20">
        <f t="shared" si="358"/>
        <v>0</v>
      </c>
      <c r="O1200" s="20">
        <f t="shared" si="358"/>
        <v>0</v>
      </c>
      <c r="P1200" s="139"/>
    </row>
    <row r="1201" spans="2:17" s="21" customFormat="1" outlineLevel="1" x14ac:dyDescent="0.2">
      <c r="B1201" s="140"/>
      <c r="C1201" s="132"/>
      <c r="D1201" s="140"/>
      <c r="E1201" s="140"/>
      <c r="F1201" s="140"/>
      <c r="G1201" s="140"/>
      <c r="H1201" s="19" t="s">
        <v>4</v>
      </c>
      <c r="I1201" s="20">
        <f t="shared" si="353"/>
        <v>740.40000000000009</v>
      </c>
      <c r="J1201" s="20">
        <v>292.8</v>
      </c>
      <c r="K1201" s="20">
        <v>447.6</v>
      </c>
      <c r="L1201" s="20"/>
      <c r="M1201" s="20"/>
      <c r="N1201" s="20"/>
      <c r="O1201" s="20"/>
      <c r="P1201" s="140"/>
    </row>
    <row r="1202" spans="2:17" s="21" customFormat="1" outlineLevel="1" x14ac:dyDescent="0.2">
      <c r="B1202" s="140"/>
      <c r="C1202" s="132"/>
      <c r="D1202" s="140"/>
      <c r="E1202" s="140"/>
      <c r="F1202" s="140"/>
      <c r="G1202" s="140"/>
      <c r="H1202" s="19" t="s">
        <v>6</v>
      </c>
      <c r="I1202" s="20">
        <f t="shared" si="353"/>
        <v>1495.788</v>
      </c>
      <c r="J1202" s="20">
        <v>234.2</v>
      </c>
      <c r="K1202" s="20">
        <v>358.08800000000002</v>
      </c>
      <c r="L1202" s="20">
        <v>903.5</v>
      </c>
      <c r="M1202" s="20"/>
      <c r="N1202" s="20"/>
      <c r="O1202" s="20"/>
      <c r="P1202" s="140"/>
    </row>
    <row r="1203" spans="2:17" s="21" customFormat="1" outlineLevel="1" x14ac:dyDescent="0.2">
      <c r="B1203" s="141"/>
      <c r="C1203" s="133"/>
      <c r="D1203" s="141"/>
      <c r="E1203" s="141"/>
      <c r="F1203" s="141"/>
      <c r="G1203" s="141"/>
      <c r="H1203" s="19" t="s">
        <v>5</v>
      </c>
      <c r="I1203" s="20">
        <f t="shared" si="353"/>
        <v>0</v>
      </c>
      <c r="J1203" s="20"/>
      <c r="K1203" s="20"/>
      <c r="L1203" s="20"/>
      <c r="M1203" s="20"/>
      <c r="N1203" s="20"/>
      <c r="O1203" s="20"/>
      <c r="P1203" s="141"/>
    </row>
    <row r="1204" spans="2:17" s="21" customFormat="1" ht="42.75" outlineLevel="1" x14ac:dyDescent="0.2">
      <c r="B1204" s="139" t="s">
        <v>622</v>
      </c>
      <c r="C1204" s="139" t="s">
        <v>623</v>
      </c>
      <c r="D1204" s="139"/>
      <c r="E1204" s="139" t="s">
        <v>615</v>
      </c>
      <c r="F1204" s="139"/>
      <c r="G1204" s="139" t="s">
        <v>83</v>
      </c>
      <c r="H1204" s="19" t="s">
        <v>3</v>
      </c>
      <c r="I1204" s="20">
        <f t="shared" si="353"/>
        <v>148.5</v>
      </c>
      <c r="J1204" s="20">
        <f t="shared" ref="J1204:O1204" si="359">J1205+J1206+J1207</f>
        <v>49.5</v>
      </c>
      <c r="K1204" s="20">
        <f t="shared" si="359"/>
        <v>49.5</v>
      </c>
      <c r="L1204" s="20">
        <f t="shared" si="359"/>
        <v>49.5</v>
      </c>
      <c r="M1204" s="20">
        <f t="shared" si="359"/>
        <v>0</v>
      </c>
      <c r="N1204" s="20">
        <f t="shared" si="359"/>
        <v>0</v>
      </c>
      <c r="O1204" s="20">
        <f t="shared" si="359"/>
        <v>0</v>
      </c>
      <c r="P1204" s="139"/>
    </row>
    <row r="1205" spans="2:17" s="21" customFormat="1" outlineLevel="1" x14ac:dyDescent="0.2">
      <c r="B1205" s="140"/>
      <c r="C1205" s="132"/>
      <c r="D1205" s="140"/>
      <c r="E1205" s="140"/>
      <c r="F1205" s="140"/>
      <c r="G1205" s="140"/>
      <c r="H1205" s="19" t="s">
        <v>4</v>
      </c>
      <c r="I1205" s="20">
        <f t="shared" si="353"/>
        <v>0</v>
      </c>
      <c r="J1205" s="20"/>
      <c r="K1205" s="20"/>
      <c r="L1205" s="20"/>
      <c r="M1205" s="20"/>
      <c r="N1205" s="20"/>
      <c r="O1205" s="20"/>
      <c r="P1205" s="140"/>
    </row>
    <row r="1206" spans="2:17" s="21" customFormat="1" outlineLevel="1" x14ac:dyDescent="0.2">
      <c r="B1206" s="140"/>
      <c r="C1206" s="132"/>
      <c r="D1206" s="140"/>
      <c r="E1206" s="140"/>
      <c r="F1206" s="140"/>
      <c r="G1206" s="140"/>
      <c r="H1206" s="19" t="s">
        <v>6</v>
      </c>
      <c r="I1206" s="20">
        <f t="shared" si="353"/>
        <v>148.5</v>
      </c>
      <c r="J1206" s="20">
        <v>49.5</v>
      </c>
      <c r="K1206" s="20">
        <v>49.5</v>
      </c>
      <c r="L1206" s="20">
        <v>49.5</v>
      </c>
      <c r="M1206" s="20"/>
      <c r="N1206" s="20"/>
      <c r="O1206" s="20"/>
      <c r="P1206" s="140"/>
    </row>
    <row r="1207" spans="2:17" s="21" customFormat="1" outlineLevel="1" x14ac:dyDescent="0.2">
      <c r="B1207" s="141"/>
      <c r="C1207" s="133"/>
      <c r="D1207" s="141"/>
      <c r="E1207" s="141"/>
      <c r="F1207" s="141"/>
      <c r="G1207" s="141"/>
      <c r="H1207" s="19" t="s">
        <v>5</v>
      </c>
      <c r="I1207" s="20">
        <f t="shared" si="353"/>
        <v>0</v>
      </c>
      <c r="J1207" s="20"/>
      <c r="K1207" s="20"/>
      <c r="L1207" s="20"/>
      <c r="M1207" s="20"/>
      <c r="N1207" s="20"/>
      <c r="O1207" s="20"/>
      <c r="P1207" s="141"/>
    </row>
    <row r="1208" spans="2:17" ht="42.75" x14ac:dyDescent="0.2">
      <c r="B1208" s="128" t="s">
        <v>624</v>
      </c>
      <c r="C1208" s="128" t="s">
        <v>38</v>
      </c>
      <c r="D1208" s="128" t="s">
        <v>38</v>
      </c>
      <c r="E1208" s="128" t="s">
        <v>38</v>
      </c>
      <c r="F1208" s="128" t="s">
        <v>38</v>
      </c>
      <c r="G1208" s="128" t="s">
        <v>38</v>
      </c>
      <c r="H1208" s="84" t="s">
        <v>3</v>
      </c>
      <c r="I1208" s="44">
        <f t="shared" ref="I1208:O1208" si="360">SUMIF($H$1180:$H$1207,"Объем*",I$1180:I$1207)</f>
        <v>4084.6880000000001</v>
      </c>
      <c r="J1208" s="44">
        <f t="shared" si="360"/>
        <v>1120.2</v>
      </c>
      <c r="K1208" s="44">
        <f t="shared" si="360"/>
        <v>1355.1880000000001</v>
      </c>
      <c r="L1208" s="44">
        <f t="shared" si="360"/>
        <v>1609.3</v>
      </c>
      <c r="M1208" s="44">
        <f t="shared" si="360"/>
        <v>0</v>
      </c>
      <c r="N1208" s="44">
        <f t="shared" si="360"/>
        <v>0</v>
      </c>
      <c r="O1208" s="44">
        <f t="shared" si="360"/>
        <v>0</v>
      </c>
      <c r="P1208" s="128"/>
      <c r="Q1208" s="7"/>
    </row>
    <row r="1209" spans="2:17" ht="15.75" x14ac:dyDescent="0.2">
      <c r="B1209" s="129"/>
      <c r="C1209" s="129"/>
      <c r="D1209" s="129"/>
      <c r="E1209" s="129"/>
      <c r="F1209" s="129"/>
      <c r="G1209" s="129"/>
      <c r="H1209" s="84" t="s">
        <v>4</v>
      </c>
      <c r="I1209" s="44">
        <f t="shared" ref="I1209:O1209" si="361">SUMIF($H$1180:$H$1207,"фед*",I$1180:I$1207)</f>
        <v>1035.4000000000001</v>
      </c>
      <c r="J1209" s="44">
        <f t="shared" si="361"/>
        <v>391.1</v>
      </c>
      <c r="K1209" s="44">
        <f t="shared" si="361"/>
        <v>543.9</v>
      </c>
      <c r="L1209" s="44">
        <f t="shared" si="361"/>
        <v>100.4</v>
      </c>
      <c r="M1209" s="44">
        <f t="shared" si="361"/>
        <v>0</v>
      </c>
      <c r="N1209" s="44">
        <f t="shared" si="361"/>
        <v>0</v>
      </c>
      <c r="O1209" s="44">
        <f t="shared" si="361"/>
        <v>0</v>
      </c>
      <c r="P1209" s="129"/>
      <c r="Q1209" s="7"/>
    </row>
    <row r="1210" spans="2:17" ht="15.75" x14ac:dyDescent="0.2">
      <c r="B1210" s="129"/>
      <c r="C1210" s="129"/>
      <c r="D1210" s="129"/>
      <c r="E1210" s="129"/>
      <c r="F1210" s="129"/>
      <c r="G1210" s="129"/>
      <c r="H1210" s="84" t="s">
        <v>6</v>
      </c>
      <c r="I1210" s="44">
        <f t="shared" ref="I1210:O1210" si="362">SUMIF($H$1180:$H$1207,"конс*",I$1180:I$1207)</f>
        <v>3049.288</v>
      </c>
      <c r="J1210" s="44">
        <f t="shared" si="362"/>
        <v>729.09999999999991</v>
      </c>
      <c r="K1210" s="44">
        <f t="shared" si="362"/>
        <v>811.28800000000001</v>
      </c>
      <c r="L1210" s="44">
        <f t="shared" si="362"/>
        <v>1508.9</v>
      </c>
      <c r="M1210" s="44">
        <f t="shared" si="362"/>
        <v>0</v>
      </c>
      <c r="N1210" s="44">
        <f t="shared" si="362"/>
        <v>0</v>
      </c>
      <c r="O1210" s="44">
        <f t="shared" si="362"/>
        <v>0</v>
      </c>
      <c r="P1210" s="129"/>
      <c r="Q1210" s="7"/>
    </row>
    <row r="1211" spans="2:17" ht="15.75" x14ac:dyDescent="0.2">
      <c r="B1211" s="130"/>
      <c r="C1211" s="130"/>
      <c r="D1211" s="130"/>
      <c r="E1211" s="130"/>
      <c r="F1211" s="130"/>
      <c r="G1211" s="130"/>
      <c r="H1211" s="84" t="s">
        <v>5</v>
      </c>
      <c r="I1211" s="14">
        <f t="shared" ref="I1211:O1211" si="363">SUMIF($H$1180:$H$1207,"вне*",I$1180:I$1207)</f>
        <v>0</v>
      </c>
      <c r="J1211" s="14">
        <f t="shared" si="363"/>
        <v>0</v>
      </c>
      <c r="K1211" s="14">
        <f t="shared" si="363"/>
        <v>0</v>
      </c>
      <c r="L1211" s="14">
        <f t="shared" si="363"/>
        <v>0</v>
      </c>
      <c r="M1211" s="14">
        <f t="shared" si="363"/>
        <v>0</v>
      </c>
      <c r="N1211" s="14">
        <f t="shared" si="363"/>
        <v>0</v>
      </c>
      <c r="O1211" s="14">
        <f t="shared" si="363"/>
        <v>0</v>
      </c>
      <c r="P1211" s="130"/>
      <c r="Q1211" s="7"/>
    </row>
    <row r="1212" spans="2:17" ht="42.75" x14ac:dyDescent="0.2">
      <c r="B1212" s="128" t="s">
        <v>77</v>
      </c>
      <c r="C1212" s="128" t="s">
        <v>38</v>
      </c>
      <c r="D1212" s="128" t="s">
        <v>38</v>
      </c>
      <c r="E1212" s="128" t="s">
        <v>38</v>
      </c>
      <c r="F1212" s="128" t="s">
        <v>38</v>
      </c>
      <c r="G1212" s="128" t="s">
        <v>38</v>
      </c>
      <c r="H1212" s="84" t="s">
        <v>3</v>
      </c>
      <c r="I1212" s="14">
        <f t="shared" ref="I1212:O1215" si="364">I18+I51+I156+I185+I238+I295+I448+I521+I554+I567+I584+I601+I722+I739+I768+I809+I818+I875+I928+I953+I978+I1003+I1044+I1053+I1150+I1175+I1208</f>
        <v>31409.569200000005</v>
      </c>
      <c r="J1212" s="14">
        <f t="shared" si="364"/>
        <v>2053.4812000000002</v>
      </c>
      <c r="K1212" s="14">
        <f t="shared" si="364"/>
        <v>4429.2920000000004</v>
      </c>
      <c r="L1212" s="14">
        <f t="shared" si="364"/>
        <v>4785.067</v>
      </c>
      <c r="M1212" s="14">
        <f t="shared" si="364"/>
        <v>6209.8289999999997</v>
      </c>
      <c r="N1212" s="14">
        <f t="shared" si="364"/>
        <v>7336.1500000000005</v>
      </c>
      <c r="O1212" s="14">
        <f t="shared" si="364"/>
        <v>6595.75</v>
      </c>
      <c r="P1212" s="128"/>
      <c r="Q1212" s="7"/>
    </row>
    <row r="1213" spans="2:17" ht="15.75" x14ac:dyDescent="0.2">
      <c r="B1213" s="129"/>
      <c r="C1213" s="129"/>
      <c r="D1213" s="129"/>
      <c r="E1213" s="129"/>
      <c r="F1213" s="129"/>
      <c r="G1213" s="129"/>
      <c r="H1213" s="84" t="s">
        <v>4</v>
      </c>
      <c r="I1213" s="14">
        <f t="shared" si="364"/>
        <v>18266.509100000003</v>
      </c>
      <c r="J1213" s="14">
        <f t="shared" si="364"/>
        <v>621.58410000000003</v>
      </c>
      <c r="K1213" s="14">
        <f t="shared" si="364"/>
        <v>1901.27</v>
      </c>
      <c r="L1213" s="14">
        <f t="shared" si="364"/>
        <v>1648.8300000000002</v>
      </c>
      <c r="M1213" s="14">
        <f t="shared" si="364"/>
        <v>3445.7750000000001</v>
      </c>
      <c r="N1213" s="14">
        <f t="shared" si="364"/>
        <v>5496.41</v>
      </c>
      <c r="O1213" s="14">
        <f t="shared" si="364"/>
        <v>5152.6399999999994</v>
      </c>
      <c r="P1213" s="129"/>
      <c r="Q1213" s="7"/>
    </row>
    <row r="1214" spans="2:17" ht="15.75" x14ac:dyDescent="0.2">
      <c r="B1214" s="129"/>
      <c r="C1214" s="129"/>
      <c r="D1214" s="129"/>
      <c r="E1214" s="129"/>
      <c r="F1214" s="129"/>
      <c r="G1214" s="129"/>
      <c r="H1214" s="84" t="s">
        <v>6</v>
      </c>
      <c r="I1214" s="14">
        <f t="shared" si="364"/>
        <v>13143.060100000001</v>
      </c>
      <c r="J1214" s="14">
        <f t="shared" si="364"/>
        <v>1431.8970999999999</v>
      </c>
      <c r="K1214" s="14">
        <f t="shared" si="364"/>
        <v>2528.0219999999999</v>
      </c>
      <c r="L1214" s="14">
        <f t="shared" si="364"/>
        <v>3136.2370000000001</v>
      </c>
      <c r="M1214" s="14">
        <f t="shared" si="364"/>
        <v>2764.0540000000001</v>
      </c>
      <c r="N1214" s="14">
        <f t="shared" si="364"/>
        <v>1839.74</v>
      </c>
      <c r="O1214" s="14">
        <f t="shared" si="364"/>
        <v>1443.11</v>
      </c>
      <c r="P1214" s="129"/>
      <c r="Q1214" s="7"/>
    </row>
    <row r="1215" spans="2:17" ht="15.75" x14ac:dyDescent="0.2">
      <c r="B1215" s="130"/>
      <c r="C1215" s="130"/>
      <c r="D1215" s="130"/>
      <c r="E1215" s="130"/>
      <c r="F1215" s="130"/>
      <c r="G1215" s="130"/>
      <c r="H1215" s="84" t="s">
        <v>5</v>
      </c>
      <c r="I1215" s="14">
        <f t="shared" si="364"/>
        <v>0</v>
      </c>
      <c r="J1215" s="14">
        <f t="shared" si="364"/>
        <v>0</v>
      </c>
      <c r="K1215" s="14">
        <f t="shared" si="364"/>
        <v>0</v>
      </c>
      <c r="L1215" s="14">
        <f t="shared" si="364"/>
        <v>0</v>
      </c>
      <c r="M1215" s="14">
        <f t="shared" si="364"/>
        <v>0</v>
      </c>
      <c r="N1215" s="14">
        <f t="shared" si="364"/>
        <v>0</v>
      </c>
      <c r="O1215" s="14">
        <f t="shared" si="364"/>
        <v>0</v>
      </c>
      <c r="P1215" s="130"/>
      <c r="Q1215" s="7"/>
    </row>
    <row r="1216" spans="2:17" x14ac:dyDescent="0.2">
      <c r="Q1216" s="7"/>
    </row>
    <row r="1217" spans="2:2" x14ac:dyDescent="0.2">
      <c r="B1217" s="45" t="s">
        <v>625</v>
      </c>
    </row>
  </sheetData>
  <mergeCells count="2116">
    <mergeCell ref="P1208:P1211"/>
    <mergeCell ref="B1212:B1215"/>
    <mergeCell ref="C1212:C1215"/>
    <mergeCell ref="D1212:D1215"/>
    <mergeCell ref="E1212:E1215"/>
    <mergeCell ref="F1212:F1215"/>
    <mergeCell ref="G1212:G1215"/>
    <mergeCell ref="P1212:P1215"/>
    <mergeCell ref="B1208:B1211"/>
    <mergeCell ref="C1208:C1211"/>
    <mergeCell ref="D1208:D1211"/>
    <mergeCell ref="E1208:E1211"/>
    <mergeCell ref="F1208:F1211"/>
    <mergeCell ref="G1208:G1211"/>
    <mergeCell ref="P1200:P1203"/>
    <mergeCell ref="B1204:B1207"/>
    <mergeCell ref="C1204:C1207"/>
    <mergeCell ref="D1204:D1207"/>
    <mergeCell ref="E1204:E1207"/>
    <mergeCell ref="F1204:F1207"/>
    <mergeCell ref="G1204:G1207"/>
    <mergeCell ref="P1204:P1207"/>
    <mergeCell ref="B1200:B1203"/>
    <mergeCell ref="C1200:C1203"/>
    <mergeCell ref="D1200:D1203"/>
    <mergeCell ref="E1200:E1203"/>
    <mergeCell ref="F1200:F1203"/>
    <mergeCell ref="G1200:G1203"/>
    <mergeCell ref="P1192:P1195"/>
    <mergeCell ref="B1196:B1199"/>
    <mergeCell ref="C1196:C1199"/>
    <mergeCell ref="D1196:D1199"/>
    <mergeCell ref="E1196:E1199"/>
    <mergeCell ref="F1196:F1199"/>
    <mergeCell ref="G1196:G1199"/>
    <mergeCell ref="P1196:P1199"/>
    <mergeCell ref="B1192:B1195"/>
    <mergeCell ref="C1192:C1195"/>
    <mergeCell ref="D1192:D1195"/>
    <mergeCell ref="E1192:E1195"/>
    <mergeCell ref="F1192:F1195"/>
    <mergeCell ref="G1192:G1195"/>
    <mergeCell ref="P1184:P1187"/>
    <mergeCell ref="B1188:B1191"/>
    <mergeCell ref="C1188:C1191"/>
    <mergeCell ref="D1188:D1191"/>
    <mergeCell ref="E1188:E1191"/>
    <mergeCell ref="F1188:F1191"/>
    <mergeCell ref="G1188:G1191"/>
    <mergeCell ref="P1188:P1191"/>
    <mergeCell ref="B1184:B1187"/>
    <mergeCell ref="C1184:C1187"/>
    <mergeCell ref="D1184:D1187"/>
    <mergeCell ref="E1184:E1187"/>
    <mergeCell ref="F1184:F1187"/>
    <mergeCell ref="G1184:G1187"/>
    <mergeCell ref="P1175:P1178"/>
    <mergeCell ref="B1179:P1179"/>
    <mergeCell ref="B1180:B1183"/>
    <mergeCell ref="C1180:C1183"/>
    <mergeCell ref="D1180:D1183"/>
    <mergeCell ref="E1180:E1183"/>
    <mergeCell ref="F1180:F1183"/>
    <mergeCell ref="G1180:G1183"/>
    <mergeCell ref="P1180:P1183"/>
    <mergeCell ref="B1175:B1178"/>
    <mergeCell ref="C1175:C1178"/>
    <mergeCell ref="D1175:D1178"/>
    <mergeCell ref="E1175:E1178"/>
    <mergeCell ref="F1175:F1178"/>
    <mergeCell ref="G1175:G1178"/>
    <mergeCell ref="P1167:P1170"/>
    <mergeCell ref="B1171:B1174"/>
    <mergeCell ref="C1171:C1174"/>
    <mergeCell ref="D1171:D1174"/>
    <mergeCell ref="E1171:E1174"/>
    <mergeCell ref="F1171:F1174"/>
    <mergeCell ref="G1171:G1174"/>
    <mergeCell ref="P1171:P1174"/>
    <mergeCell ref="B1167:B1170"/>
    <mergeCell ref="C1167:C1170"/>
    <mergeCell ref="D1167:D1170"/>
    <mergeCell ref="E1167:E1170"/>
    <mergeCell ref="F1167:F1170"/>
    <mergeCell ref="G1167:G1170"/>
    <mergeCell ref="P1159:P1162"/>
    <mergeCell ref="B1163:B1166"/>
    <mergeCell ref="C1163:C1166"/>
    <mergeCell ref="D1163:D1166"/>
    <mergeCell ref="E1163:E1166"/>
    <mergeCell ref="F1163:F1166"/>
    <mergeCell ref="G1163:G1166"/>
    <mergeCell ref="P1163:P1166"/>
    <mergeCell ref="B1159:B1162"/>
    <mergeCell ref="C1159:C1162"/>
    <mergeCell ref="D1159:D1162"/>
    <mergeCell ref="E1159:E1162"/>
    <mergeCell ref="F1159:F1162"/>
    <mergeCell ref="G1159:G1162"/>
    <mergeCell ref="P1150:P1153"/>
    <mergeCell ref="B1154:P1154"/>
    <mergeCell ref="B1155:B1158"/>
    <mergeCell ref="C1155:C1158"/>
    <mergeCell ref="D1155:D1158"/>
    <mergeCell ref="E1155:E1158"/>
    <mergeCell ref="F1155:F1158"/>
    <mergeCell ref="G1155:G1158"/>
    <mergeCell ref="P1155:P1158"/>
    <mergeCell ref="B1150:B1153"/>
    <mergeCell ref="C1150:C1153"/>
    <mergeCell ref="D1150:D1153"/>
    <mergeCell ref="E1150:E1153"/>
    <mergeCell ref="F1150:F1153"/>
    <mergeCell ref="G1150:G1153"/>
    <mergeCell ref="G1142:G1145"/>
    <mergeCell ref="P1142:P1145"/>
    <mergeCell ref="A1146:A1149"/>
    <mergeCell ref="B1146:B1149"/>
    <mergeCell ref="C1146:C1149"/>
    <mergeCell ref="D1146:D1149"/>
    <mergeCell ref="E1146:E1149"/>
    <mergeCell ref="F1146:F1149"/>
    <mergeCell ref="G1146:G1149"/>
    <mergeCell ref="P1146:P1149"/>
    <mergeCell ref="A1142:A1145"/>
    <mergeCell ref="B1142:B1145"/>
    <mergeCell ref="C1142:C1145"/>
    <mergeCell ref="D1142:D1145"/>
    <mergeCell ref="E1142:E1145"/>
    <mergeCell ref="F1142:F1145"/>
    <mergeCell ref="G1134:G1137"/>
    <mergeCell ref="P1134:P1137"/>
    <mergeCell ref="A1138:A1141"/>
    <mergeCell ref="B1138:B1141"/>
    <mergeCell ref="D1138:D1141"/>
    <mergeCell ref="E1138:E1141"/>
    <mergeCell ref="G1138:G1141"/>
    <mergeCell ref="A1134:A1137"/>
    <mergeCell ref="B1134:B1137"/>
    <mergeCell ref="C1134:C1137"/>
    <mergeCell ref="D1134:D1137"/>
    <mergeCell ref="E1134:E1137"/>
    <mergeCell ref="F1134:F1137"/>
    <mergeCell ref="G1126:G1129"/>
    <mergeCell ref="P1126:P1129"/>
    <mergeCell ref="A1130:A1133"/>
    <mergeCell ref="B1130:B1133"/>
    <mergeCell ref="C1130:C1133"/>
    <mergeCell ref="D1130:D1133"/>
    <mergeCell ref="E1130:E1133"/>
    <mergeCell ref="F1130:F1133"/>
    <mergeCell ref="G1130:G1133"/>
    <mergeCell ref="P1130:P1133"/>
    <mergeCell ref="A1126:A1129"/>
    <mergeCell ref="B1126:B1129"/>
    <mergeCell ref="C1126:C1129"/>
    <mergeCell ref="D1126:D1129"/>
    <mergeCell ref="E1126:E1129"/>
    <mergeCell ref="F1126:F1129"/>
    <mergeCell ref="G1118:G1121"/>
    <mergeCell ref="P1118:P1121"/>
    <mergeCell ref="A1122:A1125"/>
    <mergeCell ref="B1122:B1125"/>
    <mergeCell ref="C1122:C1125"/>
    <mergeCell ref="D1122:D1125"/>
    <mergeCell ref="E1122:E1125"/>
    <mergeCell ref="F1122:F1125"/>
    <mergeCell ref="G1122:G1125"/>
    <mergeCell ref="P1122:P1125"/>
    <mergeCell ref="A1118:A1121"/>
    <mergeCell ref="B1118:B1121"/>
    <mergeCell ref="C1118:C1121"/>
    <mergeCell ref="D1118:D1121"/>
    <mergeCell ref="E1118:E1121"/>
    <mergeCell ref="F1118:F1121"/>
    <mergeCell ref="G1110:G1113"/>
    <mergeCell ref="P1110:P1113"/>
    <mergeCell ref="A1114:A1117"/>
    <mergeCell ref="B1114:B1117"/>
    <mergeCell ref="C1114:C1117"/>
    <mergeCell ref="D1114:D1117"/>
    <mergeCell ref="E1114:E1117"/>
    <mergeCell ref="F1114:F1117"/>
    <mergeCell ref="G1114:G1117"/>
    <mergeCell ref="P1114:P1117"/>
    <mergeCell ref="A1110:A1113"/>
    <mergeCell ref="B1110:B1113"/>
    <mergeCell ref="C1110:C1113"/>
    <mergeCell ref="D1110:D1113"/>
    <mergeCell ref="E1110:E1113"/>
    <mergeCell ref="F1110:F1113"/>
    <mergeCell ref="G1102:G1105"/>
    <mergeCell ref="P1102:P1105"/>
    <mergeCell ref="A1106:A1109"/>
    <mergeCell ref="B1106:B1109"/>
    <mergeCell ref="C1106:C1109"/>
    <mergeCell ref="D1106:D1109"/>
    <mergeCell ref="E1106:E1109"/>
    <mergeCell ref="F1106:F1109"/>
    <mergeCell ref="G1106:G1109"/>
    <mergeCell ref="P1106:P1109"/>
    <mergeCell ref="A1102:A1105"/>
    <mergeCell ref="B1102:B1105"/>
    <mergeCell ref="C1102:C1105"/>
    <mergeCell ref="D1102:D1105"/>
    <mergeCell ref="E1102:E1105"/>
    <mergeCell ref="F1102:F1105"/>
    <mergeCell ref="P1094:P1097"/>
    <mergeCell ref="A1098:A1101"/>
    <mergeCell ref="B1098:B1101"/>
    <mergeCell ref="C1098:C1101"/>
    <mergeCell ref="D1098:D1101"/>
    <mergeCell ref="E1098:E1101"/>
    <mergeCell ref="F1098:F1101"/>
    <mergeCell ref="G1098:G1101"/>
    <mergeCell ref="P1098:P1101"/>
    <mergeCell ref="B1094:B1097"/>
    <mergeCell ref="C1094:C1097"/>
    <mergeCell ref="D1094:D1097"/>
    <mergeCell ref="E1094:E1097"/>
    <mergeCell ref="F1094:F1097"/>
    <mergeCell ref="G1094:G1097"/>
    <mergeCell ref="P1086:P1089"/>
    <mergeCell ref="B1090:B1093"/>
    <mergeCell ref="C1090:C1093"/>
    <mergeCell ref="D1090:D1093"/>
    <mergeCell ref="E1090:E1093"/>
    <mergeCell ref="F1090:F1093"/>
    <mergeCell ref="G1090:G1093"/>
    <mergeCell ref="P1090:P1093"/>
    <mergeCell ref="B1086:B1089"/>
    <mergeCell ref="C1086:C1089"/>
    <mergeCell ref="D1086:D1089"/>
    <mergeCell ref="E1086:E1089"/>
    <mergeCell ref="F1086:F1089"/>
    <mergeCell ref="G1086:G1089"/>
    <mergeCell ref="P1078:P1081"/>
    <mergeCell ref="B1082:B1085"/>
    <mergeCell ref="C1082:C1085"/>
    <mergeCell ref="D1082:D1085"/>
    <mergeCell ref="E1082:E1085"/>
    <mergeCell ref="F1082:F1085"/>
    <mergeCell ref="G1082:G1085"/>
    <mergeCell ref="P1082:P1085"/>
    <mergeCell ref="B1078:B1081"/>
    <mergeCell ref="C1078:C1081"/>
    <mergeCell ref="D1078:D1081"/>
    <mergeCell ref="E1078:E1081"/>
    <mergeCell ref="F1078:F1081"/>
    <mergeCell ref="G1078:G1081"/>
    <mergeCell ref="P1070:P1073"/>
    <mergeCell ref="B1074:B1077"/>
    <mergeCell ref="C1074:C1077"/>
    <mergeCell ref="D1074:D1077"/>
    <mergeCell ref="E1074:E1077"/>
    <mergeCell ref="F1074:F1077"/>
    <mergeCell ref="G1074:G1077"/>
    <mergeCell ref="P1074:P1077"/>
    <mergeCell ref="B1070:B1073"/>
    <mergeCell ref="C1070:C1073"/>
    <mergeCell ref="D1070:D1073"/>
    <mergeCell ref="E1070:E1073"/>
    <mergeCell ref="F1070:F1073"/>
    <mergeCell ref="G1070:G1073"/>
    <mergeCell ref="P1062:P1065"/>
    <mergeCell ref="B1066:B1069"/>
    <mergeCell ref="C1066:C1069"/>
    <mergeCell ref="D1066:D1069"/>
    <mergeCell ref="E1066:E1069"/>
    <mergeCell ref="F1066:F1069"/>
    <mergeCell ref="G1066:G1069"/>
    <mergeCell ref="P1066:P1069"/>
    <mergeCell ref="B1062:B1065"/>
    <mergeCell ref="C1062:C1065"/>
    <mergeCell ref="D1062:D1065"/>
    <mergeCell ref="E1062:E1065"/>
    <mergeCell ref="F1062:F1065"/>
    <mergeCell ref="G1062:G1065"/>
    <mergeCell ref="P1053:P1056"/>
    <mergeCell ref="B1057:P1057"/>
    <mergeCell ref="B1058:B1061"/>
    <mergeCell ref="C1058:C1061"/>
    <mergeCell ref="D1058:D1061"/>
    <mergeCell ref="E1058:E1061"/>
    <mergeCell ref="F1058:F1061"/>
    <mergeCell ref="G1058:G1061"/>
    <mergeCell ref="P1058:P1061"/>
    <mergeCell ref="B1053:B1056"/>
    <mergeCell ref="C1053:C1056"/>
    <mergeCell ref="D1053:D1056"/>
    <mergeCell ref="E1053:E1056"/>
    <mergeCell ref="F1053:F1056"/>
    <mergeCell ref="G1053:G1056"/>
    <mergeCell ref="P1044:P1047"/>
    <mergeCell ref="B1048:P1048"/>
    <mergeCell ref="B1049:B1052"/>
    <mergeCell ref="C1049:C1052"/>
    <mergeCell ref="D1049:D1052"/>
    <mergeCell ref="E1049:E1052"/>
    <mergeCell ref="F1049:F1052"/>
    <mergeCell ref="G1049:G1052"/>
    <mergeCell ref="P1049:P1052"/>
    <mergeCell ref="B1044:B1047"/>
    <mergeCell ref="C1044:C1047"/>
    <mergeCell ref="D1044:D1047"/>
    <mergeCell ref="E1044:E1047"/>
    <mergeCell ref="F1044:F1047"/>
    <mergeCell ref="G1044:G1047"/>
    <mergeCell ref="P1036:P1039"/>
    <mergeCell ref="B1040:B1043"/>
    <mergeCell ref="C1040:C1043"/>
    <mergeCell ref="D1040:D1043"/>
    <mergeCell ref="E1040:E1043"/>
    <mergeCell ref="F1040:F1043"/>
    <mergeCell ref="G1040:G1043"/>
    <mergeCell ref="P1040:P1043"/>
    <mergeCell ref="B1036:B1039"/>
    <mergeCell ref="C1036:C1039"/>
    <mergeCell ref="D1036:D1039"/>
    <mergeCell ref="E1036:E1039"/>
    <mergeCell ref="F1036:F1039"/>
    <mergeCell ref="G1036:G1039"/>
    <mergeCell ref="P1028:P1031"/>
    <mergeCell ref="B1032:B1035"/>
    <mergeCell ref="C1032:C1035"/>
    <mergeCell ref="D1032:D1035"/>
    <mergeCell ref="E1032:E1035"/>
    <mergeCell ref="F1032:F1035"/>
    <mergeCell ref="G1032:G1035"/>
    <mergeCell ref="P1032:P1035"/>
    <mergeCell ref="B1028:B1031"/>
    <mergeCell ref="C1028:C1031"/>
    <mergeCell ref="D1028:D1031"/>
    <mergeCell ref="E1028:E1031"/>
    <mergeCell ref="F1028:F1031"/>
    <mergeCell ref="G1028:G1031"/>
    <mergeCell ref="P1020:P1023"/>
    <mergeCell ref="B1024:B1027"/>
    <mergeCell ref="C1024:C1027"/>
    <mergeCell ref="D1024:D1027"/>
    <mergeCell ref="E1024:E1027"/>
    <mergeCell ref="F1024:F1027"/>
    <mergeCell ref="G1024:G1027"/>
    <mergeCell ref="P1024:P1027"/>
    <mergeCell ref="B1020:B1023"/>
    <mergeCell ref="C1020:C1023"/>
    <mergeCell ref="D1020:D1023"/>
    <mergeCell ref="E1020:E1023"/>
    <mergeCell ref="F1020:F1023"/>
    <mergeCell ref="G1020:G1023"/>
    <mergeCell ref="P1012:P1015"/>
    <mergeCell ref="B1016:B1019"/>
    <mergeCell ref="C1016:C1019"/>
    <mergeCell ref="D1016:D1019"/>
    <mergeCell ref="E1016:E1019"/>
    <mergeCell ref="F1016:F1019"/>
    <mergeCell ref="G1016:G1019"/>
    <mergeCell ref="P1016:P1019"/>
    <mergeCell ref="B1012:B1015"/>
    <mergeCell ref="C1012:C1015"/>
    <mergeCell ref="D1012:D1015"/>
    <mergeCell ref="E1012:E1015"/>
    <mergeCell ref="F1012:F1015"/>
    <mergeCell ref="G1012:G1015"/>
    <mergeCell ref="P1003:P1006"/>
    <mergeCell ref="B1007:P1007"/>
    <mergeCell ref="B1008:B1011"/>
    <mergeCell ref="C1008:C1011"/>
    <mergeCell ref="D1008:D1011"/>
    <mergeCell ref="E1008:E1011"/>
    <mergeCell ref="F1008:F1011"/>
    <mergeCell ref="G1008:G1011"/>
    <mergeCell ref="P1008:P1011"/>
    <mergeCell ref="B1003:B1006"/>
    <mergeCell ref="C1003:C1006"/>
    <mergeCell ref="D1003:D1006"/>
    <mergeCell ref="E1003:E1006"/>
    <mergeCell ref="F1003:F1006"/>
    <mergeCell ref="G1003:G1006"/>
    <mergeCell ref="P995:P998"/>
    <mergeCell ref="B999:B1002"/>
    <mergeCell ref="C999:C1002"/>
    <mergeCell ref="D999:D1002"/>
    <mergeCell ref="E999:E1002"/>
    <mergeCell ref="F999:F1002"/>
    <mergeCell ref="G999:G1002"/>
    <mergeCell ref="P999:P1002"/>
    <mergeCell ref="B995:B998"/>
    <mergeCell ref="C995:C998"/>
    <mergeCell ref="D995:D998"/>
    <mergeCell ref="E995:E998"/>
    <mergeCell ref="F995:F998"/>
    <mergeCell ref="G995:G998"/>
    <mergeCell ref="P987:P990"/>
    <mergeCell ref="B991:B994"/>
    <mergeCell ref="C991:C994"/>
    <mergeCell ref="D991:D994"/>
    <mergeCell ref="E991:E994"/>
    <mergeCell ref="F991:F994"/>
    <mergeCell ref="G991:G994"/>
    <mergeCell ref="P991:P994"/>
    <mergeCell ref="B987:B990"/>
    <mergeCell ref="C987:C990"/>
    <mergeCell ref="D987:D990"/>
    <mergeCell ref="E987:E990"/>
    <mergeCell ref="F987:F990"/>
    <mergeCell ref="G987:G990"/>
    <mergeCell ref="P978:P981"/>
    <mergeCell ref="B982:P982"/>
    <mergeCell ref="B983:B986"/>
    <mergeCell ref="C983:C986"/>
    <mergeCell ref="D983:D986"/>
    <mergeCell ref="E983:E986"/>
    <mergeCell ref="F983:F986"/>
    <mergeCell ref="G983:G986"/>
    <mergeCell ref="P983:P986"/>
    <mergeCell ref="B978:B981"/>
    <mergeCell ref="C978:C981"/>
    <mergeCell ref="D978:D981"/>
    <mergeCell ref="E978:E981"/>
    <mergeCell ref="F978:F981"/>
    <mergeCell ref="G978:G981"/>
    <mergeCell ref="P970:P973"/>
    <mergeCell ref="B974:B977"/>
    <mergeCell ref="C974:C977"/>
    <mergeCell ref="D974:D977"/>
    <mergeCell ref="E974:E977"/>
    <mergeCell ref="F974:F977"/>
    <mergeCell ref="G974:G977"/>
    <mergeCell ref="P974:P977"/>
    <mergeCell ref="B970:B973"/>
    <mergeCell ref="C970:C973"/>
    <mergeCell ref="D970:D973"/>
    <mergeCell ref="E970:E973"/>
    <mergeCell ref="F970:F973"/>
    <mergeCell ref="G970:G973"/>
    <mergeCell ref="P962:P965"/>
    <mergeCell ref="B966:B969"/>
    <mergeCell ref="C966:C969"/>
    <mergeCell ref="D966:D969"/>
    <mergeCell ref="E966:E969"/>
    <mergeCell ref="F966:F969"/>
    <mergeCell ref="G966:G969"/>
    <mergeCell ref="P966:P969"/>
    <mergeCell ref="B962:B965"/>
    <mergeCell ref="C962:C965"/>
    <mergeCell ref="D962:D965"/>
    <mergeCell ref="E962:E965"/>
    <mergeCell ref="F962:F965"/>
    <mergeCell ref="G962:G965"/>
    <mergeCell ref="P953:P956"/>
    <mergeCell ref="B957:P957"/>
    <mergeCell ref="B958:B961"/>
    <mergeCell ref="C958:C961"/>
    <mergeCell ref="D958:D961"/>
    <mergeCell ref="E958:E961"/>
    <mergeCell ref="F958:F961"/>
    <mergeCell ref="G958:G961"/>
    <mergeCell ref="P958:P961"/>
    <mergeCell ref="B953:B956"/>
    <mergeCell ref="C953:C956"/>
    <mergeCell ref="D953:D956"/>
    <mergeCell ref="E953:E956"/>
    <mergeCell ref="F953:F956"/>
    <mergeCell ref="G953:G956"/>
    <mergeCell ref="P945:P948"/>
    <mergeCell ref="B949:B952"/>
    <mergeCell ref="C949:C952"/>
    <mergeCell ref="D949:D952"/>
    <mergeCell ref="E949:E952"/>
    <mergeCell ref="F949:F952"/>
    <mergeCell ref="G949:G952"/>
    <mergeCell ref="P949:P952"/>
    <mergeCell ref="B945:B948"/>
    <mergeCell ref="C945:C948"/>
    <mergeCell ref="D945:D948"/>
    <mergeCell ref="E945:E948"/>
    <mergeCell ref="F945:F948"/>
    <mergeCell ref="G945:G948"/>
    <mergeCell ref="P937:P940"/>
    <mergeCell ref="B941:B944"/>
    <mergeCell ref="C941:C944"/>
    <mergeCell ref="D941:D944"/>
    <mergeCell ref="E941:E944"/>
    <mergeCell ref="F941:F944"/>
    <mergeCell ref="G941:G944"/>
    <mergeCell ref="P941:P944"/>
    <mergeCell ref="B937:B940"/>
    <mergeCell ref="C937:C940"/>
    <mergeCell ref="D937:D940"/>
    <mergeCell ref="E937:E940"/>
    <mergeCell ref="F937:F940"/>
    <mergeCell ref="G937:G940"/>
    <mergeCell ref="B932:P932"/>
    <mergeCell ref="B933:B936"/>
    <mergeCell ref="C933:C936"/>
    <mergeCell ref="D933:D936"/>
    <mergeCell ref="E933:E936"/>
    <mergeCell ref="F933:F936"/>
    <mergeCell ref="G933:G936"/>
    <mergeCell ref="P933:P936"/>
    <mergeCell ref="P924:P927"/>
    <mergeCell ref="B928:B931"/>
    <mergeCell ref="C928:C931"/>
    <mergeCell ref="D928:D931"/>
    <mergeCell ref="E928:E931"/>
    <mergeCell ref="F928:F931"/>
    <mergeCell ref="G928:G931"/>
    <mergeCell ref="P928:P931"/>
    <mergeCell ref="B924:B927"/>
    <mergeCell ref="C924:C927"/>
    <mergeCell ref="D924:D927"/>
    <mergeCell ref="E924:E927"/>
    <mergeCell ref="F924:F927"/>
    <mergeCell ref="G924:G927"/>
    <mergeCell ref="P916:P919"/>
    <mergeCell ref="B920:B923"/>
    <mergeCell ref="C920:C923"/>
    <mergeCell ref="D920:D923"/>
    <mergeCell ref="E920:E923"/>
    <mergeCell ref="F920:F923"/>
    <mergeCell ref="G920:G923"/>
    <mergeCell ref="P920:P923"/>
    <mergeCell ref="B916:B919"/>
    <mergeCell ref="C916:C919"/>
    <mergeCell ref="D916:D919"/>
    <mergeCell ref="E916:E919"/>
    <mergeCell ref="F916:F919"/>
    <mergeCell ref="G916:G919"/>
    <mergeCell ref="P908:P911"/>
    <mergeCell ref="B912:B915"/>
    <mergeCell ref="C912:C915"/>
    <mergeCell ref="D912:D915"/>
    <mergeCell ref="E912:E915"/>
    <mergeCell ref="F912:F915"/>
    <mergeCell ref="G912:G915"/>
    <mergeCell ref="P912:P915"/>
    <mergeCell ref="B908:B911"/>
    <mergeCell ref="C908:C911"/>
    <mergeCell ref="D908:D911"/>
    <mergeCell ref="E908:E911"/>
    <mergeCell ref="F908:F911"/>
    <mergeCell ref="G908:G911"/>
    <mergeCell ref="P900:P903"/>
    <mergeCell ref="B904:B907"/>
    <mergeCell ref="C904:C907"/>
    <mergeCell ref="D904:D907"/>
    <mergeCell ref="E904:E907"/>
    <mergeCell ref="F904:F907"/>
    <mergeCell ref="G904:G907"/>
    <mergeCell ref="P904:P907"/>
    <mergeCell ref="B900:B903"/>
    <mergeCell ref="C900:C903"/>
    <mergeCell ref="D900:D903"/>
    <mergeCell ref="E900:E903"/>
    <mergeCell ref="F900:F903"/>
    <mergeCell ref="G900:G903"/>
    <mergeCell ref="P892:P895"/>
    <mergeCell ref="B896:B899"/>
    <mergeCell ref="C896:C899"/>
    <mergeCell ref="D896:D899"/>
    <mergeCell ref="E896:E899"/>
    <mergeCell ref="F896:F899"/>
    <mergeCell ref="G896:G899"/>
    <mergeCell ref="P896:P899"/>
    <mergeCell ref="B892:B895"/>
    <mergeCell ref="C892:C895"/>
    <mergeCell ref="D892:D895"/>
    <mergeCell ref="E892:E895"/>
    <mergeCell ref="F892:F895"/>
    <mergeCell ref="G892:G895"/>
    <mergeCell ref="P884:P887"/>
    <mergeCell ref="B888:B891"/>
    <mergeCell ref="C888:C891"/>
    <mergeCell ref="D888:D891"/>
    <mergeCell ref="E888:E891"/>
    <mergeCell ref="F888:F891"/>
    <mergeCell ref="G888:G891"/>
    <mergeCell ref="P888:P891"/>
    <mergeCell ref="B884:B887"/>
    <mergeCell ref="C884:C887"/>
    <mergeCell ref="D884:D887"/>
    <mergeCell ref="E884:E887"/>
    <mergeCell ref="F884:F887"/>
    <mergeCell ref="G884:G887"/>
    <mergeCell ref="P875:P878"/>
    <mergeCell ref="B879:P879"/>
    <mergeCell ref="B880:B883"/>
    <mergeCell ref="C880:C883"/>
    <mergeCell ref="D880:D883"/>
    <mergeCell ref="E880:E883"/>
    <mergeCell ref="F880:F883"/>
    <mergeCell ref="G880:G883"/>
    <mergeCell ref="P880:P883"/>
    <mergeCell ref="B875:B878"/>
    <mergeCell ref="C875:C878"/>
    <mergeCell ref="D875:D878"/>
    <mergeCell ref="E875:E878"/>
    <mergeCell ref="F875:F878"/>
    <mergeCell ref="G875:G878"/>
    <mergeCell ref="P867:P870"/>
    <mergeCell ref="B871:B874"/>
    <mergeCell ref="C871:C874"/>
    <mergeCell ref="D871:D874"/>
    <mergeCell ref="E871:E874"/>
    <mergeCell ref="F871:F874"/>
    <mergeCell ref="G871:G874"/>
    <mergeCell ref="P871:P874"/>
    <mergeCell ref="B867:B870"/>
    <mergeCell ref="C867:C870"/>
    <mergeCell ref="D867:D870"/>
    <mergeCell ref="E867:E870"/>
    <mergeCell ref="F867:F870"/>
    <mergeCell ref="G867:G870"/>
    <mergeCell ref="P859:P862"/>
    <mergeCell ref="B863:B866"/>
    <mergeCell ref="C863:C866"/>
    <mergeCell ref="D863:D866"/>
    <mergeCell ref="E863:E866"/>
    <mergeCell ref="F863:F866"/>
    <mergeCell ref="G863:G866"/>
    <mergeCell ref="P863:P866"/>
    <mergeCell ref="B859:B862"/>
    <mergeCell ref="C859:C862"/>
    <mergeCell ref="D859:D862"/>
    <mergeCell ref="E859:E862"/>
    <mergeCell ref="F859:F862"/>
    <mergeCell ref="G859:G862"/>
    <mergeCell ref="P851:P854"/>
    <mergeCell ref="B855:B858"/>
    <mergeCell ref="C855:C858"/>
    <mergeCell ref="D855:D858"/>
    <mergeCell ref="E855:E858"/>
    <mergeCell ref="F855:F858"/>
    <mergeCell ref="G855:G858"/>
    <mergeCell ref="P855:P858"/>
    <mergeCell ref="B851:B854"/>
    <mergeCell ref="C851:C854"/>
    <mergeCell ref="D851:D854"/>
    <mergeCell ref="E851:E854"/>
    <mergeCell ref="F851:F854"/>
    <mergeCell ref="G851:G854"/>
    <mergeCell ref="P843:P846"/>
    <mergeCell ref="B847:B850"/>
    <mergeCell ref="C847:C850"/>
    <mergeCell ref="D847:D850"/>
    <mergeCell ref="E847:E850"/>
    <mergeCell ref="F847:F850"/>
    <mergeCell ref="G847:G850"/>
    <mergeCell ref="P847:P850"/>
    <mergeCell ref="B843:B846"/>
    <mergeCell ref="C843:C846"/>
    <mergeCell ref="D843:D846"/>
    <mergeCell ref="E843:E846"/>
    <mergeCell ref="F843:F846"/>
    <mergeCell ref="G843:G846"/>
    <mergeCell ref="P835:P838"/>
    <mergeCell ref="B839:B842"/>
    <mergeCell ref="C839:C842"/>
    <mergeCell ref="D839:D842"/>
    <mergeCell ref="E839:E842"/>
    <mergeCell ref="F839:F842"/>
    <mergeCell ref="G839:G842"/>
    <mergeCell ref="P839:P842"/>
    <mergeCell ref="B835:B838"/>
    <mergeCell ref="C835:C838"/>
    <mergeCell ref="D835:D838"/>
    <mergeCell ref="E835:E838"/>
    <mergeCell ref="F835:F838"/>
    <mergeCell ref="G835:G838"/>
    <mergeCell ref="P827:P830"/>
    <mergeCell ref="B831:B834"/>
    <mergeCell ref="C831:C834"/>
    <mergeCell ref="D831:D834"/>
    <mergeCell ref="E831:E834"/>
    <mergeCell ref="F831:F834"/>
    <mergeCell ref="G831:G834"/>
    <mergeCell ref="P831:P834"/>
    <mergeCell ref="B827:B830"/>
    <mergeCell ref="C827:C830"/>
    <mergeCell ref="D827:D830"/>
    <mergeCell ref="E827:E830"/>
    <mergeCell ref="F827:F830"/>
    <mergeCell ref="G827:G830"/>
    <mergeCell ref="P818:P821"/>
    <mergeCell ref="B822:P822"/>
    <mergeCell ref="B823:B826"/>
    <mergeCell ref="C823:C826"/>
    <mergeCell ref="D823:D826"/>
    <mergeCell ref="E823:E826"/>
    <mergeCell ref="F823:F826"/>
    <mergeCell ref="G823:G826"/>
    <mergeCell ref="P823:P826"/>
    <mergeCell ref="B818:B821"/>
    <mergeCell ref="C818:C821"/>
    <mergeCell ref="D818:D821"/>
    <mergeCell ref="E818:E821"/>
    <mergeCell ref="F818:F821"/>
    <mergeCell ref="G818:G821"/>
    <mergeCell ref="P809:P812"/>
    <mergeCell ref="B813:P813"/>
    <mergeCell ref="B814:B817"/>
    <mergeCell ref="C814:C817"/>
    <mergeCell ref="D814:D817"/>
    <mergeCell ref="E814:E817"/>
    <mergeCell ref="F814:F817"/>
    <mergeCell ref="G814:G817"/>
    <mergeCell ref="P814:P817"/>
    <mergeCell ref="B809:B812"/>
    <mergeCell ref="C809:C812"/>
    <mergeCell ref="D809:D812"/>
    <mergeCell ref="E809:E812"/>
    <mergeCell ref="F809:F812"/>
    <mergeCell ref="G809:G812"/>
    <mergeCell ref="P801:P804"/>
    <mergeCell ref="B805:B808"/>
    <mergeCell ref="C805:C808"/>
    <mergeCell ref="D805:D808"/>
    <mergeCell ref="E805:E808"/>
    <mergeCell ref="F805:F808"/>
    <mergeCell ref="G805:G808"/>
    <mergeCell ref="P805:P808"/>
    <mergeCell ref="B801:B804"/>
    <mergeCell ref="C801:C804"/>
    <mergeCell ref="D801:D804"/>
    <mergeCell ref="E801:E804"/>
    <mergeCell ref="F801:F804"/>
    <mergeCell ref="G801:G804"/>
    <mergeCell ref="P793:P796"/>
    <mergeCell ref="B797:B800"/>
    <mergeCell ref="C797:C800"/>
    <mergeCell ref="D797:D800"/>
    <mergeCell ref="E797:E800"/>
    <mergeCell ref="F797:F800"/>
    <mergeCell ref="G797:G800"/>
    <mergeCell ref="P797:P800"/>
    <mergeCell ref="B793:B796"/>
    <mergeCell ref="C793:C796"/>
    <mergeCell ref="D793:D796"/>
    <mergeCell ref="E793:E796"/>
    <mergeCell ref="F793:F796"/>
    <mergeCell ref="G793:G796"/>
    <mergeCell ref="P785:P788"/>
    <mergeCell ref="B789:B792"/>
    <mergeCell ref="C789:C792"/>
    <mergeCell ref="D789:D792"/>
    <mergeCell ref="E789:E792"/>
    <mergeCell ref="F789:F792"/>
    <mergeCell ref="G789:G792"/>
    <mergeCell ref="P789:P792"/>
    <mergeCell ref="B785:B788"/>
    <mergeCell ref="C785:C788"/>
    <mergeCell ref="D785:D788"/>
    <mergeCell ref="E785:E788"/>
    <mergeCell ref="F785:F788"/>
    <mergeCell ref="G785:G788"/>
    <mergeCell ref="P777:P780"/>
    <mergeCell ref="B781:B784"/>
    <mergeCell ref="C781:C784"/>
    <mergeCell ref="D781:D784"/>
    <mergeCell ref="E781:E784"/>
    <mergeCell ref="F781:F784"/>
    <mergeCell ref="G781:G784"/>
    <mergeCell ref="P781:P784"/>
    <mergeCell ref="B777:B780"/>
    <mergeCell ref="C777:C780"/>
    <mergeCell ref="D777:D780"/>
    <mergeCell ref="E777:E780"/>
    <mergeCell ref="F777:F780"/>
    <mergeCell ref="G777:G780"/>
    <mergeCell ref="B772:P772"/>
    <mergeCell ref="B773:B776"/>
    <mergeCell ref="C773:C776"/>
    <mergeCell ref="D773:D776"/>
    <mergeCell ref="E773:E776"/>
    <mergeCell ref="F773:F776"/>
    <mergeCell ref="G773:G776"/>
    <mergeCell ref="P773:P776"/>
    <mergeCell ref="P764:P767"/>
    <mergeCell ref="B768:B771"/>
    <mergeCell ref="C768:C771"/>
    <mergeCell ref="D768:D771"/>
    <mergeCell ref="E768:E771"/>
    <mergeCell ref="F768:F771"/>
    <mergeCell ref="G768:G771"/>
    <mergeCell ref="P768:P771"/>
    <mergeCell ref="B764:B767"/>
    <mergeCell ref="C764:C767"/>
    <mergeCell ref="D764:D767"/>
    <mergeCell ref="E764:E767"/>
    <mergeCell ref="F764:F767"/>
    <mergeCell ref="G764:G767"/>
    <mergeCell ref="P756:P759"/>
    <mergeCell ref="B760:B763"/>
    <mergeCell ref="C760:C763"/>
    <mergeCell ref="D760:D763"/>
    <mergeCell ref="E760:E763"/>
    <mergeCell ref="F760:F763"/>
    <mergeCell ref="G760:G763"/>
    <mergeCell ref="P760:P763"/>
    <mergeCell ref="B756:B759"/>
    <mergeCell ref="C756:C759"/>
    <mergeCell ref="D756:D759"/>
    <mergeCell ref="E756:E759"/>
    <mergeCell ref="F756:F759"/>
    <mergeCell ref="G756:G759"/>
    <mergeCell ref="P748:P751"/>
    <mergeCell ref="B752:B755"/>
    <mergeCell ref="C752:C755"/>
    <mergeCell ref="D752:D755"/>
    <mergeCell ref="E752:E755"/>
    <mergeCell ref="F752:F755"/>
    <mergeCell ref="G752:G755"/>
    <mergeCell ref="P752:P755"/>
    <mergeCell ref="B748:B751"/>
    <mergeCell ref="C748:C751"/>
    <mergeCell ref="D748:D751"/>
    <mergeCell ref="E748:E751"/>
    <mergeCell ref="F748:F751"/>
    <mergeCell ref="G748:G751"/>
    <mergeCell ref="P739:P742"/>
    <mergeCell ref="B743:P743"/>
    <mergeCell ref="B744:B747"/>
    <mergeCell ref="C744:C747"/>
    <mergeCell ref="D744:D747"/>
    <mergeCell ref="E744:E747"/>
    <mergeCell ref="F744:F747"/>
    <mergeCell ref="G744:G747"/>
    <mergeCell ref="P744:P747"/>
    <mergeCell ref="B739:B742"/>
    <mergeCell ref="C739:C742"/>
    <mergeCell ref="D739:D742"/>
    <mergeCell ref="E739:E742"/>
    <mergeCell ref="F739:F742"/>
    <mergeCell ref="G739:G742"/>
    <mergeCell ref="P731:P734"/>
    <mergeCell ref="B735:B738"/>
    <mergeCell ref="C735:C738"/>
    <mergeCell ref="D735:D738"/>
    <mergeCell ref="E735:E738"/>
    <mergeCell ref="F735:F738"/>
    <mergeCell ref="G735:G738"/>
    <mergeCell ref="P735:P738"/>
    <mergeCell ref="B731:B734"/>
    <mergeCell ref="C731:C734"/>
    <mergeCell ref="D731:D734"/>
    <mergeCell ref="E731:E734"/>
    <mergeCell ref="F731:F734"/>
    <mergeCell ref="G731:G734"/>
    <mergeCell ref="P722:P725"/>
    <mergeCell ref="B726:P726"/>
    <mergeCell ref="B727:B730"/>
    <mergeCell ref="C727:C730"/>
    <mergeCell ref="D727:D730"/>
    <mergeCell ref="E727:E730"/>
    <mergeCell ref="F727:F730"/>
    <mergeCell ref="G727:G730"/>
    <mergeCell ref="P727:P730"/>
    <mergeCell ref="B722:B725"/>
    <mergeCell ref="C722:C725"/>
    <mergeCell ref="D722:D725"/>
    <mergeCell ref="E722:E725"/>
    <mergeCell ref="F722:F725"/>
    <mergeCell ref="G722:G725"/>
    <mergeCell ref="P714:P717"/>
    <mergeCell ref="B718:B721"/>
    <mergeCell ref="C718:C721"/>
    <mergeCell ref="D718:D721"/>
    <mergeCell ref="E718:E721"/>
    <mergeCell ref="F718:F721"/>
    <mergeCell ref="G718:G721"/>
    <mergeCell ref="P718:P721"/>
    <mergeCell ref="B714:B717"/>
    <mergeCell ref="C714:C717"/>
    <mergeCell ref="D714:D717"/>
    <mergeCell ref="E714:E717"/>
    <mergeCell ref="F714:F717"/>
    <mergeCell ref="G714:G717"/>
    <mergeCell ref="P706:P709"/>
    <mergeCell ref="B710:B713"/>
    <mergeCell ref="C710:C713"/>
    <mergeCell ref="D710:D713"/>
    <mergeCell ref="E710:E713"/>
    <mergeCell ref="F710:F713"/>
    <mergeCell ref="G710:G713"/>
    <mergeCell ref="P710:P713"/>
    <mergeCell ref="B706:B709"/>
    <mergeCell ref="C706:C709"/>
    <mergeCell ref="D706:D709"/>
    <mergeCell ref="E706:E709"/>
    <mergeCell ref="F706:F709"/>
    <mergeCell ref="G706:G709"/>
    <mergeCell ref="P698:P701"/>
    <mergeCell ref="B702:B705"/>
    <mergeCell ref="C702:C705"/>
    <mergeCell ref="D702:D705"/>
    <mergeCell ref="E702:E705"/>
    <mergeCell ref="F702:F705"/>
    <mergeCell ref="G702:G705"/>
    <mergeCell ref="P702:P705"/>
    <mergeCell ref="B698:B701"/>
    <mergeCell ref="C698:C701"/>
    <mergeCell ref="D698:D701"/>
    <mergeCell ref="E698:E701"/>
    <mergeCell ref="F698:F701"/>
    <mergeCell ref="G698:G701"/>
    <mergeCell ref="P690:P693"/>
    <mergeCell ref="B694:B697"/>
    <mergeCell ref="C694:C697"/>
    <mergeCell ref="D694:D697"/>
    <mergeCell ref="E694:E697"/>
    <mergeCell ref="F694:F697"/>
    <mergeCell ref="G694:G697"/>
    <mergeCell ref="P694:P697"/>
    <mergeCell ref="B690:B693"/>
    <mergeCell ref="C690:C693"/>
    <mergeCell ref="D690:D693"/>
    <mergeCell ref="E690:E693"/>
    <mergeCell ref="F690:F693"/>
    <mergeCell ref="G690:G693"/>
    <mergeCell ref="P682:P685"/>
    <mergeCell ref="B686:B689"/>
    <mergeCell ref="C686:C689"/>
    <mergeCell ref="D686:D689"/>
    <mergeCell ref="E686:E689"/>
    <mergeCell ref="F686:F689"/>
    <mergeCell ref="G686:G689"/>
    <mergeCell ref="P686:P689"/>
    <mergeCell ref="B682:B685"/>
    <mergeCell ref="C682:C685"/>
    <mergeCell ref="D682:D685"/>
    <mergeCell ref="E682:E685"/>
    <mergeCell ref="F682:F685"/>
    <mergeCell ref="G682:G685"/>
    <mergeCell ref="P674:P677"/>
    <mergeCell ref="B678:B681"/>
    <mergeCell ref="C678:C681"/>
    <mergeCell ref="D678:D681"/>
    <mergeCell ref="E678:E681"/>
    <mergeCell ref="F678:F681"/>
    <mergeCell ref="G678:G681"/>
    <mergeCell ref="P678:P681"/>
    <mergeCell ref="B674:B677"/>
    <mergeCell ref="C674:C677"/>
    <mergeCell ref="D674:D677"/>
    <mergeCell ref="E674:E677"/>
    <mergeCell ref="F674:F677"/>
    <mergeCell ref="G674:G677"/>
    <mergeCell ref="P666:P669"/>
    <mergeCell ref="B670:B673"/>
    <mergeCell ref="C670:C673"/>
    <mergeCell ref="D670:D673"/>
    <mergeCell ref="E670:E673"/>
    <mergeCell ref="F670:F673"/>
    <mergeCell ref="G670:G673"/>
    <mergeCell ref="P670:P673"/>
    <mergeCell ref="B666:B669"/>
    <mergeCell ref="C666:C669"/>
    <mergeCell ref="D666:D669"/>
    <mergeCell ref="E666:E669"/>
    <mergeCell ref="F666:F669"/>
    <mergeCell ref="G666:G669"/>
    <mergeCell ref="P658:P661"/>
    <mergeCell ref="B662:B665"/>
    <mergeCell ref="C662:C665"/>
    <mergeCell ref="D662:D665"/>
    <mergeCell ref="E662:E665"/>
    <mergeCell ref="F662:F665"/>
    <mergeCell ref="G662:G665"/>
    <mergeCell ref="P662:P665"/>
    <mergeCell ref="B658:B661"/>
    <mergeCell ref="C658:C661"/>
    <mergeCell ref="D658:D661"/>
    <mergeCell ref="E658:E661"/>
    <mergeCell ref="F658:F661"/>
    <mergeCell ref="G658:G661"/>
    <mergeCell ref="P650:P653"/>
    <mergeCell ref="B654:B657"/>
    <mergeCell ref="C654:C657"/>
    <mergeCell ref="D654:D657"/>
    <mergeCell ref="E654:E657"/>
    <mergeCell ref="F654:F657"/>
    <mergeCell ref="G654:G657"/>
    <mergeCell ref="P654:P657"/>
    <mergeCell ref="B650:B653"/>
    <mergeCell ref="C650:C653"/>
    <mergeCell ref="D650:D653"/>
    <mergeCell ref="E650:E653"/>
    <mergeCell ref="F650:F653"/>
    <mergeCell ref="G650:G653"/>
    <mergeCell ref="P642:P645"/>
    <mergeCell ref="B646:B649"/>
    <mergeCell ref="C646:C649"/>
    <mergeCell ref="D646:D649"/>
    <mergeCell ref="E646:E649"/>
    <mergeCell ref="F646:F649"/>
    <mergeCell ref="G646:G649"/>
    <mergeCell ref="P646:P649"/>
    <mergeCell ref="B642:B645"/>
    <mergeCell ref="C642:C645"/>
    <mergeCell ref="D642:D645"/>
    <mergeCell ref="E642:E645"/>
    <mergeCell ref="F642:F645"/>
    <mergeCell ref="G642:G645"/>
    <mergeCell ref="P634:P637"/>
    <mergeCell ref="B638:B641"/>
    <mergeCell ref="C638:C641"/>
    <mergeCell ref="D638:D641"/>
    <mergeCell ref="E638:E641"/>
    <mergeCell ref="F638:F641"/>
    <mergeCell ref="G638:G641"/>
    <mergeCell ref="P638:P641"/>
    <mergeCell ref="B634:B637"/>
    <mergeCell ref="C634:C637"/>
    <mergeCell ref="D634:D637"/>
    <mergeCell ref="E634:E637"/>
    <mergeCell ref="F634:F637"/>
    <mergeCell ref="G634:G637"/>
    <mergeCell ref="P626:P629"/>
    <mergeCell ref="B630:B633"/>
    <mergeCell ref="C630:C633"/>
    <mergeCell ref="D630:D633"/>
    <mergeCell ref="E630:E633"/>
    <mergeCell ref="F630:F633"/>
    <mergeCell ref="G630:G633"/>
    <mergeCell ref="P630:P633"/>
    <mergeCell ref="B626:B629"/>
    <mergeCell ref="C626:C629"/>
    <mergeCell ref="D626:D629"/>
    <mergeCell ref="E626:E629"/>
    <mergeCell ref="F626:F629"/>
    <mergeCell ref="G626:G629"/>
    <mergeCell ref="P618:P621"/>
    <mergeCell ref="B622:B625"/>
    <mergeCell ref="C622:C625"/>
    <mergeCell ref="D622:D625"/>
    <mergeCell ref="E622:E625"/>
    <mergeCell ref="F622:F625"/>
    <mergeCell ref="G622:G625"/>
    <mergeCell ref="P622:P625"/>
    <mergeCell ref="B618:B621"/>
    <mergeCell ref="C618:C621"/>
    <mergeCell ref="D618:D621"/>
    <mergeCell ref="E618:E621"/>
    <mergeCell ref="F618:F621"/>
    <mergeCell ref="G618:G621"/>
    <mergeCell ref="P610:P613"/>
    <mergeCell ref="B614:B617"/>
    <mergeCell ref="C614:C617"/>
    <mergeCell ref="D614:D617"/>
    <mergeCell ref="E614:E617"/>
    <mergeCell ref="F614:F617"/>
    <mergeCell ref="G614:G617"/>
    <mergeCell ref="P614:P617"/>
    <mergeCell ref="B610:B613"/>
    <mergeCell ref="C610:C613"/>
    <mergeCell ref="D610:D613"/>
    <mergeCell ref="E610:E613"/>
    <mergeCell ref="F610:F613"/>
    <mergeCell ref="G610:G613"/>
    <mergeCell ref="P601:P604"/>
    <mergeCell ref="B605:P605"/>
    <mergeCell ref="B606:B609"/>
    <mergeCell ref="C606:C609"/>
    <mergeCell ref="D606:D609"/>
    <mergeCell ref="E606:E609"/>
    <mergeCell ref="F606:F609"/>
    <mergeCell ref="G606:G609"/>
    <mergeCell ref="P606:P609"/>
    <mergeCell ref="B601:B604"/>
    <mergeCell ref="C601:C604"/>
    <mergeCell ref="D601:D604"/>
    <mergeCell ref="E601:E604"/>
    <mergeCell ref="F601:F604"/>
    <mergeCell ref="G601:G604"/>
    <mergeCell ref="P593:P596"/>
    <mergeCell ref="B597:B600"/>
    <mergeCell ref="C597:C600"/>
    <mergeCell ref="D597:D600"/>
    <mergeCell ref="E597:E600"/>
    <mergeCell ref="F597:F600"/>
    <mergeCell ref="G597:G600"/>
    <mergeCell ref="P597:P600"/>
    <mergeCell ref="B593:B596"/>
    <mergeCell ref="C593:C596"/>
    <mergeCell ref="D593:D596"/>
    <mergeCell ref="E593:E596"/>
    <mergeCell ref="F593:F596"/>
    <mergeCell ref="G593:G596"/>
    <mergeCell ref="P584:P587"/>
    <mergeCell ref="B588:P588"/>
    <mergeCell ref="B589:B592"/>
    <mergeCell ref="C589:C592"/>
    <mergeCell ref="D589:D592"/>
    <mergeCell ref="E589:E592"/>
    <mergeCell ref="F589:F592"/>
    <mergeCell ref="G589:G592"/>
    <mergeCell ref="P589:P592"/>
    <mergeCell ref="B584:B587"/>
    <mergeCell ref="C584:C587"/>
    <mergeCell ref="D584:D587"/>
    <mergeCell ref="E584:E587"/>
    <mergeCell ref="F584:F587"/>
    <mergeCell ref="G584:G587"/>
    <mergeCell ref="P576:P579"/>
    <mergeCell ref="B580:B583"/>
    <mergeCell ref="C580:C583"/>
    <mergeCell ref="D580:D583"/>
    <mergeCell ref="E580:E583"/>
    <mergeCell ref="F580:F583"/>
    <mergeCell ref="G580:G583"/>
    <mergeCell ref="P580:P583"/>
    <mergeCell ref="B576:B579"/>
    <mergeCell ref="C576:C579"/>
    <mergeCell ref="D576:D579"/>
    <mergeCell ref="E576:E579"/>
    <mergeCell ref="F576:F579"/>
    <mergeCell ref="G576:G579"/>
    <mergeCell ref="B571:P571"/>
    <mergeCell ref="B572:B575"/>
    <mergeCell ref="C572:C575"/>
    <mergeCell ref="D572:D575"/>
    <mergeCell ref="E572:E575"/>
    <mergeCell ref="F572:F575"/>
    <mergeCell ref="G572:G575"/>
    <mergeCell ref="P572:P575"/>
    <mergeCell ref="P563:P566"/>
    <mergeCell ref="B567:B570"/>
    <mergeCell ref="C567:C570"/>
    <mergeCell ref="D567:D570"/>
    <mergeCell ref="E567:E570"/>
    <mergeCell ref="F567:F570"/>
    <mergeCell ref="G567:G570"/>
    <mergeCell ref="P567:P570"/>
    <mergeCell ref="B563:B566"/>
    <mergeCell ref="C563:C566"/>
    <mergeCell ref="D563:D566"/>
    <mergeCell ref="E563:E566"/>
    <mergeCell ref="F563:F566"/>
    <mergeCell ref="G563:G566"/>
    <mergeCell ref="P554:P557"/>
    <mergeCell ref="B558:P558"/>
    <mergeCell ref="B559:B562"/>
    <mergeCell ref="C559:C562"/>
    <mergeCell ref="D559:D562"/>
    <mergeCell ref="E559:E562"/>
    <mergeCell ref="F559:F562"/>
    <mergeCell ref="G559:G562"/>
    <mergeCell ref="P559:P562"/>
    <mergeCell ref="B554:B557"/>
    <mergeCell ref="C554:C557"/>
    <mergeCell ref="D554:D557"/>
    <mergeCell ref="E554:E557"/>
    <mergeCell ref="F554:F557"/>
    <mergeCell ref="G554:G557"/>
    <mergeCell ref="P546:P549"/>
    <mergeCell ref="B550:B553"/>
    <mergeCell ref="C550:C553"/>
    <mergeCell ref="D550:D553"/>
    <mergeCell ref="E550:E553"/>
    <mergeCell ref="F550:F553"/>
    <mergeCell ref="G550:G553"/>
    <mergeCell ref="P550:P553"/>
    <mergeCell ref="B546:B549"/>
    <mergeCell ref="C546:C549"/>
    <mergeCell ref="D546:D549"/>
    <mergeCell ref="E546:E549"/>
    <mergeCell ref="F546:F549"/>
    <mergeCell ref="G546:G549"/>
    <mergeCell ref="P538:P541"/>
    <mergeCell ref="B542:B545"/>
    <mergeCell ref="C542:C545"/>
    <mergeCell ref="D542:D545"/>
    <mergeCell ref="E542:E545"/>
    <mergeCell ref="F542:F545"/>
    <mergeCell ref="G542:G545"/>
    <mergeCell ref="P542:P545"/>
    <mergeCell ref="B538:B541"/>
    <mergeCell ref="C538:C541"/>
    <mergeCell ref="D538:D541"/>
    <mergeCell ref="E538:E541"/>
    <mergeCell ref="F538:F541"/>
    <mergeCell ref="G538:G541"/>
    <mergeCell ref="P530:P533"/>
    <mergeCell ref="B534:B537"/>
    <mergeCell ref="C534:C537"/>
    <mergeCell ref="D534:D537"/>
    <mergeCell ref="E534:E537"/>
    <mergeCell ref="F534:F537"/>
    <mergeCell ref="G534:G537"/>
    <mergeCell ref="P534:P537"/>
    <mergeCell ref="B530:B533"/>
    <mergeCell ref="C530:C533"/>
    <mergeCell ref="D530:D533"/>
    <mergeCell ref="E530:E533"/>
    <mergeCell ref="F530:F533"/>
    <mergeCell ref="G530:G533"/>
    <mergeCell ref="P521:P524"/>
    <mergeCell ref="B525:P525"/>
    <mergeCell ref="B526:B529"/>
    <mergeCell ref="C526:C529"/>
    <mergeCell ref="D526:D529"/>
    <mergeCell ref="E526:E529"/>
    <mergeCell ref="F526:F529"/>
    <mergeCell ref="G526:G529"/>
    <mergeCell ref="P526:P529"/>
    <mergeCell ref="B521:B524"/>
    <mergeCell ref="C521:C524"/>
    <mergeCell ref="D521:D524"/>
    <mergeCell ref="E521:E524"/>
    <mergeCell ref="F521:F524"/>
    <mergeCell ref="G521:G524"/>
    <mergeCell ref="P513:P516"/>
    <mergeCell ref="B517:B520"/>
    <mergeCell ref="C517:C520"/>
    <mergeCell ref="D517:D520"/>
    <mergeCell ref="E517:E520"/>
    <mergeCell ref="F517:F520"/>
    <mergeCell ref="G517:G520"/>
    <mergeCell ref="P517:P520"/>
    <mergeCell ref="B513:B516"/>
    <mergeCell ref="C513:C516"/>
    <mergeCell ref="D513:D516"/>
    <mergeCell ref="E513:E516"/>
    <mergeCell ref="F513:F516"/>
    <mergeCell ref="G513:G516"/>
    <mergeCell ref="P505:P508"/>
    <mergeCell ref="B509:B512"/>
    <mergeCell ref="C509:C512"/>
    <mergeCell ref="D509:D512"/>
    <mergeCell ref="E509:E512"/>
    <mergeCell ref="F509:F512"/>
    <mergeCell ref="G509:G512"/>
    <mergeCell ref="P509:P512"/>
    <mergeCell ref="B505:B508"/>
    <mergeCell ref="C505:C508"/>
    <mergeCell ref="D505:D508"/>
    <mergeCell ref="E505:E508"/>
    <mergeCell ref="F505:F508"/>
    <mergeCell ref="G505:G508"/>
    <mergeCell ref="P497:P500"/>
    <mergeCell ref="B501:B504"/>
    <mergeCell ref="C501:C504"/>
    <mergeCell ref="D501:D504"/>
    <mergeCell ref="E501:E504"/>
    <mergeCell ref="F501:F504"/>
    <mergeCell ref="G501:G504"/>
    <mergeCell ref="P501:P504"/>
    <mergeCell ref="B497:B500"/>
    <mergeCell ref="C497:C500"/>
    <mergeCell ref="D497:D500"/>
    <mergeCell ref="E497:E500"/>
    <mergeCell ref="F497:F500"/>
    <mergeCell ref="G497:G500"/>
    <mergeCell ref="P489:P492"/>
    <mergeCell ref="B493:B496"/>
    <mergeCell ref="C493:C496"/>
    <mergeCell ref="D493:D496"/>
    <mergeCell ref="E493:E496"/>
    <mergeCell ref="F493:F496"/>
    <mergeCell ref="G493:G496"/>
    <mergeCell ref="P493:P496"/>
    <mergeCell ref="B489:B492"/>
    <mergeCell ref="C489:C492"/>
    <mergeCell ref="D489:D492"/>
    <mergeCell ref="E489:E492"/>
    <mergeCell ref="F489:F492"/>
    <mergeCell ref="G489:G492"/>
    <mergeCell ref="P481:P484"/>
    <mergeCell ref="B485:B488"/>
    <mergeCell ref="C485:C488"/>
    <mergeCell ref="D485:D488"/>
    <mergeCell ref="E485:E488"/>
    <mergeCell ref="F485:F488"/>
    <mergeCell ref="G485:G488"/>
    <mergeCell ref="P485:P488"/>
    <mergeCell ref="B481:B484"/>
    <mergeCell ref="C481:C484"/>
    <mergeCell ref="D481:D484"/>
    <mergeCell ref="E481:E484"/>
    <mergeCell ref="F481:F484"/>
    <mergeCell ref="G481:G484"/>
    <mergeCell ref="P473:P476"/>
    <mergeCell ref="B477:B480"/>
    <mergeCell ref="C477:C480"/>
    <mergeCell ref="D477:D480"/>
    <mergeCell ref="E477:E480"/>
    <mergeCell ref="F477:F480"/>
    <mergeCell ref="G477:G480"/>
    <mergeCell ref="P477:P480"/>
    <mergeCell ref="B473:B476"/>
    <mergeCell ref="C473:C476"/>
    <mergeCell ref="D473:D476"/>
    <mergeCell ref="E473:E476"/>
    <mergeCell ref="F473:F476"/>
    <mergeCell ref="G473:G476"/>
    <mergeCell ref="P465:P468"/>
    <mergeCell ref="B469:B472"/>
    <mergeCell ref="C469:C472"/>
    <mergeCell ref="D469:D472"/>
    <mergeCell ref="E469:E472"/>
    <mergeCell ref="F469:F472"/>
    <mergeCell ref="G469:G472"/>
    <mergeCell ref="P469:P472"/>
    <mergeCell ref="B465:B468"/>
    <mergeCell ref="C465:C468"/>
    <mergeCell ref="D465:D468"/>
    <mergeCell ref="E465:E468"/>
    <mergeCell ref="F465:F468"/>
    <mergeCell ref="G465:G468"/>
    <mergeCell ref="P457:P460"/>
    <mergeCell ref="B461:B464"/>
    <mergeCell ref="C461:C464"/>
    <mergeCell ref="D461:D464"/>
    <mergeCell ref="E461:E464"/>
    <mergeCell ref="F461:F464"/>
    <mergeCell ref="G461:G464"/>
    <mergeCell ref="P461:P464"/>
    <mergeCell ref="B457:B460"/>
    <mergeCell ref="C457:C460"/>
    <mergeCell ref="D457:D460"/>
    <mergeCell ref="E457:E460"/>
    <mergeCell ref="F457:F460"/>
    <mergeCell ref="G457:G460"/>
    <mergeCell ref="P448:P451"/>
    <mergeCell ref="B452:P452"/>
    <mergeCell ref="B453:B456"/>
    <mergeCell ref="C453:C456"/>
    <mergeCell ref="D453:D456"/>
    <mergeCell ref="E453:E456"/>
    <mergeCell ref="F453:F456"/>
    <mergeCell ref="G453:G456"/>
    <mergeCell ref="P453:P456"/>
    <mergeCell ref="B448:B451"/>
    <mergeCell ref="C448:C451"/>
    <mergeCell ref="D448:D451"/>
    <mergeCell ref="E448:E451"/>
    <mergeCell ref="F448:F451"/>
    <mergeCell ref="G448:G451"/>
    <mergeCell ref="P440:P443"/>
    <mergeCell ref="B444:B447"/>
    <mergeCell ref="C444:C447"/>
    <mergeCell ref="D444:D447"/>
    <mergeCell ref="E444:E447"/>
    <mergeCell ref="F444:F447"/>
    <mergeCell ref="G444:G447"/>
    <mergeCell ref="P444:P447"/>
    <mergeCell ref="B440:B443"/>
    <mergeCell ref="C440:C443"/>
    <mergeCell ref="D440:D443"/>
    <mergeCell ref="E440:E443"/>
    <mergeCell ref="F440:F443"/>
    <mergeCell ref="G440:G443"/>
    <mergeCell ref="P432:P435"/>
    <mergeCell ref="B436:B439"/>
    <mergeCell ref="C436:C439"/>
    <mergeCell ref="D436:D439"/>
    <mergeCell ref="E436:E439"/>
    <mergeCell ref="F436:F439"/>
    <mergeCell ref="G436:G439"/>
    <mergeCell ref="P436:P439"/>
    <mergeCell ref="B432:B435"/>
    <mergeCell ref="C432:C435"/>
    <mergeCell ref="D432:D435"/>
    <mergeCell ref="E432:E435"/>
    <mergeCell ref="F432:F435"/>
    <mergeCell ref="G432:G435"/>
    <mergeCell ref="P424:P427"/>
    <mergeCell ref="B428:B431"/>
    <mergeCell ref="C428:C431"/>
    <mergeCell ref="D428:D431"/>
    <mergeCell ref="E428:E431"/>
    <mergeCell ref="F428:F431"/>
    <mergeCell ref="G428:G431"/>
    <mergeCell ref="P428:P431"/>
    <mergeCell ref="B424:B427"/>
    <mergeCell ref="C424:C427"/>
    <mergeCell ref="D424:D427"/>
    <mergeCell ref="E424:E427"/>
    <mergeCell ref="F424:F427"/>
    <mergeCell ref="G424:G427"/>
    <mergeCell ref="P416:P419"/>
    <mergeCell ref="B420:B423"/>
    <mergeCell ref="C420:C423"/>
    <mergeCell ref="D420:D423"/>
    <mergeCell ref="E420:E423"/>
    <mergeCell ref="F420:F423"/>
    <mergeCell ref="G420:G423"/>
    <mergeCell ref="P420:P423"/>
    <mergeCell ref="B416:B419"/>
    <mergeCell ref="C416:C419"/>
    <mergeCell ref="D416:D419"/>
    <mergeCell ref="E416:E419"/>
    <mergeCell ref="F416:F419"/>
    <mergeCell ref="G416:G419"/>
    <mergeCell ref="P408:P411"/>
    <mergeCell ref="B412:B415"/>
    <mergeCell ref="C412:C415"/>
    <mergeCell ref="D412:D415"/>
    <mergeCell ref="E412:E415"/>
    <mergeCell ref="F412:F415"/>
    <mergeCell ref="G412:G415"/>
    <mergeCell ref="P412:P415"/>
    <mergeCell ref="B408:B411"/>
    <mergeCell ref="C408:C411"/>
    <mergeCell ref="D408:D411"/>
    <mergeCell ref="E408:E411"/>
    <mergeCell ref="F408:F411"/>
    <mergeCell ref="G408:G411"/>
    <mergeCell ref="P400:P403"/>
    <mergeCell ref="B404:B407"/>
    <mergeCell ref="C404:C407"/>
    <mergeCell ref="D404:D407"/>
    <mergeCell ref="E404:E407"/>
    <mergeCell ref="F404:F407"/>
    <mergeCell ref="G404:G407"/>
    <mergeCell ref="P404:P407"/>
    <mergeCell ref="B400:B403"/>
    <mergeCell ref="C400:C403"/>
    <mergeCell ref="D400:D403"/>
    <mergeCell ref="E400:E403"/>
    <mergeCell ref="F400:F403"/>
    <mergeCell ref="G400:G403"/>
    <mergeCell ref="P392:P395"/>
    <mergeCell ref="B396:B399"/>
    <mergeCell ref="C396:C399"/>
    <mergeCell ref="D396:D399"/>
    <mergeCell ref="E396:E399"/>
    <mergeCell ref="F396:F399"/>
    <mergeCell ref="G396:G399"/>
    <mergeCell ref="P396:P399"/>
    <mergeCell ref="B392:B395"/>
    <mergeCell ref="C392:C395"/>
    <mergeCell ref="D392:D395"/>
    <mergeCell ref="E392:E395"/>
    <mergeCell ref="F392:F395"/>
    <mergeCell ref="G392:G395"/>
    <mergeCell ref="P384:P387"/>
    <mergeCell ref="B388:B391"/>
    <mergeCell ref="C388:C391"/>
    <mergeCell ref="D388:D391"/>
    <mergeCell ref="E388:E391"/>
    <mergeCell ref="F388:F391"/>
    <mergeCell ref="G388:G391"/>
    <mergeCell ref="P388:P391"/>
    <mergeCell ref="B384:B387"/>
    <mergeCell ref="C384:C387"/>
    <mergeCell ref="D384:D387"/>
    <mergeCell ref="E384:E387"/>
    <mergeCell ref="F384:F387"/>
    <mergeCell ref="G384:G387"/>
    <mergeCell ref="P376:P379"/>
    <mergeCell ref="B380:B383"/>
    <mergeCell ref="C380:C383"/>
    <mergeCell ref="D380:D383"/>
    <mergeCell ref="E380:E383"/>
    <mergeCell ref="F380:F383"/>
    <mergeCell ref="G380:G383"/>
    <mergeCell ref="P380:P383"/>
    <mergeCell ref="B376:B379"/>
    <mergeCell ref="C376:C379"/>
    <mergeCell ref="D376:D379"/>
    <mergeCell ref="E376:E379"/>
    <mergeCell ref="F376:F379"/>
    <mergeCell ref="G376:G379"/>
    <mergeCell ref="P368:P371"/>
    <mergeCell ref="B372:B375"/>
    <mergeCell ref="C372:C375"/>
    <mergeCell ref="D372:D375"/>
    <mergeCell ref="E372:E375"/>
    <mergeCell ref="F372:F375"/>
    <mergeCell ref="G372:G375"/>
    <mergeCell ref="P372:P375"/>
    <mergeCell ref="B368:B371"/>
    <mergeCell ref="C368:C371"/>
    <mergeCell ref="D368:D371"/>
    <mergeCell ref="E368:E371"/>
    <mergeCell ref="F368:F371"/>
    <mergeCell ref="G368:G371"/>
    <mergeCell ref="P360:P363"/>
    <mergeCell ref="B364:B367"/>
    <mergeCell ref="C364:C367"/>
    <mergeCell ref="D364:D367"/>
    <mergeCell ref="E364:E367"/>
    <mergeCell ref="F364:F367"/>
    <mergeCell ref="G364:G367"/>
    <mergeCell ref="P364:P367"/>
    <mergeCell ref="B360:B363"/>
    <mergeCell ref="C360:C363"/>
    <mergeCell ref="D360:D363"/>
    <mergeCell ref="E360:E363"/>
    <mergeCell ref="F360:F363"/>
    <mergeCell ref="G360:G363"/>
    <mergeCell ref="P352:P355"/>
    <mergeCell ref="B356:B359"/>
    <mergeCell ref="C356:C359"/>
    <mergeCell ref="D356:D359"/>
    <mergeCell ref="E356:E359"/>
    <mergeCell ref="F356:F359"/>
    <mergeCell ref="G356:G359"/>
    <mergeCell ref="P356:P359"/>
    <mergeCell ref="B352:B355"/>
    <mergeCell ref="C352:C355"/>
    <mergeCell ref="D352:D355"/>
    <mergeCell ref="E352:E355"/>
    <mergeCell ref="F352:F355"/>
    <mergeCell ref="G352:G355"/>
    <mergeCell ref="P344:P347"/>
    <mergeCell ref="B348:B351"/>
    <mergeCell ref="C348:C351"/>
    <mergeCell ref="D348:D351"/>
    <mergeCell ref="E348:E351"/>
    <mergeCell ref="F348:F351"/>
    <mergeCell ref="G348:G351"/>
    <mergeCell ref="P348:P351"/>
    <mergeCell ref="B344:B347"/>
    <mergeCell ref="C344:C347"/>
    <mergeCell ref="D344:D347"/>
    <mergeCell ref="E344:E347"/>
    <mergeCell ref="F344:F347"/>
    <mergeCell ref="G344:G347"/>
    <mergeCell ref="P336:P339"/>
    <mergeCell ref="B340:B343"/>
    <mergeCell ref="C340:C343"/>
    <mergeCell ref="D340:D343"/>
    <mergeCell ref="E340:E343"/>
    <mergeCell ref="F340:F343"/>
    <mergeCell ref="G340:G343"/>
    <mergeCell ref="P340:P343"/>
    <mergeCell ref="B336:B339"/>
    <mergeCell ref="C336:C339"/>
    <mergeCell ref="D336:D339"/>
    <mergeCell ref="E336:E339"/>
    <mergeCell ref="F336:F339"/>
    <mergeCell ref="G336:G339"/>
    <mergeCell ref="P328:P331"/>
    <mergeCell ref="B332:B335"/>
    <mergeCell ref="C332:C335"/>
    <mergeCell ref="D332:D335"/>
    <mergeCell ref="E332:E335"/>
    <mergeCell ref="F332:F335"/>
    <mergeCell ref="G332:G335"/>
    <mergeCell ref="P332:P335"/>
    <mergeCell ref="B328:B331"/>
    <mergeCell ref="C328:C331"/>
    <mergeCell ref="D328:D331"/>
    <mergeCell ref="E328:E331"/>
    <mergeCell ref="F328:F331"/>
    <mergeCell ref="G328:G331"/>
    <mergeCell ref="P320:P323"/>
    <mergeCell ref="B324:B327"/>
    <mergeCell ref="C324:C327"/>
    <mergeCell ref="D324:D327"/>
    <mergeCell ref="E324:E327"/>
    <mergeCell ref="F324:F327"/>
    <mergeCell ref="G324:G327"/>
    <mergeCell ref="P324:P327"/>
    <mergeCell ref="B320:B323"/>
    <mergeCell ref="C320:C323"/>
    <mergeCell ref="D320:D323"/>
    <mergeCell ref="E320:E323"/>
    <mergeCell ref="F320:F323"/>
    <mergeCell ref="G320:G323"/>
    <mergeCell ref="P312:P315"/>
    <mergeCell ref="B316:B319"/>
    <mergeCell ref="C316:C319"/>
    <mergeCell ref="D316:D319"/>
    <mergeCell ref="E316:E319"/>
    <mergeCell ref="F316:F319"/>
    <mergeCell ref="G316:G319"/>
    <mergeCell ref="P316:P319"/>
    <mergeCell ref="B312:B315"/>
    <mergeCell ref="C312:C315"/>
    <mergeCell ref="D312:D315"/>
    <mergeCell ref="E312:E315"/>
    <mergeCell ref="F312:F315"/>
    <mergeCell ref="G312:G315"/>
    <mergeCell ref="P304:P307"/>
    <mergeCell ref="B308:B311"/>
    <mergeCell ref="C308:C311"/>
    <mergeCell ref="D308:D311"/>
    <mergeCell ref="E308:E311"/>
    <mergeCell ref="F308:F311"/>
    <mergeCell ref="G308:G311"/>
    <mergeCell ref="P308:P311"/>
    <mergeCell ref="B304:B307"/>
    <mergeCell ref="C304:C307"/>
    <mergeCell ref="D304:D307"/>
    <mergeCell ref="E304:E307"/>
    <mergeCell ref="F304:F307"/>
    <mergeCell ref="G304:G307"/>
    <mergeCell ref="P295:P298"/>
    <mergeCell ref="B299:P299"/>
    <mergeCell ref="B300:B303"/>
    <mergeCell ref="C300:C303"/>
    <mergeCell ref="D300:D303"/>
    <mergeCell ref="E300:E303"/>
    <mergeCell ref="F300:F303"/>
    <mergeCell ref="G300:G303"/>
    <mergeCell ref="P300:P303"/>
    <mergeCell ref="B295:B298"/>
    <mergeCell ref="C295:C298"/>
    <mergeCell ref="D295:D298"/>
    <mergeCell ref="E295:E298"/>
    <mergeCell ref="F295:F298"/>
    <mergeCell ref="G295:G298"/>
    <mergeCell ref="P287:P290"/>
    <mergeCell ref="B291:B294"/>
    <mergeCell ref="C291:C294"/>
    <mergeCell ref="D291:D294"/>
    <mergeCell ref="E291:E294"/>
    <mergeCell ref="F291:F294"/>
    <mergeCell ref="G291:G294"/>
    <mergeCell ref="P291:P294"/>
    <mergeCell ref="B287:B290"/>
    <mergeCell ref="C287:C290"/>
    <mergeCell ref="D287:D290"/>
    <mergeCell ref="E287:E290"/>
    <mergeCell ref="F287:F290"/>
    <mergeCell ref="G287:G290"/>
    <mergeCell ref="P279:P282"/>
    <mergeCell ref="B283:B286"/>
    <mergeCell ref="C283:C286"/>
    <mergeCell ref="D283:D286"/>
    <mergeCell ref="E283:E286"/>
    <mergeCell ref="F283:F286"/>
    <mergeCell ref="G283:G286"/>
    <mergeCell ref="P283:P286"/>
    <mergeCell ref="B279:B282"/>
    <mergeCell ref="C279:C282"/>
    <mergeCell ref="D279:D282"/>
    <mergeCell ref="E279:E282"/>
    <mergeCell ref="F279:F282"/>
    <mergeCell ref="G279:G282"/>
    <mergeCell ref="P271:P274"/>
    <mergeCell ref="B275:B278"/>
    <mergeCell ref="C275:C278"/>
    <mergeCell ref="D275:D278"/>
    <mergeCell ref="E275:E278"/>
    <mergeCell ref="F275:F278"/>
    <mergeCell ref="G275:G278"/>
    <mergeCell ref="P275:P278"/>
    <mergeCell ref="B271:B274"/>
    <mergeCell ref="C271:C274"/>
    <mergeCell ref="D271:D274"/>
    <mergeCell ref="E271:E274"/>
    <mergeCell ref="F271:F274"/>
    <mergeCell ref="G271:G274"/>
    <mergeCell ref="P263:P266"/>
    <mergeCell ref="B267:B270"/>
    <mergeCell ref="C267:C270"/>
    <mergeCell ref="D267:D270"/>
    <mergeCell ref="E267:E270"/>
    <mergeCell ref="F267:F270"/>
    <mergeCell ref="G267:G270"/>
    <mergeCell ref="P267:P270"/>
    <mergeCell ref="B263:B266"/>
    <mergeCell ref="C263:C266"/>
    <mergeCell ref="D263:D266"/>
    <mergeCell ref="E263:E266"/>
    <mergeCell ref="F263:F266"/>
    <mergeCell ref="G263:G266"/>
    <mergeCell ref="P255:P258"/>
    <mergeCell ref="B259:B262"/>
    <mergeCell ref="C259:C262"/>
    <mergeCell ref="D259:D262"/>
    <mergeCell ref="E259:E262"/>
    <mergeCell ref="F259:F262"/>
    <mergeCell ref="G259:G262"/>
    <mergeCell ref="P259:P262"/>
    <mergeCell ref="B255:B258"/>
    <mergeCell ref="C255:C258"/>
    <mergeCell ref="D255:D258"/>
    <mergeCell ref="E255:E258"/>
    <mergeCell ref="F255:F258"/>
    <mergeCell ref="G255:G258"/>
    <mergeCell ref="P247:P250"/>
    <mergeCell ref="B251:B254"/>
    <mergeCell ref="C251:C254"/>
    <mergeCell ref="D251:D254"/>
    <mergeCell ref="E251:E254"/>
    <mergeCell ref="F251:F254"/>
    <mergeCell ref="G251:G254"/>
    <mergeCell ref="P251:P254"/>
    <mergeCell ref="B247:B250"/>
    <mergeCell ref="C247:C250"/>
    <mergeCell ref="D247:D250"/>
    <mergeCell ref="E247:E250"/>
    <mergeCell ref="F247:F250"/>
    <mergeCell ref="G247:G250"/>
    <mergeCell ref="B242:P242"/>
    <mergeCell ref="B243:B246"/>
    <mergeCell ref="C243:C246"/>
    <mergeCell ref="D243:D246"/>
    <mergeCell ref="E243:E246"/>
    <mergeCell ref="F243:F246"/>
    <mergeCell ref="G243:G246"/>
    <mergeCell ref="P243:P246"/>
    <mergeCell ref="P234:P237"/>
    <mergeCell ref="B238:B241"/>
    <mergeCell ref="C238:C241"/>
    <mergeCell ref="D238:D241"/>
    <mergeCell ref="E238:E241"/>
    <mergeCell ref="F238:F241"/>
    <mergeCell ref="G238:G241"/>
    <mergeCell ref="P238:P241"/>
    <mergeCell ref="B234:B237"/>
    <mergeCell ref="C234:C237"/>
    <mergeCell ref="D234:D237"/>
    <mergeCell ref="E234:E237"/>
    <mergeCell ref="F234:F237"/>
    <mergeCell ref="G234:G237"/>
    <mergeCell ref="P226:P229"/>
    <mergeCell ref="B230:B233"/>
    <mergeCell ref="C230:C233"/>
    <mergeCell ref="D230:D233"/>
    <mergeCell ref="E230:E233"/>
    <mergeCell ref="F230:F233"/>
    <mergeCell ref="G230:G233"/>
    <mergeCell ref="P230:P233"/>
    <mergeCell ref="B226:B229"/>
    <mergeCell ref="C226:C229"/>
    <mergeCell ref="D226:D229"/>
    <mergeCell ref="E226:E229"/>
    <mergeCell ref="F226:F229"/>
    <mergeCell ref="G226:G229"/>
    <mergeCell ref="P218:P221"/>
    <mergeCell ref="B222:B225"/>
    <mergeCell ref="C222:C225"/>
    <mergeCell ref="D222:D225"/>
    <mergeCell ref="E222:E225"/>
    <mergeCell ref="F222:F225"/>
    <mergeCell ref="G222:G225"/>
    <mergeCell ref="P222:P225"/>
    <mergeCell ref="B218:B221"/>
    <mergeCell ref="C218:C221"/>
    <mergeCell ref="D218:D221"/>
    <mergeCell ref="E218:E221"/>
    <mergeCell ref="F218:F221"/>
    <mergeCell ref="G218:G221"/>
    <mergeCell ref="P210:P213"/>
    <mergeCell ref="B214:B217"/>
    <mergeCell ref="C214:C217"/>
    <mergeCell ref="D214:D217"/>
    <mergeCell ref="E214:E217"/>
    <mergeCell ref="F214:F217"/>
    <mergeCell ref="G214:G217"/>
    <mergeCell ref="P214:P217"/>
    <mergeCell ref="B210:B213"/>
    <mergeCell ref="C210:C213"/>
    <mergeCell ref="D210:D213"/>
    <mergeCell ref="E210:E213"/>
    <mergeCell ref="F210:F213"/>
    <mergeCell ref="G210:G213"/>
    <mergeCell ref="P202:P205"/>
    <mergeCell ref="B206:B209"/>
    <mergeCell ref="C206:C209"/>
    <mergeCell ref="D206:D209"/>
    <mergeCell ref="E206:E209"/>
    <mergeCell ref="F206:F209"/>
    <mergeCell ref="G206:G209"/>
    <mergeCell ref="P206:P209"/>
    <mergeCell ref="B202:B205"/>
    <mergeCell ref="C202:C205"/>
    <mergeCell ref="D202:D205"/>
    <mergeCell ref="E202:E205"/>
    <mergeCell ref="F202:F205"/>
    <mergeCell ref="G202:G205"/>
    <mergeCell ref="P194:P197"/>
    <mergeCell ref="B198:B201"/>
    <mergeCell ref="C198:C201"/>
    <mergeCell ref="D198:D201"/>
    <mergeCell ref="E198:E201"/>
    <mergeCell ref="F198:F201"/>
    <mergeCell ref="G198:G201"/>
    <mergeCell ref="P198:P201"/>
    <mergeCell ref="B194:B197"/>
    <mergeCell ref="C194:C197"/>
    <mergeCell ref="D194:D197"/>
    <mergeCell ref="E194:E197"/>
    <mergeCell ref="F194:F197"/>
    <mergeCell ref="G194:G197"/>
    <mergeCell ref="B189:P189"/>
    <mergeCell ref="B190:B193"/>
    <mergeCell ref="C190:C193"/>
    <mergeCell ref="D190:D193"/>
    <mergeCell ref="E190:E193"/>
    <mergeCell ref="F190:F193"/>
    <mergeCell ref="G190:G193"/>
    <mergeCell ref="P190:P193"/>
    <mergeCell ref="P181:P184"/>
    <mergeCell ref="B185:B188"/>
    <mergeCell ref="C185:C188"/>
    <mergeCell ref="D185:D188"/>
    <mergeCell ref="E185:E188"/>
    <mergeCell ref="F185:F188"/>
    <mergeCell ref="G185:G188"/>
    <mergeCell ref="P185:P188"/>
    <mergeCell ref="B181:B184"/>
    <mergeCell ref="C181:C184"/>
    <mergeCell ref="D181:D184"/>
    <mergeCell ref="E181:E184"/>
    <mergeCell ref="F181:F184"/>
    <mergeCell ref="G181:G184"/>
    <mergeCell ref="P173:P176"/>
    <mergeCell ref="B177:B180"/>
    <mergeCell ref="C177:C180"/>
    <mergeCell ref="D177:D180"/>
    <mergeCell ref="E177:E180"/>
    <mergeCell ref="F177:F180"/>
    <mergeCell ref="G177:G180"/>
    <mergeCell ref="P177:P180"/>
    <mergeCell ref="B173:B176"/>
    <mergeCell ref="C173:C176"/>
    <mergeCell ref="D173:D176"/>
    <mergeCell ref="E173:E176"/>
    <mergeCell ref="F173:F176"/>
    <mergeCell ref="G173:G176"/>
    <mergeCell ref="P165:P168"/>
    <mergeCell ref="B169:B172"/>
    <mergeCell ref="C169:C172"/>
    <mergeCell ref="D169:D172"/>
    <mergeCell ref="E169:E172"/>
    <mergeCell ref="F169:F172"/>
    <mergeCell ref="G169:G172"/>
    <mergeCell ref="P169:P172"/>
    <mergeCell ref="B165:B168"/>
    <mergeCell ref="C165:C168"/>
    <mergeCell ref="D165:D168"/>
    <mergeCell ref="E165:E168"/>
    <mergeCell ref="F165:F168"/>
    <mergeCell ref="G165:G168"/>
    <mergeCell ref="P156:P159"/>
    <mergeCell ref="B160:P160"/>
    <mergeCell ref="B161:B164"/>
    <mergeCell ref="C161:C164"/>
    <mergeCell ref="D161:D164"/>
    <mergeCell ref="E161:E164"/>
    <mergeCell ref="F161:F164"/>
    <mergeCell ref="G161:G164"/>
    <mergeCell ref="P161:P164"/>
    <mergeCell ref="B156:B159"/>
    <mergeCell ref="C156:C159"/>
    <mergeCell ref="D156:D159"/>
    <mergeCell ref="E156:E159"/>
    <mergeCell ref="F156:F159"/>
    <mergeCell ref="G156:G159"/>
    <mergeCell ref="B152:B155"/>
    <mergeCell ref="C152:C155"/>
    <mergeCell ref="D152:D155"/>
    <mergeCell ref="E152:E155"/>
    <mergeCell ref="F152:F155"/>
    <mergeCell ref="G152:G155"/>
    <mergeCell ref="P144:P147"/>
    <mergeCell ref="B148:B151"/>
    <mergeCell ref="C148:C151"/>
    <mergeCell ref="D148:D151"/>
    <mergeCell ref="E148:E151"/>
    <mergeCell ref="F148:F151"/>
    <mergeCell ref="G148:G151"/>
    <mergeCell ref="P148:P151"/>
    <mergeCell ref="B144:B147"/>
    <mergeCell ref="C144:C147"/>
    <mergeCell ref="D144:D147"/>
    <mergeCell ref="E144:E147"/>
    <mergeCell ref="F144:F147"/>
    <mergeCell ref="G144:G147"/>
    <mergeCell ref="P136:P139"/>
    <mergeCell ref="B140:B143"/>
    <mergeCell ref="C140:C143"/>
    <mergeCell ref="D140:D143"/>
    <mergeCell ref="E140:E143"/>
    <mergeCell ref="F140:F143"/>
    <mergeCell ref="G140:G143"/>
    <mergeCell ref="P140:P143"/>
    <mergeCell ref="B136:B139"/>
    <mergeCell ref="C136:C139"/>
    <mergeCell ref="D136:D139"/>
    <mergeCell ref="E136:E139"/>
    <mergeCell ref="F136:F139"/>
    <mergeCell ref="G136:G139"/>
    <mergeCell ref="P128:P131"/>
    <mergeCell ref="B132:B135"/>
    <mergeCell ref="C132:C135"/>
    <mergeCell ref="D132:D135"/>
    <mergeCell ref="E132:E135"/>
    <mergeCell ref="F132:F135"/>
    <mergeCell ref="G132:G135"/>
    <mergeCell ref="P132:P135"/>
    <mergeCell ref="B128:B131"/>
    <mergeCell ref="C128:C131"/>
    <mergeCell ref="D128:D131"/>
    <mergeCell ref="E128:E131"/>
    <mergeCell ref="F128:F131"/>
    <mergeCell ref="G128:G131"/>
    <mergeCell ref="P120:P123"/>
    <mergeCell ref="B124:B127"/>
    <mergeCell ref="C124:C127"/>
    <mergeCell ref="D124:D127"/>
    <mergeCell ref="E124:E127"/>
    <mergeCell ref="F124:F127"/>
    <mergeCell ref="G124:G127"/>
    <mergeCell ref="P124:P127"/>
    <mergeCell ref="B120:B123"/>
    <mergeCell ref="C120:C123"/>
    <mergeCell ref="D120:D123"/>
    <mergeCell ref="E120:E123"/>
    <mergeCell ref="F120:F123"/>
    <mergeCell ref="G120:G123"/>
    <mergeCell ref="P112:P115"/>
    <mergeCell ref="B116:B119"/>
    <mergeCell ref="C116:C119"/>
    <mergeCell ref="D116:D119"/>
    <mergeCell ref="E116:E119"/>
    <mergeCell ref="F116:F119"/>
    <mergeCell ref="G116:G119"/>
    <mergeCell ref="P116:P119"/>
    <mergeCell ref="B112:B115"/>
    <mergeCell ref="C112:C115"/>
    <mergeCell ref="D112:D115"/>
    <mergeCell ref="E112:E115"/>
    <mergeCell ref="F112:F115"/>
    <mergeCell ref="G112:G115"/>
    <mergeCell ref="P104:P107"/>
    <mergeCell ref="B108:B111"/>
    <mergeCell ref="C108:C111"/>
    <mergeCell ref="D108:D111"/>
    <mergeCell ref="E108:E111"/>
    <mergeCell ref="F108:F111"/>
    <mergeCell ref="G108:G111"/>
    <mergeCell ref="P108:P111"/>
    <mergeCell ref="B104:B107"/>
    <mergeCell ref="C104:C107"/>
    <mergeCell ref="D104:D107"/>
    <mergeCell ref="E104:E107"/>
    <mergeCell ref="F104:F107"/>
    <mergeCell ref="G104:G107"/>
    <mergeCell ref="B100:B103"/>
    <mergeCell ref="C100:C103"/>
    <mergeCell ref="D100:D103"/>
    <mergeCell ref="E100:E103"/>
    <mergeCell ref="F100:F103"/>
    <mergeCell ref="G100:G103"/>
    <mergeCell ref="P92:P95"/>
    <mergeCell ref="B96:B99"/>
    <mergeCell ref="C96:C99"/>
    <mergeCell ref="D96:D99"/>
    <mergeCell ref="E96:E99"/>
    <mergeCell ref="F96:F99"/>
    <mergeCell ref="G96:G99"/>
    <mergeCell ref="P96:P99"/>
    <mergeCell ref="B92:B95"/>
    <mergeCell ref="C92:C95"/>
    <mergeCell ref="D92:D95"/>
    <mergeCell ref="E92:E95"/>
    <mergeCell ref="F92:F95"/>
    <mergeCell ref="G92:G95"/>
    <mergeCell ref="P84:P87"/>
    <mergeCell ref="B88:B91"/>
    <mergeCell ref="C88:C91"/>
    <mergeCell ref="D88:D91"/>
    <mergeCell ref="E88:E91"/>
    <mergeCell ref="F88:F91"/>
    <mergeCell ref="G88:G91"/>
    <mergeCell ref="P88:P91"/>
    <mergeCell ref="B84:B87"/>
    <mergeCell ref="C84:C87"/>
    <mergeCell ref="D84:D87"/>
    <mergeCell ref="E84:E87"/>
    <mergeCell ref="F84:F87"/>
    <mergeCell ref="G84:G87"/>
    <mergeCell ref="P76:P79"/>
    <mergeCell ref="B80:B83"/>
    <mergeCell ref="C80:C83"/>
    <mergeCell ref="D80:D83"/>
    <mergeCell ref="E80:E83"/>
    <mergeCell ref="F80:F83"/>
    <mergeCell ref="G80:G83"/>
    <mergeCell ref="P80:P83"/>
    <mergeCell ref="B76:B79"/>
    <mergeCell ref="C76:C79"/>
    <mergeCell ref="D76:D79"/>
    <mergeCell ref="E76:E79"/>
    <mergeCell ref="F76:F79"/>
    <mergeCell ref="G76:G79"/>
    <mergeCell ref="P68:P71"/>
    <mergeCell ref="B72:B75"/>
    <mergeCell ref="C72:C75"/>
    <mergeCell ref="D72:D75"/>
    <mergeCell ref="E72:E75"/>
    <mergeCell ref="F72:F75"/>
    <mergeCell ref="G72:G75"/>
    <mergeCell ref="P72:P75"/>
    <mergeCell ref="B68:B71"/>
    <mergeCell ref="C68:C71"/>
    <mergeCell ref="D68:D71"/>
    <mergeCell ref="E68:E71"/>
    <mergeCell ref="F68:F71"/>
    <mergeCell ref="G68:G71"/>
    <mergeCell ref="P60:P63"/>
    <mergeCell ref="B64:B67"/>
    <mergeCell ref="C64:C67"/>
    <mergeCell ref="D64:D67"/>
    <mergeCell ref="E64:E67"/>
    <mergeCell ref="F64:F67"/>
    <mergeCell ref="G64:G67"/>
    <mergeCell ref="P64:P67"/>
    <mergeCell ref="B60:B63"/>
    <mergeCell ref="C60:C63"/>
    <mergeCell ref="D60:D63"/>
    <mergeCell ref="E60:E63"/>
    <mergeCell ref="F60:F63"/>
    <mergeCell ref="G60:G63"/>
    <mergeCell ref="P51:P54"/>
    <mergeCell ref="B55:P55"/>
    <mergeCell ref="B56:B59"/>
    <mergeCell ref="C56:C59"/>
    <mergeCell ref="D56:D59"/>
    <mergeCell ref="E56:E59"/>
    <mergeCell ref="F56:F59"/>
    <mergeCell ref="G56:G59"/>
    <mergeCell ref="P56:P59"/>
    <mergeCell ref="B51:B54"/>
    <mergeCell ref="C51:C54"/>
    <mergeCell ref="D51:D54"/>
    <mergeCell ref="E51:E54"/>
    <mergeCell ref="F51:F54"/>
    <mergeCell ref="G51:G54"/>
    <mergeCell ref="P43:P46"/>
    <mergeCell ref="B47:B50"/>
    <mergeCell ref="C47:C50"/>
    <mergeCell ref="D47:D50"/>
    <mergeCell ref="E47:E50"/>
    <mergeCell ref="F47:F50"/>
    <mergeCell ref="G47:G50"/>
    <mergeCell ref="P47:P50"/>
    <mergeCell ref="B43:B46"/>
    <mergeCell ref="C43:C46"/>
    <mergeCell ref="D43:D46"/>
    <mergeCell ref="E43:E46"/>
    <mergeCell ref="F43:F46"/>
    <mergeCell ref="G43:G46"/>
    <mergeCell ref="P35:P38"/>
    <mergeCell ref="B39:B42"/>
    <mergeCell ref="C39:C42"/>
    <mergeCell ref="D39:D42"/>
    <mergeCell ref="E39:E42"/>
    <mergeCell ref="F39:F42"/>
    <mergeCell ref="G39:G42"/>
    <mergeCell ref="P39:P42"/>
    <mergeCell ref="B35:B38"/>
    <mergeCell ref="C35:C38"/>
    <mergeCell ref="D35:D38"/>
    <mergeCell ref="E35:E38"/>
    <mergeCell ref="F35:F38"/>
    <mergeCell ref="G35:G38"/>
    <mergeCell ref="P27:P30"/>
    <mergeCell ref="B31:B34"/>
    <mergeCell ref="C31:C34"/>
    <mergeCell ref="D31:D34"/>
    <mergeCell ref="E31:E34"/>
    <mergeCell ref="F31:F34"/>
    <mergeCell ref="G31:G34"/>
    <mergeCell ref="P31:P34"/>
    <mergeCell ref="B27:B30"/>
    <mergeCell ref="C27:C30"/>
    <mergeCell ref="D27:D30"/>
    <mergeCell ref="E27:E30"/>
    <mergeCell ref="F27:F30"/>
    <mergeCell ref="G27:G30"/>
    <mergeCell ref="P18:P21"/>
    <mergeCell ref="B22:P22"/>
    <mergeCell ref="B23:B26"/>
    <mergeCell ref="C23:C26"/>
    <mergeCell ref="D23:D26"/>
    <mergeCell ref="E23:E26"/>
    <mergeCell ref="F23:F26"/>
    <mergeCell ref="G23:G26"/>
    <mergeCell ref="P23:P26"/>
    <mergeCell ref="B18:B21"/>
    <mergeCell ref="C18:C21"/>
    <mergeCell ref="D18:D21"/>
    <mergeCell ref="E18:E21"/>
    <mergeCell ref="F18:F21"/>
    <mergeCell ref="G18:G21"/>
    <mergeCell ref="B1:P1"/>
    <mergeCell ref="B3:B4"/>
    <mergeCell ref="C3:C4"/>
    <mergeCell ref="D3:D4"/>
    <mergeCell ref="E3:E4"/>
    <mergeCell ref="F3:F4"/>
    <mergeCell ref="G3:G4"/>
    <mergeCell ref="H3:O3"/>
    <mergeCell ref="P3:P4"/>
    <mergeCell ref="P10:P13"/>
    <mergeCell ref="B14:B17"/>
    <mergeCell ref="C14:C17"/>
    <mergeCell ref="D14:D17"/>
    <mergeCell ref="E14:E17"/>
    <mergeCell ref="F14:F17"/>
    <mergeCell ref="G14:G17"/>
    <mergeCell ref="P14:P17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</mergeCells>
  <conditionalFormatting sqref="A1217 A1216:XFD1216 A1218:XFD1048576 C1217:XFD1217 A1003:XFD1006 A991:H998 I1208:O1215 I51:O54 I156:O159 I185:O188 I295:O298 I448:O451 I521:O524 I554:O557 I567:O570 I584:O587 I601:O604 I722:O725 I739:O742 I768:O771 I809:O812 I818:O821 I875:O878 I928:O931 I953:O956 I978:O981 I1150:O1153 I1175:O1178 I1044:O1047 I238:O241 I983:O983 J999:O1002 I1053:O1056 A3:C4 E3:G4 I4:XFD4 P3:XFD3 A5:XFD21 J984:O990 J991:XFD998 I984:I1002 A1:XFD2">
    <cfRule type="cellIs" dxfId="264" priority="12" operator="equal">
      <formula>0</formula>
    </cfRule>
  </conditionalFormatting>
  <conditionalFormatting sqref="B1217">
    <cfRule type="cellIs" dxfId="263" priority="11" operator="equal">
      <formula>0</formula>
    </cfRule>
  </conditionalFormatting>
  <conditionalFormatting sqref="B526:B553">
    <cfRule type="duplicateValues" dxfId="262" priority="10"/>
  </conditionalFormatting>
  <conditionalFormatting sqref="B752:B755 B744:B747 B764:B767">
    <cfRule type="duplicateValues" dxfId="261" priority="9"/>
  </conditionalFormatting>
  <conditionalFormatting sqref="B748:B751">
    <cfRule type="duplicateValues" dxfId="260" priority="8"/>
  </conditionalFormatting>
  <conditionalFormatting sqref="B756:B759">
    <cfRule type="duplicateValues" dxfId="259" priority="7"/>
  </conditionalFormatting>
  <conditionalFormatting sqref="B760:B763">
    <cfRule type="duplicateValues" dxfId="258" priority="6"/>
  </conditionalFormatting>
  <conditionalFormatting sqref="IU983:XFD990 IU999:XFD1002">
    <cfRule type="cellIs" dxfId="257" priority="5" operator="equal">
      <formula>0</formula>
    </cfRule>
  </conditionalFormatting>
  <conditionalFormatting sqref="A983:H990 P983:IT990 P999:IT1002 A999:H1002">
    <cfRule type="cellIs" dxfId="256" priority="4" operator="equal">
      <formula>0</formula>
    </cfRule>
  </conditionalFormatting>
  <conditionalFormatting sqref="D3:D4">
    <cfRule type="cellIs" dxfId="255" priority="3" operator="equal">
      <formula>0</formula>
    </cfRule>
  </conditionalFormatting>
  <conditionalFormatting sqref="H4">
    <cfRule type="cellIs" dxfId="254" priority="2" operator="equal">
      <formula>0</formula>
    </cfRule>
  </conditionalFormatting>
  <conditionalFormatting sqref="H3:O3">
    <cfRule type="cellIs" dxfId="253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C223-E117-4AEA-A33E-21CAD7001B65}">
  <sheetPr>
    <pageSetUpPr fitToPage="1"/>
  </sheetPr>
  <dimension ref="B1:R1108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1406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8" width="10.85546875" style="2" bestFit="1" customWidth="1"/>
    <col min="19" max="16384" width="9.140625" style="2"/>
  </cols>
  <sheetData>
    <row r="1" spans="2:16" ht="21.75" customHeight="1" x14ac:dyDescent="0.25">
      <c r="B1" s="120" t="s">
        <v>626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6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6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6" ht="25.5" customHeight="1" x14ac:dyDescent="0.2">
      <c r="B5" s="111" t="s">
        <v>79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42.75" customHeight="1" outlineLevel="1" x14ac:dyDescent="0.2">
      <c r="B6" s="117" t="s">
        <v>627</v>
      </c>
      <c r="C6" s="117" t="s">
        <v>628</v>
      </c>
      <c r="D6" s="117" t="s">
        <v>79</v>
      </c>
      <c r="E6" s="117">
        <v>2023</v>
      </c>
      <c r="F6" s="117" t="s">
        <v>629</v>
      </c>
      <c r="G6" s="117" t="s">
        <v>138</v>
      </c>
      <c r="H6" s="95" t="s">
        <v>3</v>
      </c>
      <c r="I6" s="94">
        <f>SUM(J6:O6)</f>
        <v>31</v>
      </c>
      <c r="J6" s="94">
        <f t="shared" ref="J6:O6" si="0">J7+J8+J9</f>
        <v>0</v>
      </c>
      <c r="K6" s="94">
        <f t="shared" si="0"/>
        <v>0</v>
      </c>
      <c r="L6" s="94">
        <f t="shared" si="0"/>
        <v>0</v>
      </c>
      <c r="M6" s="94">
        <f t="shared" si="0"/>
        <v>31</v>
      </c>
      <c r="N6" s="94">
        <f t="shared" si="0"/>
        <v>0</v>
      </c>
      <c r="O6" s="94">
        <f t="shared" si="0"/>
        <v>0</v>
      </c>
      <c r="P6" s="177">
        <v>1194</v>
      </c>
    </row>
    <row r="7" spans="2:16" outlineLevel="1" x14ac:dyDescent="0.2">
      <c r="B7" s="118"/>
      <c r="C7" s="118"/>
      <c r="D7" s="118"/>
      <c r="E7" s="118"/>
      <c r="F7" s="118"/>
      <c r="G7" s="118"/>
      <c r="H7" s="95" t="s">
        <v>4</v>
      </c>
      <c r="I7" s="94">
        <f t="shared" ref="I7:I29" si="1">SUM(J7:O7)</f>
        <v>30.7</v>
      </c>
      <c r="J7" s="94">
        <v>0</v>
      </c>
      <c r="K7" s="94">
        <v>0</v>
      </c>
      <c r="L7" s="94">
        <v>0</v>
      </c>
      <c r="M7" s="94">
        <v>30.7</v>
      </c>
      <c r="N7" s="94">
        <v>0</v>
      </c>
      <c r="O7" s="94">
        <v>0</v>
      </c>
      <c r="P7" s="177"/>
    </row>
    <row r="8" spans="2:16" outlineLevel="1" x14ac:dyDescent="0.2">
      <c r="B8" s="118"/>
      <c r="C8" s="118"/>
      <c r="D8" s="118"/>
      <c r="E8" s="118"/>
      <c r="F8" s="118"/>
      <c r="G8" s="118"/>
      <c r="H8" s="95" t="s">
        <v>6</v>
      </c>
      <c r="I8" s="94">
        <f t="shared" si="1"/>
        <v>0.3</v>
      </c>
      <c r="J8" s="94">
        <v>0</v>
      </c>
      <c r="K8" s="94">
        <v>0</v>
      </c>
      <c r="L8" s="94">
        <v>0</v>
      </c>
      <c r="M8" s="94">
        <v>0.3</v>
      </c>
      <c r="N8" s="94">
        <v>0</v>
      </c>
      <c r="O8" s="94">
        <v>0</v>
      </c>
      <c r="P8" s="177"/>
    </row>
    <row r="9" spans="2:16" outlineLevel="1" x14ac:dyDescent="0.2">
      <c r="B9" s="119"/>
      <c r="C9" s="119"/>
      <c r="D9" s="119"/>
      <c r="E9" s="119"/>
      <c r="F9" s="119"/>
      <c r="G9" s="119"/>
      <c r="H9" s="95" t="s">
        <v>5</v>
      </c>
      <c r="I9" s="94">
        <f t="shared" si="1"/>
        <v>0</v>
      </c>
      <c r="J9" s="94"/>
      <c r="K9" s="94"/>
      <c r="L9" s="94"/>
      <c r="M9" s="94"/>
      <c r="N9" s="94"/>
      <c r="O9" s="94"/>
      <c r="P9" s="177"/>
    </row>
    <row r="10" spans="2:16" ht="42.75" customHeight="1" outlineLevel="1" x14ac:dyDescent="0.2">
      <c r="B10" s="117" t="s">
        <v>630</v>
      </c>
      <c r="C10" s="117" t="s">
        <v>628</v>
      </c>
      <c r="D10" s="117" t="s">
        <v>79</v>
      </c>
      <c r="E10" s="117">
        <v>2023</v>
      </c>
      <c r="F10" s="117" t="s">
        <v>629</v>
      </c>
      <c r="G10" s="117" t="s">
        <v>138</v>
      </c>
      <c r="H10" s="95" t="s">
        <v>3</v>
      </c>
      <c r="I10" s="94">
        <f t="shared" si="1"/>
        <v>32.699999999999996</v>
      </c>
      <c r="J10" s="94">
        <f t="shared" ref="J10:O10" si="2">J11+J12+J13</f>
        <v>0</v>
      </c>
      <c r="K10" s="94">
        <f t="shared" si="2"/>
        <v>0</v>
      </c>
      <c r="L10" s="94">
        <f t="shared" si="2"/>
        <v>0</v>
      </c>
      <c r="M10" s="94">
        <f t="shared" si="2"/>
        <v>32.699999999999996</v>
      </c>
      <c r="N10" s="94">
        <f t="shared" si="2"/>
        <v>0</v>
      </c>
      <c r="O10" s="94">
        <f t="shared" si="2"/>
        <v>0</v>
      </c>
      <c r="P10" s="177">
        <v>1422</v>
      </c>
    </row>
    <row r="11" spans="2:16" outlineLevel="1" x14ac:dyDescent="0.2">
      <c r="B11" s="118"/>
      <c r="C11" s="132"/>
      <c r="D11" s="118"/>
      <c r="E11" s="118"/>
      <c r="F11" s="118"/>
      <c r="G11" s="118"/>
      <c r="H11" s="95" t="s">
        <v>4</v>
      </c>
      <c r="I11" s="94">
        <f t="shared" si="1"/>
        <v>32.4</v>
      </c>
      <c r="J11" s="94">
        <v>0</v>
      </c>
      <c r="K11" s="94">
        <v>0</v>
      </c>
      <c r="L11" s="94">
        <v>0</v>
      </c>
      <c r="M11" s="94">
        <v>32.4</v>
      </c>
      <c r="N11" s="94">
        <v>0</v>
      </c>
      <c r="O11" s="94">
        <v>0</v>
      </c>
      <c r="P11" s="177"/>
    </row>
    <row r="12" spans="2:16" outlineLevel="1" x14ac:dyDescent="0.2">
      <c r="B12" s="118"/>
      <c r="C12" s="132"/>
      <c r="D12" s="118"/>
      <c r="E12" s="118"/>
      <c r="F12" s="118"/>
      <c r="G12" s="118"/>
      <c r="H12" s="95" t="s">
        <v>6</v>
      </c>
      <c r="I12" s="94">
        <f t="shared" si="1"/>
        <v>0.3</v>
      </c>
      <c r="J12" s="94">
        <v>0</v>
      </c>
      <c r="K12" s="94">
        <v>0</v>
      </c>
      <c r="L12" s="94">
        <v>0</v>
      </c>
      <c r="M12" s="94">
        <v>0.3</v>
      </c>
      <c r="N12" s="94">
        <v>0</v>
      </c>
      <c r="O12" s="94">
        <v>0</v>
      </c>
      <c r="P12" s="177"/>
    </row>
    <row r="13" spans="2:16" outlineLevel="1" x14ac:dyDescent="0.2">
      <c r="B13" s="119"/>
      <c r="C13" s="133"/>
      <c r="D13" s="119"/>
      <c r="E13" s="119"/>
      <c r="F13" s="119"/>
      <c r="G13" s="119"/>
      <c r="H13" s="95" t="s">
        <v>5</v>
      </c>
      <c r="I13" s="94">
        <f t="shared" si="1"/>
        <v>0</v>
      </c>
      <c r="J13" s="94"/>
      <c r="K13" s="94"/>
      <c r="L13" s="94"/>
      <c r="M13" s="94"/>
      <c r="N13" s="94"/>
      <c r="O13" s="94"/>
      <c r="P13" s="177"/>
    </row>
    <row r="14" spans="2:16" ht="42.75" outlineLevel="1" x14ac:dyDescent="0.2">
      <c r="B14" s="117" t="s">
        <v>631</v>
      </c>
      <c r="C14" s="117" t="s">
        <v>628</v>
      </c>
      <c r="D14" s="117" t="s">
        <v>79</v>
      </c>
      <c r="E14" s="117">
        <v>2023</v>
      </c>
      <c r="F14" s="117" t="s">
        <v>629</v>
      </c>
      <c r="G14" s="117" t="s">
        <v>138</v>
      </c>
      <c r="H14" s="95" t="s">
        <v>3</v>
      </c>
      <c r="I14" s="94">
        <f t="shared" si="1"/>
        <v>40.1</v>
      </c>
      <c r="J14" s="94">
        <f t="shared" ref="J14:O14" si="3">J15+J16+J17</f>
        <v>0</v>
      </c>
      <c r="K14" s="94">
        <f t="shared" si="3"/>
        <v>0</v>
      </c>
      <c r="L14" s="94">
        <f t="shared" si="3"/>
        <v>0</v>
      </c>
      <c r="M14" s="94">
        <f t="shared" si="3"/>
        <v>40.1</v>
      </c>
      <c r="N14" s="94">
        <f t="shared" si="3"/>
        <v>0</v>
      </c>
      <c r="O14" s="94">
        <f t="shared" si="3"/>
        <v>0</v>
      </c>
      <c r="P14" s="177">
        <v>1400</v>
      </c>
    </row>
    <row r="15" spans="2:16" outlineLevel="1" x14ac:dyDescent="0.2">
      <c r="B15" s="118"/>
      <c r="C15" s="132"/>
      <c r="D15" s="118"/>
      <c r="E15" s="118"/>
      <c r="F15" s="118"/>
      <c r="G15" s="118"/>
      <c r="H15" s="95" t="s">
        <v>4</v>
      </c>
      <c r="I15" s="94">
        <f t="shared" si="1"/>
        <v>39.4</v>
      </c>
      <c r="J15" s="94">
        <v>0</v>
      </c>
      <c r="K15" s="94">
        <v>0</v>
      </c>
      <c r="L15" s="94">
        <v>0</v>
      </c>
      <c r="M15" s="94">
        <v>39.4</v>
      </c>
      <c r="N15" s="94">
        <v>0</v>
      </c>
      <c r="O15" s="94">
        <v>0</v>
      </c>
      <c r="P15" s="177"/>
    </row>
    <row r="16" spans="2:16" outlineLevel="1" x14ac:dyDescent="0.2">
      <c r="B16" s="118"/>
      <c r="C16" s="132"/>
      <c r="D16" s="118"/>
      <c r="E16" s="118"/>
      <c r="F16" s="118"/>
      <c r="G16" s="118"/>
      <c r="H16" s="95" t="s">
        <v>6</v>
      </c>
      <c r="I16" s="94">
        <f t="shared" si="1"/>
        <v>0.7</v>
      </c>
      <c r="J16" s="94">
        <v>0</v>
      </c>
      <c r="K16" s="94">
        <v>0</v>
      </c>
      <c r="L16" s="94">
        <v>0</v>
      </c>
      <c r="M16" s="94">
        <v>0.7</v>
      </c>
      <c r="N16" s="94">
        <v>0</v>
      </c>
      <c r="O16" s="94">
        <v>0</v>
      </c>
      <c r="P16" s="177"/>
    </row>
    <row r="17" spans="2:18" outlineLevel="1" x14ac:dyDescent="0.2">
      <c r="B17" s="119"/>
      <c r="C17" s="133"/>
      <c r="D17" s="119"/>
      <c r="E17" s="119"/>
      <c r="F17" s="119"/>
      <c r="G17" s="119"/>
      <c r="H17" s="95" t="s">
        <v>5</v>
      </c>
      <c r="I17" s="94">
        <f t="shared" si="1"/>
        <v>0</v>
      </c>
      <c r="J17" s="94"/>
      <c r="K17" s="94"/>
      <c r="L17" s="94"/>
      <c r="M17" s="94"/>
      <c r="N17" s="94"/>
      <c r="O17" s="94"/>
      <c r="P17" s="177"/>
    </row>
    <row r="18" spans="2:18" ht="42.75" outlineLevel="1" x14ac:dyDescent="0.2">
      <c r="B18" s="117" t="s">
        <v>632</v>
      </c>
      <c r="C18" s="117" t="s">
        <v>628</v>
      </c>
      <c r="D18" s="117" t="s">
        <v>79</v>
      </c>
      <c r="E18" s="117">
        <v>2024</v>
      </c>
      <c r="F18" s="117" t="s">
        <v>629</v>
      </c>
      <c r="G18" s="117" t="s">
        <v>138</v>
      </c>
      <c r="H18" s="95" t="s">
        <v>3</v>
      </c>
      <c r="I18" s="94">
        <f t="shared" si="1"/>
        <v>22.599999999999998</v>
      </c>
      <c r="J18" s="94">
        <f t="shared" ref="J18:O18" si="4">J19+J20+J21</f>
        <v>0</v>
      </c>
      <c r="K18" s="94">
        <f t="shared" si="4"/>
        <v>0</v>
      </c>
      <c r="L18" s="94">
        <f t="shared" si="4"/>
        <v>0</v>
      </c>
      <c r="M18" s="94">
        <f t="shared" si="4"/>
        <v>0</v>
      </c>
      <c r="N18" s="94">
        <f t="shared" si="4"/>
        <v>22.599999999999998</v>
      </c>
      <c r="O18" s="94">
        <f t="shared" si="4"/>
        <v>0</v>
      </c>
      <c r="P18" s="177">
        <v>1413</v>
      </c>
    </row>
    <row r="19" spans="2:18" outlineLevel="1" x14ac:dyDescent="0.2">
      <c r="B19" s="118"/>
      <c r="C19" s="132"/>
      <c r="D19" s="118"/>
      <c r="E19" s="118"/>
      <c r="F19" s="118"/>
      <c r="G19" s="118"/>
      <c r="H19" s="95" t="s">
        <v>4</v>
      </c>
      <c r="I19" s="94">
        <f t="shared" si="1"/>
        <v>22.4</v>
      </c>
      <c r="J19" s="94">
        <v>0</v>
      </c>
      <c r="K19" s="94">
        <v>0</v>
      </c>
      <c r="L19" s="94">
        <v>0</v>
      </c>
      <c r="M19" s="94">
        <v>0</v>
      </c>
      <c r="N19" s="94">
        <v>22.4</v>
      </c>
      <c r="O19" s="94">
        <v>0</v>
      </c>
      <c r="P19" s="177"/>
    </row>
    <row r="20" spans="2:18" outlineLevel="1" x14ac:dyDescent="0.2">
      <c r="B20" s="118"/>
      <c r="C20" s="132"/>
      <c r="D20" s="118"/>
      <c r="E20" s="118"/>
      <c r="F20" s="118"/>
      <c r="G20" s="118"/>
      <c r="H20" s="95" t="s">
        <v>6</v>
      </c>
      <c r="I20" s="94">
        <f t="shared" si="1"/>
        <v>0.2</v>
      </c>
      <c r="J20" s="94">
        <v>0</v>
      </c>
      <c r="K20" s="94">
        <v>0</v>
      </c>
      <c r="L20" s="94">
        <v>0</v>
      </c>
      <c r="M20" s="94">
        <v>0</v>
      </c>
      <c r="N20" s="94">
        <v>0.2</v>
      </c>
      <c r="O20" s="94">
        <v>0</v>
      </c>
      <c r="P20" s="177"/>
    </row>
    <row r="21" spans="2:18" outlineLevel="1" x14ac:dyDescent="0.2">
      <c r="B21" s="119"/>
      <c r="C21" s="133"/>
      <c r="D21" s="119"/>
      <c r="E21" s="119"/>
      <c r="F21" s="119"/>
      <c r="G21" s="119"/>
      <c r="H21" s="95" t="s">
        <v>5</v>
      </c>
      <c r="I21" s="94">
        <f t="shared" si="1"/>
        <v>0</v>
      </c>
      <c r="J21" s="94"/>
      <c r="K21" s="94"/>
      <c r="L21" s="94"/>
      <c r="M21" s="94"/>
      <c r="N21" s="94"/>
      <c r="O21" s="94"/>
      <c r="P21" s="177"/>
    </row>
    <row r="22" spans="2:18" ht="42.75" outlineLevel="1" x14ac:dyDescent="0.2">
      <c r="B22" s="117" t="s">
        <v>633</v>
      </c>
      <c r="C22" s="117" t="s">
        <v>628</v>
      </c>
      <c r="D22" s="117" t="s">
        <v>79</v>
      </c>
      <c r="E22" s="117">
        <v>2024</v>
      </c>
      <c r="F22" s="117" t="s">
        <v>629</v>
      </c>
      <c r="G22" s="117" t="s">
        <v>138</v>
      </c>
      <c r="H22" s="95" t="s">
        <v>3</v>
      </c>
      <c r="I22" s="94">
        <f t="shared" si="1"/>
        <v>22.7</v>
      </c>
      <c r="J22" s="94">
        <f t="shared" ref="J22:O22" si="5">J23+J24+J25</f>
        <v>0</v>
      </c>
      <c r="K22" s="94">
        <f t="shared" si="5"/>
        <v>0</v>
      </c>
      <c r="L22" s="94">
        <f t="shared" si="5"/>
        <v>0</v>
      </c>
      <c r="M22" s="94">
        <f t="shared" si="5"/>
        <v>0</v>
      </c>
      <c r="N22" s="94">
        <f t="shared" si="5"/>
        <v>22.7</v>
      </c>
      <c r="O22" s="94">
        <f t="shared" si="5"/>
        <v>0</v>
      </c>
      <c r="P22" s="177">
        <v>1041</v>
      </c>
    </row>
    <row r="23" spans="2:18" outlineLevel="1" x14ac:dyDescent="0.2">
      <c r="B23" s="118"/>
      <c r="C23" s="132"/>
      <c r="D23" s="118"/>
      <c r="E23" s="118"/>
      <c r="F23" s="118"/>
      <c r="G23" s="118"/>
      <c r="H23" s="95" t="s">
        <v>4</v>
      </c>
      <c r="I23" s="94">
        <f t="shared" si="1"/>
        <v>22.5</v>
      </c>
      <c r="J23" s="94">
        <v>0</v>
      </c>
      <c r="K23" s="94">
        <v>0</v>
      </c>
      <c r="L23" s="94">
        <v>0</v>
      </c>
      <c r="M23" s="94">
        <v>0</v>
      </c>
      <c r="N23" s="94">
        <v>22.5</v>
      </c>
      <c r="O23" s="94">
        <v>0</v>
      </c>
      <c r="P23" s="177"/>
    </row>
    <row r="24" spans="2:18" outlineLevel="1" x14ac:dyDescent="0.2">
      <c r="B24" s="118"/>
      <c r="C24" s="132"/>
      <c r="D24" s="118"/>
      <c r="E24" s="118"/>
      <c r="F24" s="118"/>
      <c r="G24" s="118"/>
      <c r="H24" s="95" t="s">
        <v>6</v>
      </c>
      <c r="I24" s="94">
        <f t="shared" si="1"/>
        <v>0.2</v>
      </c>
      <c r="J24" s="94">
        <v>0</v>
      </c>
      <c r="K24" s="94">
        <v>0</v>
      </c>
      <c r="L24" s="94">
        <v>0</v>
      </c>
      <c r="M24" s="94">
        <v>0</v>
      </c>
      <c r="N24" s="94">
        <v>0.2</v>
      </c>
      <c r="O24" s="94">
        <v>0</v>
      </c>
      <c r="P24" s="177"/>
    </row>
    <row r="25" spans="2:18" outlineLevel="1" x14ac:dyDescent="0.2">
      <c r="B25" s="119"/>
      <c r="C25" s="133"/>
      <c r="D25" s="119"/>
      <c r="E25" s="119"/>
      <c r="F25" s="119"/>
      <c r="G25" s="119"/>
      <c r="H25" s="95" t="s">
        <v>5</v>
      </c>
      <c r="I25" s="94">
        <f t="shared" si="1"/>
        <v>0</v>
      </c>
      <c r="J25" s="94"/>
      <c r="K25" s="94"/>
      <c r="L25" s="94"/>
      <c r="M25" s="94"/>
      <c r="N25" s="94"/>
      <c r="O25" s="94"/>
      <c r="P25" s="177"/>
    </row>
    <row r="26" spans="2:18" ht="42.75" customHeight="1" outlineLevel="1" x14ac:dyDescent="0.2">
      <c r="B26" s="117" t="s">
        <v>634</v>
      </c>
      <c r="C26" s="117"/>
      <c r="D26" s="117" t="s">
        <v>79</v>
      </c>
      <c r="E26" s="117">
        <v>2021</v>
      </c>
      <c r="F26" s="117" t="s">
        <v>635</v>
      </c>
      <c r="G26" s="117" t="s">
        <v>138</v>
      </c>
      <c r="H26" s="95" t="s">
        <v>3</v>
      </c>
      <c r="I26" s="94">
        <f t="shared" si="1"/>
        <v>15</v>
      </c>
      <c r="J26" s="94">
        <f>J27+J28+J29</f>
        <v>0</v>
      </c>
      <c r="K26" s="94">
        <f>K27+K28+K29</f>
        <v>15</v>
      </c>
      <c r="L26" s="94">
        <f>L27+L28+L29</f>
        <v>0</v>
      </c>
      <c r="M26" s="94">
        <f>M27+M28+M29</f>
        <v>0</v>
      </c>
      <c r="N26" s="94">
        <v>0</v>
      </c>
      <c r="O26" s="94">
        <f>O27+O28+O29</f>
        <v>0</v>
      </c>
      <c r="P26" s="117">
        <v>1700</v>
      </c>
    </row>
    <row r="27" spans="2:18" outlineLevel="1" x14ac:dyDescent="0.2">
      <c r="B27" s="118"/>
      <c r="C27" s="132"/>
      <c r="D27" s="118"/>
      <c r="E27" s="118"/>
      <c r="F27" s="118"/>
      <c r="G27" s="118"/>
      <c r="H27" s="95" t="s">
        <v>4</v>
      </c>
      <c r="I27" s="94">
        <f t="shared" si="1"/>
        <v>14.85</v>
      </c>
      <c r="J27" s="46"/>
      <c r="K27" s="47">
        <v>14.85</v>
      </c>
      <c r="L27" s="46"/>
      <c r="M27" s="46"/>
      <c r="N27" s="46"/>
      <c r="O27" s="46"/>
      <c r="P27" s="118"/>
    </row>
    <row r="28" spans="2:18" outlineLevel="1" x14ac:dyDescent="0.2">
      <c r="B28" s="118"/>
      <c r="C28" s="132"/>
      <c r="D28" s="118"/>
      <c r="E28" s="118"/>
      <c r="F28" s="118"/>
      <c r="G28" s="118"/>
      <c r="H28" s="95" t="s">
        <v>6</v>
      </c>
      <c r="I28" s="94">
        <f t="shared" si="1"/>
        <v>0.15</v>
      </c>
      <c r="J28" s="46"/>
      <c r="K28" s="46">
        <v>0.15</v>
      </c>
      <c r="L28" s="46"/>
      <c r="M28" s="46"/>
      <c r="N28" s="46"/>
      <c r="O28" s="46"/>
      <c r="P28" s="118"/>
    </row>
    <row r="29" spans="2:18" outlineLevel="1" x14ac:dyDescent="0.2">
      <c r="B29" s="119"/>
      <c r="C29" s="133"/>
      <c r="D29" s="119"/>
      <c r="E29" s="119"/>
      <c r="F29" s="119"/>
      <c r="G29" s="119"/>
      <c r="H29" s="95" t="s">
        <v>5</v>
      </c>
      <c r="I29" s="94">
        <f t="shared" si="1"/>
        <v>0</v>
      </c>
      <c r="J29" s="94"/>
      <c r="K29" s="94"/>
      <c r="L29" s="94"/>
      <c r="M29" s="94"/>
      <c r="N29" s="94"/>
      <c r="O29" s="94"/>
      <c r="P29" s="119"/>
    </row>
    <row r="30" spans="2:18" ht="42.75" x14ac:dyDescent="0.2">
      <c r="B30" s="128" t="s">
        <v>89</v>
      </c>
      <c r="C30" s="128" t="s">
        <v>38</v>
      </c>
      <c r="D30" s="128" t="s">
        <v>38</v>
      </c>
      <c r="E30" s="128" t="s">
        <v>38</v>
      </c>
      <c r="F30" s="128" t="s">
        <v>38</v>
      </c>
      <c r="G30" s="128" t="s">
        <v>38</v>
      </c>
      <c r="H30" s="95" t="s">
        <v>3</v>
      </c>
      <c r="I30" s="14">
        <f t="shared" ref="I30:O30" si="6">SUMIF($H$6:$H$29,"Объем*",I$6:I$29)</f>
        <v>164.1</v>
      </c>
      <c r="J30" s="48">
        <f t="shared" si="6"/>
        <v>0</v>
      </c>
      <c r="K30" s="14">
        <f t="shared" si="6"/>
        <v>15</v>
      </c>
      <c r="L30" s="48">
        <f t="shared" si="6"/>
        <v>0</v>
      </c>
      <c r="M30" s="14">
        <f t="shared" si="6"/>
        <v>103.8</v>
      </c>
      <c r="N30" s="14">
        <f t="shared" si="6"/>
        <v>45.3</v>
      </c>
      <c r="O30" s="48">
        <f t="shared" si="6"/>
        <v>0</v>
      </c>
      <c r="P30" s="128"/>
      <c r="Q30" s="7"/>
      <c r="R30" s="7"/>
    </row>
    <row r="31" spans="2:18" ht="15.75" x14ac:dyDescent="0.2">
      <c r="B31" s="129"/>
      <c r="C31" s="129"/>
      <c r="D31" s="129"/>
      <c r="E31" s="129"/>
      <c r="F31" s="129"/>
      <c r="G31" s="129"/>
      <c r="H31" s="95" t="s">
        <v>4</v>
      </c>
      <c r="I31" s="14">
        <f t="shared" ref="I31:O31" si="7">SUMIF($H$6:$H$29,"фед*",I$6:I$29)</f>
        <v>162.25</v>
      </c>
      <c r="J31" s="48">
        <f t="shared" si="7"/>
        <v>0</v>
      </c>
      <c r="K31" s="14">
        <f t="shared" si="7"/>
        <v>14.85</v>
      </c>
      <c r="L31" s="48">
        <f t="shared" si="7"/>
        <v>0</v>
      </c>
      <c r="M31" s="14">
        <f t="shared" si="7"/>
        <v>102.5</v>
      </c>
      <c r="N31" s="14">
        <f t="shared" si="7"/>
        <v>44.9</v>
      </c>
      <c r="O31" s="48">
        <f t="shared" si="7"/>
        <v>0</v>
      </c>
      <c r="P31" s="129"/>
      <c r="Q31" s="7"/>
    </row>
    <row r="32" spans="2:18" ht="15.75" x14ac:dyDescent="0.2">
      <c r="B32" s="129"/>
      <c r="C32" s="129"/>
      <c r="D32" s="129"/>
      <c r="E32" s="129"/>
      <c r="F32" s="129"/>
      <c r="G32" s="129"/>
      <c r="H32" s="95" t="s">
        <v>6</v>
      </c>
      <c r="I32" s="14">
        <f t="shared" ref="I32:O32" si="8">SUMIF($H$6:$H$29,"конс*",I$6:I$29)</f>
        <v>1.8499999999999996</v>
      </c>
      <c r="J32" s="48">
        <f t="shared" si="8"/>
        <v>0</v>
      </c>
      <c r="K32" s="14">
        <f t="shared" si="8"/>
        <v>0.15</v>
      </c>
      <c r="L32" s="48">
        <f t="shared" si="8"/>
        <v>0</v>
      </c>
      <c r="M32" s="14">
        <f t="shared" si="8"/>
        <v>1.2999999999999998</v>
      </c>
      <c r="N32" s="14">
        <f t="shared" si="8"/>
        <v>0.4</v>
      </c>
      <c r="O32" s="48">
        <f t="shared" si="8"/>
        <v>0</v>
      </c>
      <c r="P32" s="129"/>
      <c r="Q32" s="7"/>
    </row>
    <row r="33" spans="2:17" ht="15.75" x14ac:dyDescent="0.2">
      <c r="B33" s="130"/>
      <c r="C33" s="130"/>
      <c r="D33" s="130"/>
      <c r="E33" s="130"/>
      <c r="F33" s="130"/>
      <c r="G33" s="130"/>
      <c r="H33" s="95" t="s">
        <v>5</v>
      </c>
      <c r="I33" s="88">
        <f t="shared" ref="I33:O33" si="9">SUMIF($H$6:$H$29,"вне*",I$6:I$29)</f>
        <v>0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88">
        <f t="shared" si="9"/>
        <v>0</v>
      </c>
      <c r="N33" s="88">
        <f t="shared" si="9"/>
        <v>0</v>
      </c>
      <c r="O33" s="88">
        <f t="shared" si="9"/>
        <v>0</v>
      </c>
      <c r="P33" s="130"/>
      <c r="Q33" s="7"/>
    </row>
    <row r="34" spans="2:17" ht="25.5" customHeight="1" x14ac:dyDescent="0.2">
      <c r="B34" s="111" t="s">
        <v>90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</row>
    <row r="35" spans="2:17" ht="42.75" outlineLevel="1" x14ac:dyDescent="0.2">
      <c r="B35" s="117" t="s">
        <v>636</v>
      </c>
      <c r="C35" s="117"/>
      <c r="D35" s="117" t="s">
        <v>637</v>
      </c>
      <c r="E35" s="117" t="s">
        <v>319</v>
      </c>
      <c r="F35" s="117"/>
      <c r="G35" s="117" t="s">
        <v>83</v>
      </c>
      <c r="H35" s="95" t="s">
        <v>3</v>
      </c>
      <c r="I35" s="94">
        <f t="shared" ref="I35:I94" si="10">SUM(J35:O35)</f>
        <v>0.63400000000000001</v>
      </c>
      <c r="J35" s="94">
        <f t="shared" ref="J35:O35" si="11">J36+J37+J38</f>
        <v>0.63400000000000001</v>
      </c>
      <c r="K35" s="94">
        <f t="shared" si="11"/>
        <v>0</v>
      </c>
      <c r="L35" s="94">
        <f t="shared" si="11"/>
        <v>0</v>
      </c>
      <c r="M35" s="94">
        <f t="shared" si="11"/>
        <v>0</v>
      </c>
      <c r="N35" s="94">
        <f t="shared" si="11"/>
        <v>0</v>
      </c>
      <c r="O35" s="94">
        <f t="shared" si="11"/>
        <v>0</v>
      </c>
      <c r="P35" s="117"/>
    </row>
    <row r="36" spans="2:17" outlineLevel="1" x14ac:dyDescent="0.2">
      <c r="B36" s="118"/>
      <c r="C36" s="132"/>
      <c r="D36" s="118"/>
      <c r="E36" s="118"/>
      <c r="F36" s="118"/>
      <c r="G36" s="118"/>
      <c r="H36" s="95" t="s">
        <v>4</v>
      </c>
      <c r="I36" s="94">
        <f t="shared" si="10"/>
        <v>0.6</v>
      </c>
      <c r="J36" s="94">
        <v>0.6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118"/>
    </row>
    <row r="37" spans="2:17" outlineLevel="1" x14ac:dyDescent="0.2">
      <c r="B37" s="118"/>
      <c r="C37" s="132"/>
      <c r="D37" s="118"/>
      <c r="E37" s="118"/>
      <c r="F37" s="118"/>
      <c r="G37" s="118"/>
      <c r="H37" s="95" t="s">
        <v>6</v>
      </c>
      <c r="I37" s="94">
        <f t="shared" si="10"/>
        <v>3.4000000000000002E-2</v>
      </c>
      <c r="J37" s="94">
        <v>3.4000000000000002E-2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118"/>
    </row>
    <row r="38" spans="2:17" outlineLevel="1" x14ac:dyDescent="0.2">
      <c r="B38" s="119"/>
      <c r="C38" s="133"/>
      <c r="D38" s="119"/>
      <c r="E38" s="119"/>
      <c r="F38" s="119"/>
      <c r="G38" s="119"/>
      <c r="H38" s="95" t="s">
        <v>5</v>
      </c>
      <c r="I38" s="94">
        <f t="shared" si="10"/>
        <v>0</v>
      </c>
      <c r="J38" s="94"/>
      <c r="K38" s="94"/>
      <c r="L38" s="94"/>
      <c r="M38" s="94"/>
      <c r="N38" s="94"/>
      <c r="O38" s="94"/>
      <c r="P38" s="119"/>
    </row>
    <row r="39" spans="2:17" ht="42.75" outlineLevel="1" x14ac:dyDescent="0.2">
      <c r="B39" s="117" t="s">
        <v>638</v>
      </c>
      <c r="C39" s="117" t="s">
        <v>628</v>
      </c>
      <c r="D39" s="117" t="s">
        <v>90</v>
      </c>
      <c r="E39" s="117">
        <v>2021</v>
      </c>
      <c r="F39" s="117" t="s">
        <v>629</v>
      </c>
      <c r="G39" s="117" t="s">
        <v>138</v>
      </c>
      <c r="H39" s="95" t="s">
        <v>3</v>
      </c>
      <c r="I39" s="94">
        <f t="shared" si="10"/>
        <v>28</v>
      </c>
      <c r="J39" s="94">
        <f t="shared" ref="J39:O39" si="12">J40+J41+J42</f>
        <v>0</v>
      </c>
      <c r="K39" s="94">
        <f t="shared" si="12"/>
        <v>28</v>
      </c>
      <c r="L39" s="94">
        <f t="shared" si="12"/>
        <v>0</v>
      </c>
      <c r="M39" s="94">
        <f t="shared" si="12"/>
        <v>0</v>
      </c>
      <c r="N39" s="94">
        <f t="shared" si="12"/>
        <v>0</v>
      </c>
      <c r="O39" s="94">
        <f t="shared" si="12"/>
        <v>0</v>
      </c>
      <c r="P39" s="117"/>
    </row>
    <row r="40" spans="2:17" outlineLevel="1" x14ac:dyDescent="0.2">
      <c r="B40" s="118"/>
      <c r="C40" s="118"/>
      <c r="D40" s="118"/>
      <c r="E40" s="118"/>
      <c r="F40" s="118"/>
      <c r="G40" s="118"/>
      <c r="H40" s="95" t="s">
        <v>4</v>
      </c>
      <c r="I40" s="94">
        <f t="shared" si="10"/>
        <v>27.7</v>
      </c>
      <c r="J40" s="94">
        <v>0</v>
      </c>
      <c r="K40" s="94">
        <v>27.7</v>
      </c>
      <c r="L40" s="94"/>
      <c r="M40" s="94">
        <v>0</v>
      </c>
      <c r="N40" s="94">
        <v>0</v>
      </c>
      <c r="O40" s="94">
        <v>0</v>
      </c>
      <c r="P40" s="118"/>
    </row>
    <row r="41" spans="2:17" outlineLevel="1" x14ac:dyDescent="0.2">
      <c r="B41" s="118"/>
      <c r="C41" s="118"/>
      <c r="D41" s="118"/>
      <c r="E41" s="118"/>
      <c r="F41" s="118"/>
      <c r="G41" s="118"/>
      <c r="H41" s="95" t="s">
        <v>6</v>
      </c>
      <c r="I41" s="94">
        <f t="shared" si="10"/>
        <v>0.3</v>
      </c>
      <c r="J41" s="94">
        <v>0</v>
      </c>
      <c r="K41" s="94">
        <v>0.3</v>
      </c>
      <c r="L41" s="94"/>
      <c r="M41" s="94">
        <v>0</v>
      </c>
      <c r="N41" s="94">
        <v>0</v>
      </c>
      <c r="O41" s="94">
        <v>0</v>
      </c>
      <c r="P41" s="118"/>
    </row>
    <row r="42" spans="2:17" outlineLevel="1" x14ac:dyDescent="0.2">
      <c r="B42" s="119"/>
      <c r="C42" s="119"/>
      <c r="D42" s="119"/>
      <c r="E42" s="119"/>
      <c r="F42" s="119"/>
      <c r="G42" s="119"/>
      <c r="H42" s="95" t="s">
        <v>5</v>
      </c>
      <c r="I42" s="94">
        <f t="shared" si="10"/>
        <v>0</v>
      </c>
      <c r="J42" s="94"/>
      <c r="K42" s="94"/>
      <c r="L42" s="94"/>
      <c r="M42" s="94"/>
      <c r="N42" s="94"/>
      <c r="O42" s="94"/>
      <c r="P42" s="119"/>
    </row>
    <row r="43" spans="2:17" ht="42.75" outlineLevel="1" x14ac:dyDescent="0.2">
      <c r="B43" s="117" t="s">
        <v>639</v>
      </c>
      <c r="C43" s="117" t="s">
        <v>628</v>
      </c>
      <c r="D43" s="117" t="s">
        <v>90</v>
      </c>
      <c r="E43" s="117">
        <v>2022</v>
      </c>
      <c r="F43" s="117" t="s">
        <v>629</v>
      </c>
      <c r="G43" s="117" t="s">
        <v>138</v>
      </c>
      <c r="H43" s="95" t="s">
        <v>3</v>
      </c>
      <c r="I43" s="94">
        <f t="shared" si="10"/>
        <v>23.9</v>
      </c>
      <c r="J43" s="94">
        <f t="shared" ref="J43:O43" si="13">J44+J45+J46</f>
        <v>0</v>
      </c>
      <c r="K43" s="94">
        <f t="shared" si="13"/>
        <v>0</v>
      </c>
      <c r="L43" s="94">
        <f t="shared" si="13"/>
        <v>23.9</v>
      </c>
      <c r="M43" s="94">
        <f t="shared" si="13"/>
        <v>0</v>
      </c>
      <c r="N43" s="94">
        <f t="shared" si="13"/>
        <v>0</v>
      </c>
      <c r="O43" s="94">
        <f t="shared" si="13"/>
        <v>0</v>
      </c>
      <c r="P43" s="117"/>
    </row>
    <row r="44" spans="2:17" outlineLevel="1" x14ac:dyDescent="0.2">
      <c r="B44" s="118"/>
      <c r="C44" s="118"/>
      <c r="D44" s="118"/>
      <c r="E44" s="118"/>
      <c r="F44" s="118"/>
      <c r="G44" s="118"/>
      <c r="H44" s="95" t="s">
        <v>4</v>
      </c>
      <c r="I44" s="94">
        <f t="shared" si="10"/>
        <v>23.7</v>
      </c>
      <c r="J44" s="94">
        <v>0</v>
      </c>
      <c r="K44" s="94">
        <v>0</v>
      </c>
      <c r="L44" s="94">
        <v>23.7</v>
      </c>
      <c r="M44" s="94">
        <v>0</v>
      </c>
      <c r="N44" s="94">
        <v>0</v>
      </c>
      <c r="O44" s="94">
        <v>0</v>
      </c>
      <c r="P44" s="118"/>
    </row>
    <row r="45" spans="2:17" outlineLevel="1" x14ac:dyDescent="0.2">
      <c r="B45" s="118"/>
      <c r="C45" s="118"/>
      <c r="D45" s="118"/>
      <c r="E45" s="118"/>
      <c r="F45" s="118"/>
      <c r="G45" s="118"/>
      <c r="H45" s="95" t="s">
        <v>6</v>
      </c>
      <c r="I45" s="94">
        <f t="shared" si="10"/>
        <v>0.2</v>
      </c>
      <c r="J45" s="94">
        <v>0</v>
      </c>
      <c r="K45" s="94">
        <v>0</v>
      </c>
      <c r="L45" s="94">
        <v>0.2</v>
      </c>
      <c r="M45" s="94">
        <v>0</v>
      </c>
      <c r="N45" s="94">
        <v>0</v>
      </c>
      <c r="O45" s="94">
        <v>0</v>
      </c>
      <c r="P45" s="118"/>
    </row>
    <row r="46" spans="2:17" outlineLevel="1" x14ac:dyDescent="0.2">
      <c r="B46" s="119"/>
      <c r="C46" s="119"/>
      <c r="D46" s="119"/>
      <c r="E46" s="119"/>
      <c r="F46" s="119"/>
      <c r="G46" s="119"/>
      <c r="H46" s="95" t="s">
        <v>5</v>
      </c>
      <c r="I46" s="94">
        <f t="shared" si="10"/>
        <v>0</v>
      </c>
      <c r="J46" s="94"/>
      <c r="K46" s="94"/>
      <c r="L46" s="94"/>
      <c r="M46" s="94"/>
      <c r="N46" s="94"/>
      <c r="O46" s="94"/>
      <c r="P46" s="119"/>
    </row>
    <row r="47" spans="2:17" ht="42.75" outlineLevel="1" x14ac:dyDescent="0.2">
      <c r="B47" s="117" t="s">
        <v>640</v>
      </c>
      <c r="C47" s="117" t="s">
        <v>628</v>
      </c>
      <c r="D47" s="117" t="s">
        <v>90</v>
      </c>
      <c r="E47" s="117">
        <v>2023</v>
      </c>
      <c r="F47" s="117" t="s">
        <v>629</v>
      </c>
      <c r="G47" s="117" t="s">
        <v>138</v>
      </c>
      <c r="H47" s="95" t="s">
        <v>3</v>
      </c>
      <c r="I47" s="94">
        <f t="shared" si="10"/>
        <v>30</v>
      </c>
      <c r="J47" s="94">
        <f t="shared" ref="J47:O47" si="14">J48+J49+J50</f>
        <v>0</v>
      </c>
      <c r="K47" s="94">
        <f t="shared" si="14"/>
        <v>0</v>
      </c>
      <c r="L47" s="94">
        <f t="shared" si="14"/>
        <v>0</v>
      </c>
      <c r="M47" s="94">
        <f t="shared" si="14"/>
        <v>30</v>
      </c>
      <c r="N47" s="94">
        <f t="shared" si="14"/>
        <v>0</v>
      </c>
      <c r="O47" s="94">
        <f t="shared" si="14"/>
        <v>0</v>
      </c>
      <c r="P47" s="117"/>
    </row>
    <row r="48" spans="2:17" outlineLevel="1" x14ac:dyDescent="0.2">
      <c r="B48" s="118"/>
      <c r="C48" s="118"/>
      <c r="D48" s="118"/>
      <c r="E48" s="118"/>
      <c r="F48" s="118"/>
      <c r="G48" s="118"/>
      <c r="H48" s="95" t="s">
        <v>4</v>
      </c>
      <c r="I48" s="94">
        <f t="shared" si="10"/>
        <v>29.7</v>
      </c>
      <c r="J48" s="94">
        <v>0</v>
      </c>
      <c r="K48" s="94">
        <v>0</v>
      </c>
      <c r="L48" s="94">
        <v>0</v>
      </c>
      <c r="M48" s="94">
        <v>29.7</v>
      </c>
      <c r="N48" s="94">
        <v>0</v>
      </c>
      <c r="O48" s="94">
        <v>0</v>
      </c>
      <c r="P48" s="118"/>
    </row>
    <row r="49" spans="2:16" outlineLevel="1" x14ac:dyDescent="0.2">
      <c r="B49" s="118"/>
      <c r="C49" s="118"/>
      <c r="D49" s="118"/>
      <c r="E49" s="118"/>
      <c r="F49" s="118"/>
      <c r="G49" s="118"/>
      <c r="H49" s="95" t="s">
        <v>6</v>
      </c>
      <c r="I49" s="94">
        <f t="shared" si="10"/>
        <v>0.3</v>
      </c>
      <c r="J49" s="94">
        <v>0</v>
      </c>
      <c r="K49" s="94">
        <v>0</v>
      </c>
      <c r="L49" s="94">
        <v>0</v>
      </c>
      <c r="M49" s="94">
        <v>0.3</v>
      </c>
      <c r="N49" s="94">
        <v>0</v>
      </c>
      <c r="O49" s="94">
        <v>0</v>
      </c>
      <c r="P49" s="118"/>
    </row>
    <row r="50" spans="2:16" outlineLevel="1" x14ac:dyDescent="0.2">
      <c r="B50" s="119"/>
      <c r="C50" s="119"/>
      <c r="D50" s="119"/>
      <c r="E50" s="119"/>
      <c r="F50" s="119"/>
      <c r="G50" s="119"/>
      <c r="H50" s="95" t="s">
        <v>5</v>
      </c>
      <c r="I50" s="94">
        <f t="shared" si="10"/>
        <v>0</v>
      </c>
      <c r="J50" s="94"/>
      <c r="K50" s="94"/>
      <c r="L50" s="94"/>
      <c r="M50" s="94"/>
      <c r="N50" s="94"/>
      <c r="O50" s="94"/>
      <c r="P50" s="119"/>
    </row>
    <row r="51" spans="2:16" ht="42.75" outlineLevel="1" x14ac:dyDescent="0.2">
      <c r="B51" s="117" t="s">
        <v>641</v>
      </c>
      <c r="C51" s="117" t="s">
        <v>628</v>
      </c>
      <c r="D51" s="117" t="s">
        <v>90</v>
      </c>
      <c r="E51" s="117">
        <v>2023</v>
      </c>
      <c r="F51" s="117" t="s">
        <v>629</v>
      </c>
      <c r="G51" s="117" t="s">
        <v>138</v>
      </c>
      <c r="H51" s="95" t="s">
        <v>3</v>
      </c>
      <c r="I51" s="94">
        <f t="shared" si="10"/>
        <v>29</v>
      </c>
      <c r="J51" s="94">
        <f t="shared" ref="J51:O51" si="15">J52+J53+J54</f>
        <v>0</v>
      </c>
      <c r="K51" s="94">
        <f t="shared" si="15"/>
        <v>0</v>
      </c>
      <c r="L51" s="94">
        <f t="shared" si="15"/>
        <v>0</v>
      </c>
      <c r="M51" s="94">
        <f t="shared" si="15"/>
        <v>29</v>
      </c>
      <c r="N51" s="94">
        <f t="shared" si="15"/>
        <v>0</v>
      </c>
      <c r="O51" s="94">
        <f t="shared" si="15"/>
        <v>0</v>
      </c>
      <c r="P51" s="117"/>
    </row>
    <row r="52" spans="2:16" outlineLevel="1" x14ac:dyDescent="0.2">
      <c r="B52" s="118"/>
      <c r="C52" s="132"/>
      <c r="D52" s="118"/>
      <c r="E52" s="118"/>
      <c r="F52" s="118"/>
      <c r="G52" s="118"/>
      <c r="H52" s="95" t="s">
        <v>4</v>
      </c>
      <c r="I52" s="94">
        <f t="shared" si="10"/>
        <v>28.7</v>
      </c>
      <c r="J52" s="94">
        <v>0</v>
      </c>
      <c r="K52" s="94">
        <v>0</v>
      </c>
      <c r="L52" s="94">
        <v>0</v>
      </c>
      <c r="M52" s="94">
        <v>28.7</v>
      </c>
      <c r="N52" s="94">
        <v>0</v>
      </c>
      <c r="O52" s="94">
        <v>0</v>
      </c>
      <c r="P52" s="118"/>
    </row>
    <row r="53" spans="2:16" outlineLevel="1" x14ac:dyDescent="0.2">
      <c r="B53" s="118"/>
      <c r="C53" s="132"/>
      <c r="D53" s="118"/>
      <c r="E53" s="118"/>
      <c r="F53" s="118"/>
      <c r="G53" s="118"/>
      <c r="H53" s="95" t="s">
        <v>6</v>
      </c>
      <c r="I53" s="94">
        <f t="shared" si="10"/>
        <v>0.3</v>
      </c>
      <c r="J53" s="94">
        <v>0</v>
      </c>
      <c r="K53" s="94">
        <v>0</v>
      </c>
      <c r="L53" s="94">
        <v>0</v>
      </c>
      <c r="M53" s="94">
        <v>0.3</v>
      </c>
      <c r="N53" s="94">
        <v>0</v>
      </c>
      <c r="O53" s="94">
        <v>0</v>
      </c>
      <c r="P53" s="118"/>
    </row>
    <row r="54" spans="2:16" outlineLevel="1" x14ac:dyDescent="0.2">
      <c r="B54" s="119"/>
      <c r="C54" s="133"/>
      <c r="D54" s="119"/>
      <c r="E54" s="119"/>
      <c r="F54" s="119"/>
      <c r="G54" s="119"/>
      <c r="H54" s="95" t="s">
        <v>5</v>
      </c>
      <c r="I54" s="94">
        <f t="shared" si="10"/>
        <v>0</v>
      </c>
      <c r="J54" s="94"/>
      <c r="K54" s="94"/>
      <c r="L54" s="94"/>
      <c r="M54" s="94"/>
      <c r="N54" s="94"/>
      <c r="O54" s="94"/>
      <c r="P54" s="119"/>
    </row>
    <row r="55" spans="2:16" ht="42.75" outlineLevel="1" x14ac:dyDescent="0.2">
      <c r="B55" s="117" t="s">
        <v>642</v>
      </c>
      <c r="C55" s="117" t="s">
        <v>628</v>
      </c>
      <c r="D55" s="117" t="s">
        <v>90</v>
      </c>
      <c r="E55" s="117">
        <v>2023</v>
      </c>
      <c r="F55" s="117" t="s">
        <v>629</v>
      </c>
      <c r="G55" s="117" t="s">
        <v>138</v>
      </c>
      <c r="H55" s="95" t="s">
        <v>3</v>
      </c>
      <c r="I55" s="94">
        <f t="shared" si="10"/>
        <v>34</v>
      </c>
      <c r="J55" s="94">
        <f t="shared" ref="J55:O55" si="16">J56+J57+J58</f>
        <v>0</v>
      </c>
      <c r="K55" s="94">
        <f t="shared" si="16"/>
        <v>0</v>
      </c>
      <c r="L55" s="94">
        <f t="shared" si="16"/>
        <v>0</v>
      </c>
      <c r="M55" s="94">
        <f t="shared" si="16"/>
        <v>34</v>
      </c>
      <c r="N55" s="94">
        <f t="shared" si="16"/>
        <v>0</v>
      </c>
      <c r="O55" s="94">
        <f t="shared" si="16"/>
        <v>0</v>
      </c>
      <c r="P55" s="117"/>
    </row>
    <row r="56" spans="2:16" outlineLevel="1" x14ac:dyDescent="0.2">
      <c r="B56" s="118"/>
      <c r="C56" s="132"/>
      <c r="D56" s="118"/>
      <c r="E56" s="118"/>
      <c r="F56" s="118"/>
      <c r="G56" s="118"/>
      <c r="H56" s="95" t="s">
        <v>4</v>
      </c>
      <c r="I56" s="94">
        <f t="shared" si="10"/>
        <v>33.700000000000003</v>
      </c>
      <c r="J56" s="94">
        <v>0</v>
      </c>
      <c r="K56" s="94">
        <v>0</v>
      </c>
      <c r="L56" s="94">
        <v>0</v>
      </c>
      <c r="M56" s="94">
        <v>33.700000000000003</v>
      </c>
      <c r="N56" s="94">
        <v>0</v>
      </c>
      <c r="O56" s="94">
        <v>0</v>
      </c>
      <c r="P56" s="118"/>
    </row>
    <row r="57" spans="2:16" outlineLevel="1" x14ac:dyDescent="0.2">
      <c r="B57" s="118"/>
      <c r="C57" s="132"/>
      <c r="D57" s="118"/>
      <c r="E57" s="118"/>
      <c r="F57" s="118"/>
      <c r="G57" s="118"/>
      <c r="H57" s="95" t="s">
        <v>6</v>
      </c>
      <c r="I57" s="94">
        <f t="shared" si="10"/>
        <v>0.3</v>
      </c>
      <c r="J57" s="94">
        <v>0</v>
      </c>
      <c r="K57" s="94">
        <v>0</v>
      </c>
      <c r="L57" s="94">
        <v>0</v>
      </c>
      <c r="M57" s="94">
        <v>0.3</v>
      </c>
      <c r="N57" s="94">
        <v>0</v>
      </c>
      <c r="O57" s="94">
        <v>0</v>
      </c>
      <c r="P57" s="118"/>
    </row>
    <row r="58" spans="2:16" outlineLevel="1" x14ac:dyDescent="0.2">
      <c r="B58" s="119"/>
      <c r="C58" s="133"/>
      <c r="D58" s="119"/>
      <c r="E58" s="119"/>
      <c r="F58" s="119"/>
      <c r="G58" s="119"/>
      <c r="H58" s="95" t="s">
        <v>5</v>
      </c>
      <c r="I58" s="94">
        <f t="shared" si="10"/>
        <v>0</v>
      </c>
      <c r="J58" s="94"/>
      <c r="K58" s="94"/>
      <c r="L58" s="94"/>
      <c r="M58" s="94"/>
      <c r="N58" s="94"/>
      <c r="O58" s="94"/>
      <c r="P58" s="119"/>
    </row>
    <row r="59" spans="2:16" ht="42.75" outlineLevel="1" x14ac:dyDescent="0.2">
      <c r="B59" s="117" t="s">
        <v>643</v>
      </c>
      <c r="C59" s="117" t="s">
        <v>628</v>
      </c>
      <c r="D59" s="117" t="s">
        <v>90</v>
      </c>
      <c r="E59" s="117">
        <v>2023</v>
      </c>
      <c r="F59" s="117" t="s">
        <v>629</v>
      </c>
      <c r="G59" s="117" t="s">
        <v>138</v>
      </c>
      <c r="H59" s="95" t="s">
        <v>3</v>
      </c>
      <c r="I59" s="94">
        <f t="shared" si="10"/>
        <v>26.5</v>
      </c>
      <c r="J59" s="94">
        <f t="shared" ref="J59:O59" si="17">J60+J61+J62</f>
        <v>0</v>
      </c>
      <c r="K59" s="94">
        <f t="shared" si="17"/>
        <v>0</v>
      </c>
      <c r="L59" s="94">
        <f t="shared" si="17"/>
        <v>0</v>
      </c>
      <c r="M59" s="94">
        <f t="shared" si="17"/>
        <v>26.5</v>
      </c>
      <c r="N59" s="94">
        <f t="shared" si="17"/>
        <v>0</v>
      </c>
      <c r="O59" s="94">
        <f t="shared" si="17"/>
        <v>0</v>
      </c>
      <c r="P59" s="117"/>
    </row>
    <row r="60" spans="2:16" outlineLevel="1" x14ac:dyDescent="0.2">
      <c r="B60" s="118"/>
      <c r="C60" s="132"/>
      <c r="D60" s="118"/>
      <c r="E60" s="118"/>
      <c r="F60" s="118"/>
      <c r="G60" s="118"/>
      <c r="H60" s="95" t="s">
        <v>4</v>
      </c>
      <c r="I60" s="94">
        <f t="shared" si="10"/>
        <v>26.2</v>
      </c>
      <c r="J60" s="94">
        <v>0</v>
      </c>
      <c r="K60" s="94">
        <v>0</v>
      </c>
      <c r="L60" s="94">
        <v>0</v>
      </c>
      <c r="M60" s="94">
        <v>26.2</v>
      </c>
      <c r="N60" s="94">
        <v>0</v>
      </c>
      <c r="O60" s="94">
        <v>0</v>
      </c>
      <c r="P60" s="118"/>
    </row>
    <row r="61" spans="2:16" outlineLevel="1" x14ac:dyDescent="0.2">
      <c r="B61" s="118"/>
      <c r="C61" s="132"/>
      <c r="D61" s="118"/>
      <c r="E61" s="118"/>
      <c r="F61" s="118"/>
      <c r="G61" s="118"/>
      <c r="H61" s="95" t="s">
        <v>6</v>
      </c>
      <c r="I61" s="94">
        <f t="shared" si="10"/>
        <v>0.3</v>
      </c>
      <c r="J61" s="94">
        <v>0</v>
      </c>
      <c r="K61" s="94">
        <v>0</v>
      </c>
      <c r="L61" s="94">
        <v>0</v>
      </c>
      <c r="M61" s="94">
        <v>0.3</v>
      </c>
      <c r="N61" s="94">
        <v>0</v>
      </c>
      <c r="O61" s="94">
        <v>0</v>
      </c>
      <c r="P61" s="118"/>
    </row>
    <row r="62" spans="2:16" outlineLevel="1" x14ac:dyDescent="0.2">
      <c r="B62" s="119"/>
      <c r="C62" s="133"/>
      <c r="D62" s="119"/>
      <c r="E62" s="119"/>
      <c r="F62" s="119"/>
      <c r="G62" s="119"/>
      <c r="H62" s="95" t="s">
        <v>5</v>
      </c>
      <c r="I62" s="94">
        <f t="shared" si="10"/>
        <v>0</v>
      </c>
      <c r="J62" s="94"/>
      <c r="K62" s="94"/>
      <c r="L62" s="94"/>
      <c r="M62" s="94"/>
      <c r="N62" s="94"/>
      <c r="O62" s="94"/>
      <c r="P62" s="119"/>
    </row>
    <row r="63" spans="2:16" ht="42.75" outlineLevel="1" x14ac:dyDescent="0.2">
      <c r="B63" s="117" t="s">
        <v>644</v>
      </c>
      <c r="C63" s="117" t="s">
        <v>628</v>
      </c>
      <c r="D63" s="117" t="s">
        <v>90</v>
      </c>
      <c r="E63" s="117">
        <v>2023</v>
      </c>
      <c r="F63" s="117" t="s">
        <v>629</v>
      </c>
      <c r="G63" s="117" t="s">
        <v>138</v>
      </c>
      <c r="H63" s="95" t="s">
        <v>3</v>
      </c>
      <c r="I63" s="94">
        <f t="shared" si="10"/>
        <v>34</v>
      </c>
      <c r="J63" s="94">
        <f t="shared" ref="J63:O63" si="18">J64+J65+J66</f>
        <v>0</v>
      </c>
      <c r="K63" s="94">
        <f t="shared" si="18"/>
        <v>0</v>
      </c>
      <c r="L63" s="94">
        <f t="shared" si="18"/>
        <v>0</v>
      </c>
      <c r="M63" s="94">
        <f t="shared" si="18"/>
        <v>34</v>
      </c>
      <c r="N63" s="94">
        <f t="shared" si="18"/>
        <v>0</v>
      </c>
      <c r="O63" s="94">
        <f t="shared" si="18"/>
        <v>0</v>
      </c>
      <c r="P63" s="117"/>
    </row>
    <row r="64" spans="2:16" outlineLevel="1" x14ac:dyDescent="0.2">
      <c r="B64" s="118"/>
      <c r="C64" s="132"/>
      <c r="D64" s="118"/>
      <c r="E64" s="118"/>
      <c r="F64" s="118"/>
      <c r="G64" s="118"/>
      <c r="H64" s="95" t="s">
        <v>4</v>
      </c>
      <c r="I64" s="94">
        <f t="shared" si="10"/>
        <v>33.700000000000003</v>
      </c>
      <c r="J64" s="94">
        <v>0</v>
      </c>
      <c r="K64" s="94">
        <v>0</v>
      </c>
      <c r="L64" s="94">
        <v>0</v>
      </c>
      <c r="M64" s="94">
        <v>33.700000000000003</v>
      </c>
      <c r="N64" s="94">
        <v>0</v>
      </c>
      <c r="O64" s="94">
        <v>0</v>
      </c>
      <c r="P64" s="118"/>
    </row>
    <row r="65" spans="2:16" outlineLevel="1" x14ac:dyDescent="0.2">
      <c r="B65" s="118"/>
      <c r="C65" s="132"/>
      <c r="D65" s="118"/>
      <c r="E65" s="118"/>
      <c r="F65" s="118"/>
      <c r="G65" s="118"/>
      <c r="H65" s="95" t="s">
        <v>6</v>
      </c>
      <c r="I65" s="94">
        <f t="shared" si="10"/>
        <v>0.3</v>
      </c>
      <c r="J65" s="94">
        <v>0</v>
      </c>
      <c r="K65" s="94">
        <v>0</v>
      </c>
      <c r="L65" s="94">
        <v>0</v>
      </c>
      <c r="M65" s="94">
        <v>0.3</v>
      </c>
      <c r="N65" s="94">
        <v>0</v>
      </c>
      <c r="O65" s="94">
        <v>0</v>
      </c>
      <c r="P65" s="118"/>
    </row>
    <row r="66" spans="2:16" outlineLevel="1" x14ac:dyDescent="0.2">
      <c r="B66" s="119"/>
      <c r="C66" s="133"/>
      <c r="D66" s="119"/>
      <c r="E66" s="119"/>
      <c r="F66" s="119"/>
      <c r="G66" s="119"/>
      <c r="H66" s="95" t="s">
        <v>5</v>
      </c>
      <c r="I66" s="94">
        <f t="shared" si="10"/>
        <v>0</v>
      </c>
      <c r="J66" s="94"/>
      <c r="K66" s="94"/>
      <c r="L66" s="94"/>
      <c r="M66" s="94"/>
      <c r="N66" s="94"/>
      <c r="O66" s="94"/>
      <c r="P66" s="119"/>
    </row>
    <row r="67" spans="2:16" ht="42.75" outlineLevel="1" x14ac:dyDescent="0.2">
      <c r="B67" s="117" t="s">
        <v>645</v>
      </c>
      <c r="C67" s="117" t="s">
        <v>628</v>
      </c>
      <c r="D67" s="117" t="s">
        <v>90</v>
      </c>
      <c r="E67" s="117">
        <v>2024</v>
      </c>
      <c r="F67" s="117" t="s">
        <v>629</v>
      </c>
      <c r="G67" s="117" t="s">
        <v>138</v>
      </c>
      <c r="H67" s="95" t="s">
        <v>3</v>
      </c>
      <c r="I67" s="94">
        <f t="shared" si="10"/>
        <v>22.7</v>
      </c>
      <c r="J67" s="94">
        <f t="shared" ref="J67:O67" si="19">J68+J69+J70</f>
        <v>0</v>
      </c>
      <c r="K67" s="94">
        <f t="shared" si="19"/>
        <v>0</v>
      </c>
      <c r="L67" s="94">
        <f t="shared" si="19"/>
        <v>0</v>
      </c>
      <c r="M67" s="94">
        <f t="shared" si="19"/>
        <v>0</v>
      </c>
      <c r="N67" s="94">
        <f t="shared" si="19"/>
        <v>22.7</v>
      </c>
      <c r="O67" s="94">
        <f t="shared" si="19"/>
        <v>0</v>
      </c>
      <c r="P67" s="117"/>
    </row>
    <row r="68" spans="2:16" outlineLevel="1" x14ac:dyDescent="0.2">
      <c r="B68" s="118"/>
      <c r="C68" s="132"/>
      <c r="D68" s="118"/>
      <c r="E68" s="118"/>
      <c r="F68" s="118"/>
      <c r="G68" s="118"/>
      <c r="H68" s="95" t="s">
        <v>4</v>
      </c>
      <c r="I68" s="94">
        <f t="shared" si="10"/>
        <v>22.5</v>
      </c>
      <c r="J68" s="94">
        <v>0</v>
      </c>
      <c r="K68" s="94">
        <v>0</v>
      </c>
      <c r="L68" s="94">
        <v>0</v>
      </c>
      <c r="M68" s="94">
        <v>0</v>
      </c>
      <c r="N68" s="94">
        <v>22.5</v>
      </c>
      <c r="O68" s="94">
        <v>0</v>
      </c>
      <c r="P68" s="118"/>
    </row>
    <row r="69" spans="2:16" outlineLevel="1" x14ac:dyDescent="0.2">
      <c r="B69" s="118"/>
      <c r="C69" s="132"/>
      <c r="D69" s="118"/>
      <c r="E69" s="118"/>
      <c r="F69" s="118"/>
      <c r="G69" s="118"/>
      <c r="H69" s="95" t="s">
        <v>6</v>
      </c>
      <c r="I69" s="94">
        <f t="shared" si="10"/>
        <v>0.2</v>
      </c>
      <c r="J69" s="94">
        <v>0</v>
      </c>
      <c r="K69" s="94">
        <v>0</v>
      </c>
      <c r="L69" s="94">
        <v>0</v>
      </c>
      <c r="M69" s="94">
        <v>0</v>
      </c>
      <c r="N69" s="94">
        <v>0.2</v>
      </c>
      <c r="O69" s="94">
        <v>0</v>
      </c>
      <c r="P69" s="118"/>
    </row>
    <row r="70" spans="2:16" outlineLevel="1" x14ac:dyDescent="0.2">
      <c r="B70" s="119"/>
      <c r="C70" s="133"/>
      <c r="D70" s="119"/>
      <c r="E70" s="119"/>
      <c r="F70" s="119"/>
      <c r="G70" s="119"/>
      <c r="H70" s="95" t="s">
        <v>5</v>
      </c>
      <c r="I70" s="94">
        <f t="shared" si="10"/>
        <v>0</v>
      </c>
      <c r="J70" s="94"/>
      <c r="K70" s="94"/>
      <c r="L70" s="94"/>
      <c r="M70" s="94"/>
      <c r="N70" s="94"/>
      <c r="O70" s="94"/>
      <c r="P70" s="119"/>
    </row>
    <row r="71" spans="2:16" ht="42.75" outlineLevel="1" x14ac:dyDescent="0.2">
      <c r="B71" s="117" t="s">
        <v>646</v>
      </c>
      <c r="C71" s="117" t="s">
        <v>628</v>
      </c>
      <c r="D71" s="117" t="s">
        <v>90</v>
      </c>
      <c r="E71" s="117">
        <v>2024</v>
      </c>
      <c r="F71" s="117" t="s">
        <v>629</v>
      </c>
      <c r="G71" s="117" t="s">
        <v>138</v>
      </c>
      <c r="H71" s="95" t="s">
        <v>3</v>
      </c>
      <c r="I71" s="94">
        <f t="shared" si="10"/>
        <v>22.7</v>
      </c>
      <c r="J71" s="94">
        <f t="shared" ref="J71:O71" si="20">J72+J73+J74</f>
        <v>0</v>
      </c>
      <c r="K71" s="94">
        <f t="shared" si="20"/>
        <v>0</v>
      </c>
      <c r="L71" s="94">
        <f t="shared" si="20"/>
        <v>0</v>
      </c>
      <c r="M71" s="94">
        <f t="shared" si="20"/>
        <v>0</v>
      </c>
      <c r="N71" s="94">
        <f t="shared" si="20"/>
        <v>22.7</v>
      </c>
      <c r="O71" s="94">
        <f t="shared" si="20"/>
        <v>0</v>
      </c>
      <c r="P71" s="117"/>
    </row>
    <row r="72" spans="2:16" outlineLevel="1" x14ac:dyDescent="0.2">
      <c r="B72" s="118"/>
      <c r="C72" s="132"/>
      <c r="D72" s="118"/>
      <c r="E72" s="118"/>
      <c r="F72" s="118"/>
      <c r="G72" s="118"/>
      <c r="H72" s="95" t="s">
        <v>4</v>
      </c>
      <c r="I72" s="94">
        <f t="shared" si="10"/>
        <v>22.5</v>
      </c>
      <c r="J72" s="94">
        <v>0</v>
      </c>
      <c r="K72" s="94">
        <v>0</v>
      </c>
      <c r="L72" s="94">
        <v>0</v>
      </c>
      <c r="M72" s="94">
        <v>0</v>
      </c>
      <c r="N72" s="94">
        <v>22.5</v>
      </c>
      <c r="O72" s="94">
        <v>0</v>
      </c>
      <c r="P72" s="118"/>
    </row>
    <row r="73" spans="2:16" outlineLevel="1" x14ac:dyDescent="0.2">
      <c r="B73" s="118"/>
      <c r="C73" s="132"/>
      <c r="D73" s="118"/>
      <c r="E73" s="118"/>
      <c r="F73" s="118"/>
      <c r="G73" s="118"/>
      <c r="H73" s="95" t="s">
        <v>6</v>
      </c>
      <c r="I73" s="94">
        <f t="shared" si="10"/>
        <v>0.2</v>
      </c>
      <c r="J73" s="94">
        <v>0</v>
      </c>
      <c r="K73" s="94">
        <v>0</v>
      </c>
      <c r="L73" s="94">
        <v>0</v>
      </c>
      <c r="M73" s="94">
        <v>0</v>
      </c>
      <c r="N73" s="94">
        <v>0.2</v>
      </c>
      <c r="O73" s="94">
        <v>0</v>
      </c>
      <c r="P73" s="118"/>
    </row>
    <row r="74" spans="2:16" outlineLevel="1" x14ac:dyDescent="0.2">
      <c r="B74" s="119"/>
      <c r="C74" s="133"/>
      <c r="D74" s="119"/>
      <c r="E74" s="119"/>
      <c r="F74" s="119"/>
      <c r="G74" s="119"/>
      <c r="H74" s="95" t="s">
        <v>5</v>
      </c>
      <c r="I74" s="94">
        <f t="shared" si="10"/>
        <v>0</v>
      </c>
      <c r="J74" s="94"/>
      <c r="K74" s="94"/>
      <c r="L74" s="94"/>
      <c r="M74" s="94"/>
      <c r="N74" s="94"/>
      <c r="O74" s="94"/>
      <c r="P74" s="119"/>
    </row>
    <row r="75" spans="2:16" ht="42.75" outlineLevel="1" x14ac:dyDescent="0.2">
      <c r="B75" s="117" t="s">
        <v>647</v>
      </c>
      <c r="C75" s="117"/>
      <c r="D75" s="117" t="s">
        <v>90</v>
      </c>
      <c r="E75" s="117">
        <v>2021</v>
      </c>
      <c r="F75" s="117" t="s">
        <v>648</v>
      </c>
      <c r="G75" s="117" t="s">
        <v>101</v>
      </c>
      <c r="H75" s="95" t="s">
        <v>3</v>
      </c>
      <c r="I75" s="94">
        <f t="shared" si="10"/>
        <v>41.4</v>
      </c>
      <c r="J75" s="94">
        <f t="shared" ref="J75:O75" si="21">J76+J77+J78</f>
        <v>0</v>
      </c>
      <c r="K75" s="94">
        <v>41.4</v>
      </c>
      <c r="L75" s="94">
        <f t="shared" si="21"/>
        <v>0</v>
      </c>
      <c r="M75" s="94">
        <f t="shared" si="21"/>
        <v>0</v>
      </c>
      <c r="N75" s="94">
        <v>0</v>
      </c>
      <c r="O75" s="94">
        <f t="shared" si="21"/>
        <v>0</v>
      </c>
      <c r="P75" s="117">
        <v>2119</v>
      </c>
    </row>
    <row r="76" spans="2:16" outlineLevel="1" x14ac:dyDescent="0.2">
      <c r="B76" s="118"/>
      <c r="C76" s="132"/>
      <c r="D76" s="118"/>
      <c r="E76" s="118"/>
      <c r="F76" s="118"/>
      <c r="G76" s="118"/>
      <c r="H76" s="95" t="s">
        <v>4</v>
      </c>
      <c r="I76" s="94">
        <f t="shared" si="10"/>
        <v>0</v>
      </c>
      <c r="J76" s="94"/>
      <c r="K76" s="94"/>
      <c r="L76" s="94"/>
      <c r="M76" s="94"/>
      <c r="N76" s="94"/>
      <c r="O76" s="94"/>
      <c r="P76" s="118"/>
    </row>
    <row r="77" spans="2:16" outlineLevel="1" x14ac:dyDescent="0.2">
      <c r="B77" s="118"/>
      <c r="C77" s="132"/>
      <c r="D77" s="118"/>
      <c r="E77" s="118"/>
      <c r="F77" s="118"/>
      <c r="G77" s="118"/>
      <c r="H77" s="95" t="s">
        <v>6</v>
      </c>
      <c r="I77" s="94">
        <f t="shared" si="10"/>
        <v>41.4</v>
      </c>
      <c r="J77" s="94">
        <v>0</v>
      </c>
      <c r="K77" s="94">
        <v>41.4</v>
      </c>
      <c r="L77" s="94">
        <v>0</v>
      </c>
      <c r="M77" s="94">
        <v>0</v>
      </c>
      <c r="N77" s="94">
        <v>0</v>
      </c>
      <c r="O77" s="94">
        <v>0</v>
      </c>
      <c r="P77" s="118"/>
    </row>
    <row r="78" spans="2:16" outlineLevel="1" x14ac:dyDescent="0.2">
      <c r="B78" s="119"/>
      <c r="C78" s="133"/>
      <c r="D78" s="119"/>
      <c r="E78" s="119"/>
      <c r="F78" s="119"/>
      <c r="G78" s="119"/>
      <c r="H78" s="95" t="s">
        <v>5</v>
      </c>
      <c r="I78" s="94">
        <f t="shared" si="10"/>
        <v>0</v>
      </c>
      <c r="J78" s="94"/>
      <c r="K78" s="94"/>
      <c r="L78" s="94"/>
      <c r="M78" s="94"/>
      <c r="N78" s="94"/>
      <c r="O78" s="94"/>
      <c r="P78" s="119"/>
    </row>
    <row r="79" spans="2:16" ht="42.75" outlineLevel="1" x14ac:dyDescent="0.2">
      <c r="B79" s="117" t="s">
        <v>649</v>
      </c>
      <c r="C79" s="117"/>
      <c r="D79" s="117" t="s">
        <v>90</v>
      </c>
      <c r="E79" s="117" t="s">
        <v>50</v>
      </c>
      <c r="F79" s="117" t="s">
        <v>650</v>
      </c>
      <c r="G79" s="117" t="s">
        <v>101</v>
      </c>
      <c r="H79" s="95" t="s">
        <v>3</v>
      </c>
      <c r="I79" s="94">
        <f t="shared" si="10"/>
        <v>20.6</v>
      </c>
      <c r="J79" s="94">
        <f t="shared" ref="J79:M79" si="22">J80+J81+J82</f>
        <v>0</v>
      </c>
      <c r="K79" s="94">
        <f t="shared" si="22"/>
        <v>10.3</v>
      </c>
      <c r="L79" s="94">
        <f t="shared" si="22"/>
        <v>10.3</v>
      </c>
      <c r="M79" s="94">
        <f t="shared" si="22"/>
        <v>0</v>
      </c>
      <c r="N79" s="94">
        <v>0</v>
      </c>
      <c r="O79" s="94">
        <f t="shared" ref="O79" si="23">O80+O81+O82</f>
        <v>0</v>
      </c>
      <c r="P79" s="117" t="s">
        <v>651</v>
      </c>
    </row>
    <row r="80" spans="2:16" outlineLevel="1" x14ac:dyDescent="0.2">
      <c r="B80" s="118"/>
      <c r="C80" s="132"/>
      <c r="D80" s="118"/>
      <c r="E80" s="118"/>
      <c r="F80" s="118"/>
      <c r="G80" s="118"/>
      <c r="H80" s="95" t="s">
        <v>4</v>
      </c>
      <c r="I80" s="94">
        <f t="shared" si="10"/>
        <v>0</v>
      </c>
      <c r="J80" s="94"/>
      <c r="K80" s="94"/>
      <c r="L80" s="94"/>
      <c r="M80" s="94"/>
      <c r="N80" s="94"/>
      <c r="O80" s="94"/>
      <c r="P80" s="118"/>
    </row>
    <row r="81" spans="2:18" outlineLevel="1" x14ac:dyDescent="0.2">
      <c r="B81" s="118"/>
      <c r="C81" s="132"/>
      <c r="D81" s="118"/>
      <c r="E81" s="118"/>
      <c r="F81" s="118"/>
      <c r="G81" s="118"/>
      <c r="H81" s="95" t="s">
        <v>6</v>
      </c>
      <c r="I81" s="94">
        <f t="shared" si="10"/>
        <v>20.6</v>
      </c>
      <c r="J81" s="94">
        <v>0</v>
      </c>
      <c r="K81" s="94">
        <v>10.3</v>
      </c>
      <c r="L81" s="94">
        <v>10.3</v>
      </c>
      <c r="M81" s="94">
        <v>0</v>
      </c>
      <c r="N81" s="94">
        <v>0</v>
      </c>
      <c r="O81" s="94">
        <v>0</v>
      </c>
      <c r="P81" s="118"/>
    </row>
    <row r="82" spans="2:18" outlineLevel="1" x14ac:dyDescent="0.2">
      <c r="B82" s="119"/>
      <c r="C82" s="133"/>
      <c r="D82" s="119"/>
      <c r="E82" s="119"/>
      <c r="F82" s="119"/>
      <c r="G82" s="119"/>
      <c r="H82" s="95" t="s">
        <v>5</v>
      </c>
      <c r="I82" s="94">
        <f t="shared" si="10"/>
        <v>0</v>
      </c>
      <c r="J82" s="94"/>
      <c r="K82" s="94"/>
      <c r="L82" s="94"/>
      <c r="M82" s="94"/>
      <c r="N82" s="94"/>
      <c r="O82" s="94"/>
      <c r="P82" s="119"/>
    </row>
    <row r="83" spans="2:18" ht="42.75" outlineLevel="1" x14ac:dyDescent="0.2">
      <c r="B83" s="117" t="s">
        <v>652</v>
      </c>
      <c r="C83" s="117"/>
      <c r="D83" s="117" t="s">
        <v>90</v>
      </c>
      <c r="E83" s="117" t="s">
        <v>50</v>
      </c>
      <c r="F83" s="117" t="s">
        <v>653</v>
      </c>
      <c r="G83" s="117" t="s">
        <v>101</v>
      </c>
      <c r="H83" s="95" t="s">
        <v>3</v>
      </c>
      <c r="I83" s="94">
        <f t="shared" si="10"/>
        <v>28.7</v>
      </c>
      <c r="J83" s="94">
        <f t="shared" ref="J83:M83" si="24">J84+J85+J86</f>
        <v>0</v>
      </c>
      <c r="K83" s="94">
        <f t="shared" si="24"/>
        <v>14.35</v>
      </c>
      <c r="L83" s="94">
        <f t="shared" si="24"/>
        <v>14.35</v>
      </c>
      <c r="M83" s="94">
        <f t="shared" si="24"/>
        <v>0</v>
      </c>
      <c r="N83" s="94">
        <v>0</v>
      </c>
      <c r="O83" s="94">
        <f t="shared" ref="O83" si="25">O84+O85+O86</f>
        <v>0</v>
      </c>
      <c r="P83" s="117" t="s">
        <v>654</v>
      </c>
    </row>
    <row r="84" spans="2:18" outlineLevel="1" x14ac:dyDescent="0.2">
      <c r="B84" s="118"/>
      <c r="C84" s="132"/>
      <c r="D84" s="118"/>
      <c r="E84" s="118"/>
      <c r="F84" s="118"/>
      <c r="G84" s="118"/>
      <c r="H84" s="95" t="s">
        <v>4</v>
      </c>
      <c r="I84" s="94">
        <f t="shared" si="10"/>
        <v>0</v>
      </c>
      <c r="J84" s="94"/>
      <c r="K84" s="94"/>
      <c r="L84" s="94"/>
      <c r="M84" s="94"/>
      <c r="N84" s="94"/>
      <c r="O84" s="94"/>
      <c r="P84" s="118"/>
    </row>
    <row r="85" spans="2:18" outlineLevel="1" x14ac:dyDescent="0.2">
      <c r="B85" s="118"/>
      <c r="C85" s="132"/>
      <c r="D85" s="118"/>
      <c r="E85" s="118"/>
      <c r="F85" s="118"/>
      <c r="G85" s="118"/>
      <c r="H85" s="95" t="s">
        <v>6</v>
      </c>
      <c r="I85" s="94">
        <f t="shared" si="10"/>
        <v>28.7</v>
      </c>
      <c r="J85" s="94">
        <v>0</v>
      </c>
      <c r="K85" s="94">
        <v>14.35</v>
      </c>
      <c r="L85" s="94">
        <v>14.35</v>
      </c>
      <c r="M85" s="94">
        <v>0</v>
      </c>
      <c r="N85" s="94">
        <v>0</v>
      </c>
      <c r="O85" s="94">
        <v>0</v>
      </c>
      <c r="P85" s="118"/>
    </row>
    <row r="86" spans="2:18" outlineLevel="1" x14ac:dyDescent="0.2">
      <c r="B86" s="119"/>
      <c r="C86" s="133"/>
      <c r="D86" s="119"/>
      <c r="E86" s="119"/>
      <c r="F86" s="119"/>
      <c r="G86" s="119"/>
      <c r="H86" s="95" t="s">
        <v>5</v>
      </c>
      <c r="I86" s="94">
        <f t="shared" si="10"/>
        <v>0</v>
      </c>
      <c r="J86" s="94"/>
      <c r="K86" s="94"/>
      <c r="L86" s="94"/>
      <c r="M86" s="94"/>
      <c r="N86" s="94"/>
      <c r="O86" s="94"/>
      <c r="P86" s="119"/>
    </row>
    <row r="87" spans="2:18" ht="42.75" outlineLevel="1" x14ac:dyDescent="0.2">
      <c r="B87" s="117" t="s">
        <v>655</v>
      </c>
      <c r="C87" s="117"/>
      <c r="D87" s="117" t="s">
        <v>90</v>
      </c>
      <c r="E87" s="117" t="s">
        <v>50</v>
      </c>
      <c r="F87" s="117" t="s">
        <v>656</v>
      </c>
      <c r="G87" s="117" t="s">
        <v>101</v>
      </c>
      <c r="H87" s="95" t="s">
        <v>3</v>
      </c>
      <c r="I87" s="94">
        <f t="shared" si="10"/>
        <v>25.5</v>
      </c>
      <c r="J87" s="94">
        <f t="shared" ref="J87:M87" si="26">J88+J89+J90</f>
        <v>0</v>
      </c>
      <c r="K87" s="94">
        <f t="shared" si="26"/>
        <v>12.75</v>
      </c>
      <c r="L87" s="94">
        <f t="shared" si="26"/>
        <v>12.75</v>
      </c>
      <c r="M87" s="94">
        <f t="shared" si="26"/>
        <v>0</v>
      </c>
      <c r="N87" s="94">
        <v>0</v>
      </c>
      <c r="O87" s="94">
        <f t="shared" ref="O87" si="27">O88+O89+O90</f>
        <v>0</v>
      </c>
      <c r="P87" s="117" t="s">
        <v>657</v>
      </c>
    </row>
    <row r="88" spans="2:18" outlineLevel="1" x14ac:dyDescent="0.2">
      <c r="B88" s="118"/>
      <c r="C88" s="132"/>
      <c r="D88" s="118"/>
      <c r="E88" s="118"/>
      <c r="F88" s="118"/>
      <c r="G88" s="118"/>
      <c r="H88" s="95" t="s">
        <v>4</v>
      </c>
      <c r="I88" s="94">
        <f t="shared" si="10"/>
        <v>0</v>
      </c>
      <c r="J88" s="94"/>
      <c r="K88" s="94"/>
      <c r="L88" s="94"/>
      <c r="M88" s="94"/>
      <c r="N88" s="94"/>
      <c r="O88" s="94"/>
      <c r="P88" s="118"/>
    </row>
    <row r="89" spans="2:18" outlineLevel="1" x14ac:dyDescent="0.2">
      <c r="B89" s="118"/>
      <c r="C89" s="132"/>
      <c r="D89" s="118"/>
      <c r="E89" s="118"/>
      <c r="F89" s="118"/>
      <c r="G89" s="118"/>
      <c r="H89" s="95" t="s">
        <v>6</v>
      </c>
      <c r="I89" s="94">
        <f t="shared" si="10"/>
        <v>25.5</v>
      </c>
      <c r="J89" s="94">
        <v>0</v>
      </c>
      <c r="K89" s="94">
        <v>12.75</v>
      </c>
      <c r="L89" s="94">
        <v>12.75</v>
      </c>
      <c r="M89" s="94">
        <v>0</v>
      </c>
      <c r="N89" s="94">
        <v>0</v>
      </c>
      <c r="O89" s="94">
        <v>0</v>
      </c>
      <c r="P89" s="118"/>
    </row>
    <row r="90" spans="2:18" outlineLevel="1" x14ac:dyDescent="0.2">
      <c r="B90" s="119"/>
      <c r="C90" s="133"/>
      <c r="D90" s="119"/>
      <c r="E90" s="119"/>
      <c r="F90" s="119"/>
      <c r="G90" s="119"/>
      <c r="H90" s="95" t="s">
        <v>5</v>
      </c>
      <c r="I90" s="94">
        <f t="shared" si="10"/>
        <v>0</v>
      </c>
      <c r="J90" s="94"/>
      <c r="K90" s="94"/>
      <c r="L90" s="94"/>
      <c r="M90" s="94"/>
      <c r="N90" s="94"/>
      <c r="O90" s="94"/>
      <c r="P90" s="119"/>
    </row>
    <row r="91" spans="2:18" ht="42.75" outlineLevel="1" x14ac:dyDescent="0.2">
      <c r="B91" s="117" t="s">
        <v>658</v>
      </c>
      <c r="C91" s="117"/>
      <c r="D91" s="117" t="s">
        <v>90</v>
      </c>
      <c r="E91" s="117">
        <v>2020</v>
      </c>
      <c r="F91" s="117" t="s">
        <v>659</v>
      </c>
      <c r="G91" s="117" t="s">
        <v>101</v>
      </c>
      <c r="H91" s="95" t="s">
        <v>3</v>
      </c>
      <c r="I91" s="94">
        <f t="shared" si="10"/>
        <v>36.1</v>
      </c>
      <c r="J91" s="94">
        <f t="shared" ref="J91:O91" si="28">J92+J93+J94</f>
        <v>36.1</v>
      </c>
      <c r="K91" s="94">
        <f t="shared" si="28"/>
        <v>0</v>
      </c>
      <c r="L91" s="94">
        <f t="shared" si="28"/>
        <v>0</v>
      </c>
      <c r="M91" s="94">
        <f t="shared" si="28"/>
        <v>0</v>
      </c>
      <c r="N91" s="94">
        <f t="shared" si="28"/>
        <v>0</v>
      </c>
      <c r="O91" s="94">
        <f t="shared" si="28"/>
        <v>0</v>
      </c>
      <c r="P91" s="117">
        <v>4963</v>
      </c>
    </row>
    <row r="92" spans="2:18" outlineLevel="1" x14ac:dyDescent="0.2">
      <c r="B92" s="118"/>
      <c r="C92" s="132"/>
      <c r="D92" s="118"/>
      <c r="E92" s="118"/>
      <c r="F92" s="118"/>
      <c r="G92" s="118"/>
      <c r="H92" s="95" t="s">
        <v>4</v>
      </c>
      <c r="I92" s="94">
        <f t="shared" si="10"/>
        <v>0</v>
      </c>
      <c r="J92" s="94"/>
      <c r="K92" s="94"/>
      <c r="L92" s="94"/>
      <c r="M92" s="94"/>
      <c r="N92" s="94"/>
      <c r="O92" s="94"/>
      <c r="P92" s="118"/>
    </row>
    <row r="93" spans="2:18" outlineLevel="1" x14ac:dyDescent="0.2">
      <c r="B93" s="118"/>
      <c r="C93" s="132"/>
      <c r="D93" s="118"/>
      <c r="E93" s="118"/>
      <c r="F93" s="118"/>
      <c r="G93" s="118"/>
      <c r="H93" s="95" t="s">
        <v>6</v>
      </c>
      <c r="I93" s="94">
        <f t="shared" si="10"/>
        <v>36.1</v>
      </c>
      <c r="J93" s="94">
        <v>36.1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118"/>
    </row>
    <row r="94" spans="2:18" outlineLevel="1" x14ac:dyDescent="0.2">
      <c r="B94" s="119"/>
      <c r="C94" s="133"/>
      <c r="D94" s="119"/>
      <c r="E94" s="119"/>
      <c r="F94" s="119"/>
      <c r="G94" s="119"/>
      <c r="H94" s="95" t="s">
        <v>5</v>
      </c>
      <c r="I94" s="94">
        <f t="shared" si="10"/>
        <v>0</v>
      </c>
      <c r="J94" s="94"/>
      <c r="K94" s="94"/>
      <c r="L94" s="94"/>
      <c r="M94" s="94"/>
      <c r="N94" s="94"/>
      <c r="O94" s="94"/>
      <c r="P94" s="119"/>
    </row>
    <row r="95" spans="2:18" ht="42.75" x14ac:dyDescent="0.2">
      <c r="B95" s="128" t="s">
        <v>110</v>
      </c>
      <c r="C95" s="128" t="s">
        <v>38</v>
      </c>
      <c r="D95" s="128" t="s">
        <v>38</v>
      </c>
      <c r="E95" s="128" t="s">
        <v>38</v>
      </c>
      <c r="F95" s="128" t="s">
        <v>38</v>
      </c>
      <c r="G95" s="128" t="s">
        <v>38</v>
      </c>
      <c r="H95" s="95" t="s">
        <v>3</v>
      </c>
      <c r="I95" s="14">
        <f>SUMIF($H$35:$H$94,"Объем*",I$35:I$94)</f>
        <v>403.73399999999998</v>
      </c>
      <c r="J95" s="14">
        <f t="shared" ref="J95:O95" si="29">SUMIF($H$35:$H$94,"Объем*",J$35:J$94)</f>
        <v>36.734000000000002</v>
      </c>
      <c r="K95" s="14">
        <f t="shared" si="29"/>
        <v>106.8</v>
      </c>
      <c r="L95" s="14">
        <f t="shared" si="29"/>
        <v>61.300000000000004</v>
      </c>
      <c r="M95" s="14">
        <f t="shared" si="29"/>
        <v>153.5</v>
      </c>
      <c r="N95" s="14">
        <f t="shared" si="29"/>
        <v>45.4</v>
      </c>
      <c r="O95" s="14">
        <f t="shared" si="29"/>
        <v>0</v>
      </c>
      <c r="P95" s="128"/>
      <c r="Q95" s="7"/>
      <c r="R95" s="7"/>
    </row>
    <row r="96" spans="2:18" ht="15.75" x14ac:dyDescent="0.2">
      <c r="B96" s="129"/>
      <c r="C96" s="129"/>
      <c r="D96" s="129"/>
      <c r="E96" s="129"/>
      <c r="F96" s="129"/>
      <c r="G96" s="129"/>
      <c r="H96" s="95" t="s">
        <v>4</v>
      </c>
      <c r="I96" s="14">
        <f>SUMIF($H$35:$H$94,"фед*",I$35:I$94)</f>
        <v>249</v>
      </c>
      <c r="J96" s="14">
        <f t="shared" ref="J96:O96" si="30">SUMIF($H$35:$H$94,"фед*",J$35:J$94)</f>
        <v>0.6</v>
      </c>
      <c r="K96" s="14">
        <f t="shared" si="30"/>
        <v>27.7</v>
      </c>
      <c r="L96" s="14">
        <f t="shared" si="30"/>
        <v>23.7</v>
      </c>
      <c r="M96" s="14">
        <f t="shared" si="30"/>
        <v>152</v>
      </c>
      <c r="N96" s="14">
        <f t="shared" si="30"/>
        <v>45</v>
      </c>
      <c r="O96" s="14">
        <f t="shared" si="30"/>
        <v>0</v>
      </c>
      <c r="P96" s="129"/>
      <c r="Q96" s="7"/>
    </row>
    <row r="97" spans="2:17" ht="15.75" x14ac:dyDescent="0.2">
      <c r="B97" s="129"/>
      <c r="C97" s="129"/>
      <c r="D97" s="129"/>
      <c r="E97" s="129"/>
      <c r="F97" s="129"/>
      <c r="G97" s="129"/>
      <c r="H97" s="95" t="s">
        <v>6</v>
      </c>
      <c r="I97" s="14">
        <f>SUMIF($H$35:$H$94,"конс*",I$35:I$94)</f>
        <v>154.73400000000001</v>
      </c>
      <c r="J97" s="14">
        <f t="shared" ref="J97:O97" si="31">SUMIF($H$35:$H$94,"конс*",J$35:J$94)</f>
        <v>36.134</v>
      </c>
      <c r="K97" s="14">
        <f t="shared" si="31"/>
        <v>79.099999999999994</v>
      </c>
      <c r="L97" s="14">
        <f t="shared" si="31"/>
        <v>37.6</v>
      </c>
      <c r="M97" s="14">
        <f t="shared" si="31"/>
        <v>1.5</v>
      </c>
      <c r="N97" s="14">
        <f t="shared" si="31"/>
        <v>0.4</v>
      </c>
      <c r="O97" s="14">
        <f t="shared" si="31"/>
        <v>0</v>
      </c>
      <c r="P97" s="129"/>
      <c r="Q97" s="7"/>
    </row>
    <row r="98" spans="2:17" ht="15.75" x14ac:dyDescent="0.2">
      <c r="B98" s="130"/>
      <c r="C98" s="130"/>
      <c r="D98" s="130"/>
      <c r="E98" s="130"/>
      <c r="F98" s="130"/>
      <c r="G98" s="130"/>
      <c r="H98" s="95" t="s">
        <v>5</v>
      </c>
      <c r="I98" s="14">
        <f>SUMIF($H$35:$H$94,"вне*",I$35:I$94)</f>
        <v>0</v>
      </c>
      <c r="J98" s="14">
        <f t="shared" ref="J98:O98" si="32">SUMIF($H$35:$H$94,"вне*",J$35:J$94)</f>
        <v>0</v>
      </c>
      <c r="K98" s="14">
        <f t="shared" si="32"/>
        <v>0</v>
      </c>
      <c r="L98" s="14">
        <f t="shared" si="32"/>
        <v>0</v>
      </c>
      <c r="M98" s="14">
        <f t="shared" si="32"/>
        <v>0</v>
      </c>
      <c r="N98" s="14">
        <f t="shared" si="32"/>
        <v>0</v>
      </c>
      <c r="O98" s="14">
        <f t="shared" si="32"/>
        <v>0</v>
      </c>
      <c r="P98" s="130"/>
      <c r="Q98" s="7"/>
    </row>
    <row r="99" spans="2:17" ht="25.5" customHeight="1" x14ac:dyDescent="0.2">
      <c r="B99" s="111" t="s">
        <v>32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3"/>
    </row>
    <row r="100" spans="2:17" ht="42.75" customHeight="1" outlineLevel="1" x14ac:dyDescent="0.2">
      <c r="B100" s="117" t="s">
        <v>660</v>
      </c>
      <c r="C100" s="117" t="s">
        <v>628</v>
      </c>
      <c r="D100" s="117" t="s">
        <v>32</v>
      </c>
      <c r="E100" s="117">
        <v>2021</v>
      </c>
      <c r="F100" s="117"/>
      <c r="G100" s="117" t="s">
        <v>138</v>
      </c>
      <c r="H100" s="95" t="s">
        <v>3</v>
      </c>
      <c r="I100" s="94">
        <f>SUM(J100:O100)</f>
        <v>77.3</v>
      </c>
      <c r="J100" s="96">
        <f t="shared" ref="J100:O100" si="33">J101+J102+J103</f>
        <v>0</v>
      </c>
      <c r="K100" s="96">
        <f t="shared" si="33"/>
        <v>77.3</v>
      </c>
      <c r="L100" s="96">
        <v>0</v>
      </c>
      <c r="M100" s="96">
        <f t="shared" si="33"/>
        <v>0</v>
      </c>
      <c r="N100" s="96">
        <f t="shared" si="33"/>
        <v>0</v>
      </c>
      <c r="O100" s="96">
        <f t="shared" si="33"/>
        <v>0</v>
      </c>
      <c r="P100" s="117">
        <v>2580</v>
      </c>
    </row>
    <row r="101" spans="2:17" outlineLevel="1" x14ac:dyDescent="0.2">
      <c r="B101" s="118"/>
      <c r="C101" s="118"/>
      <c r="D101" s="118"/>
      <c r="E101" s="118"/>
      <c r="F101" s="118"/>
      <c r="G101" s="118"/>
      <c r="H101" s="95" t="s">
        <v>4</v>
      </c>
      <c r="I101" s="94">
        <f>SUM(J101:O101)</f>
        <v>76.599999999999994</v>
      </c>
      <c r="J101" s="96"/>
      <c r="K101" s="49">
        <v>76.599999999999994</v>
      </c>
      <c r="L101" s="96"/>
      <c r="M101" s="96"/>
      <c r="N101" s="96"/>
      <c r="O101" s="96"/>
      <c r="P101" s="118"/>
    </row>
    <row r="102" spans="2:17" outlineLevel="1" x14ac:dyDescent="0.2">
      <c r="B102" s="118"/>
      <c r="C102" s="118"/>
      <c r="D102" s="118"/>
      <c r="E102" s="118"/>
      <c r="F102" s="118"/>
      <c r="G102" s="118"/>
      <c r="H102" s="95" t="s">
        <v>6</v>
      </c>
      <c r="I102" s="94">
        <f>SUM(J102:O102)</f>
        <v>0.7</v>
      </c>
      <c r="J102" s="96"/>
      <c r="K102" s="49">
        <v>0.7</v>
      </c>
      <c r="L102" s="96"/>
      <c r="M102" s="96"/>
      <c r="N102" s="96"/>
      <c r="O102" s="96"/>
      <c r="P102" s="118"/>
    </row>
    <row r="103" spans="2:17" outlineLevel="1" x14ac:dyDescent="0.2">
      <c r="B103" s="119"/>
      <c r="C103" s="119"/>
      <c r="D103" s="119"/>
      <c r="E103" s="119"/>
      <c r="F103" s="119"/>
      <c r="G103" s="119"/>
      <c r="H103" s="95" t="s">
        <v>5</v>
      </c>
      <c r="I103" s="94"/>
      <c r="J103" s="96"/>
      <c r="K103" s="96"/>
      <c r="L103" s="96"/>
      <c r="M103" s="96"/>
      <c r="N103" s="96"/>
      <c r="O103" s="96"/>
      <c r="P103" s="119"/>
    </row>
    <row r="104" spans="2:17" ht="42.75" customHeight="1" outlineLevel="1" x14ac:dyDescent="0.2">
      <c r="B104" s="117" t="s">
        <v>661</v>
      </c>
      <c r="C104" s="117" t="s">
        <v>628</v>
      </c>
      <c r="D104" s="117" t="s">
        <v>32</v>
      </c>
      <c r="E104" s="117">
        <v>2022</v>
      </c>
      <c r="F104" s="117" t="s">
        <v>629</v>
      </c>
      <c r="G104" s="117" t="s">
        <v>138</v>
      </c>
      <c r="H104" s="95" t="s">
        <v>3</v>
      </c>
      <c r="I104" s="94">
        <f>SUM(J104:O104)</f>
        <v>38.4</v>
      </c>
      <c r="J104" s="96">
        <f t="shared" ref="J104:O104" si="34">J105+J106+J107</f>
        <v>0</v>
      </c>
      <c r="K104" s="96">
        <f t="shared" si="34"/>
        <v>0</v>
      </c>
      <c r="L104" s="96">
        <f t="shared" si="34"/>
        <v>38.4</v>
      </c>
      <c r="M104" s="96">
        <f t="shared" si="34"/>
        <v>0</v>
      </c>
      <c r="N104" s="96">
        <f t="shared" si="34"/>
        <v>0</v>
      </c>
      <c r="O104" s="96">
        <f t="shared" si="34"/>
        <v>0</v>
      </c>
      <c r="P104" s="117">
        <v>5085</v>
      </c>
    </row>
    <row r="105" spans="2:17" outlineLevel="1" x14ac:dyDescent="0.2">
      <c r="B105" s="118"/>
      <c r="C105" s="118"/>
      <c r="D105" s="118"/>
      <c r="E105" s="118"/>
      <c r="F105" s="118"/>
      <c r="G105" s="118"/>
      <c r="H105" s="95" t="s">
        <v>4</v>
      </c>
      <c r="I105" s="94">
        <f>SUM(J105:O105)</f>
        <v>38</v>
      </c>
      <c r="J105" s="96">
        <v>0</v>
      </c>
      <c r="K105" s="96">
        <v>0</v>
      </c>
      <c r="L105" s="96">
        <v>38</v>
      </c>
      <c r="M105" s="96">
        <v>0</v>
      </c>
      <c r="N105" s="96">
        <v>0</v>
      </c>
      <c r="O105" s="96">
        <v>0</v>
      </c>
      <c r="P105" s="118"/>
    </row>
    <row r="106" spans="2:17" outlineLevel="1" x14ac:dyDescent="0.2">
      <c r="B106" s="118"/>
      <c r="C106" s="118"/>
      <c r="D106" s="118"/>
      <c r="E106" s="118"/>
      <c r="F106" s="118"/>
      <c r="G106" s="118"/>
      <c r="H106" s="95" t="s">
        <v>6</v>
      </c>
      <c r="I106" s="94">
        <f>SUM(J106:O106)</f>
        <v>0.4</v>
      </c>
      <c r="J106" s="96">
        <v>0</v>
      </c>
      <c r="K106" s="96">
        <v>0</v>
      </c>
      <c r="L106" s="96">
        <v>0.4</v>
      </c>
      <c r="M106" s="96">
        <v>0</v>
      </c>
      <c r="N106" s="96">
        <v>0</v>
      </c>
      <c r="O106" s="96">
        <v>0</v>
      </c>
      <c r="P106" s="118"/>
    </row>
    <row r="107" spans="2:17" outlineLevel="1" x14ac:dyDescent="0.2">
      <c r="B107" s="119"/>
      <c r="C107" s="119"/>
      <c r="D107" s="119"/>
      <c r="E107" s="119"/>
      <c r="F107" s="119"/>
      <c r="G107" s="119"/>
      <c r="H107" s="95" t="s">
        <v>5</v>
      </c>
      <c r="I107" s="94"/>
      <c r="J107" s="96"/>
      <c r="K107" s="96"/>
      <c r="L107" s="96"/>
      <c r="M107" s="96"/>
      <c r="N107" s="96"/>
      <c r="O107" s="96"/>
      <c r="P107" s="119"/>
    </row>
    <row r="108" spans="2:17" ht="42.75" customHeight="1" outlineLevel="1" x14ac:dyDescent="0.2">
      <c r="B108" s="117" t="s">
        <v>662</v>
      </c>
      <c r="C108" s="117" t="s">
        <v>628</v>
      </c>
      <c r="D108" s="117" t="s">
        <v>32</v>
      </c>
      <c r="E108" s="117">
        <v>2022</v>
      </c>
      <c r="F108" s="117" t="s">
        <v>629</v>
      </c>
      <c r="G108" s="117" t="s">
        <v>138</v>
      </c>
      <c r="H108" s="95" t="s">
        <v>3</v>
      </c>
      <c r="I108" s="94">
        <f>SUM(J108:O108)</f>
        <v>38.4</v>
      </c>
      <c r="J108" s="96">
        <f t="shared" ref="J108:O108" si="35">J109+J110+J111</f>
        <v>0</v>
      </c>
      <c r="K108" s="96">
        <f t="shared" si="35"/>
        <v>0</v>
      </c>
      <c r="L108" s="96">
        <f t="shared" si="35"/>
        <v>38.4</v>
      </c>
      <c r="M108" s="96">
        <f t="shared" si="35"/>
        <v>0</v>
      </c>
      <c r="N108" s="96">
        <f t="shared" si="35"/>
        <v>0</v>
      </c>
      <c r="O108" s="96">
        <f t="shared" si="35"/>
        <v>0</v>
      </c>
      <c r="P108" s="117">
        <v>1887</v>
      </c>
    </row>
    <row r="109" spans="2:17" outlineLevel="1" x14ac:dyDescent="0.2">
      <c r="B109" s="118"/>
      <c r="C109" s="118"/>
      <c r="D109" s="118"/>
      <c r="E109" s="118"/>
      <c r="F109" s="118"/>
      <c r="G109" s="118"/>
      <c r="H109" s="95" t="s">
        <v>4</v>
      </c>
      <c r="I109" s="94">
        <f>SUM(J109:O109)</f>
        <v>38</v>
      </c>
      <c r="J109" s="96">
        <v>0</v>
      </c>
      <c r="K109" s="96">
        <v>0</v>
      </c>
      <c r="L109" s="96">
        <v>38</v>
      </c>
      <c r="M109" s="96">
        <v>0</v>
      </c>
      <c r="N109" s="96">
        <v>0</v>
      </c>
      <c r="O109" s="96">
        <v>0</v>
      </c>
      <c r="P109" s="118"/>
    </row>
    <row r="110" spans="2:17" outlineLevel="1" x14ac:dyDescent="0.2">
      <c r="B110" s="118"/>
      <c r="C110" s="118"/>
      <c r="D110" s="118"/>
      <c r="E110" s="118"/>
      <c r="F110" s="118"/>
      <c r="G110" s="118"/>
      <c r="H110" s="95" t="s">
        <v>6</v>
      </c>
      <c r="I110" s="94">
        <f>SUM(J110:O110)</f>
        <v>0.4</v>
      </c>
      <c r="J110" s="96">
        <v>0</v>
      </c>
      <c r="K110" s="96">
        <v>0</v>
      </c>
      <c r="L110" s="96">
        <v>0.4</v>
      </c>
      <c r="M110" s="96">
        <v>0</v>
      </c>
      <c r="N110" s="96">
        <v>0</v>
      </c>
      <c r="O110" s="96">
        <v>0</v>
      </c>
      <c r="P110" s="118"/>
    </row>
    <row r="111" spans="2:17" outlineLevel="1" x14ac:dyDescent="0.2">
      <c r="B111" s="119"/>
      <c r="C111" s="119"/>
      <c r="D111" s="119"/>
      <c r="E111" s="119"/>
      <c r="F111" s="119"/>
      <c r="G111" s="119"/>
      <c r="H111" s="95" t="s">
        <v>5</v>
      </c>
      <c r="I111" s="94"/>
      <c r="J111" s="96"/>
      <c r="K111" s="96"/>
      <c r="L111" s="96"/>
      <c r="M111" s="96"/>
      <c r="N111" s="96"/>
      <c r="O111" s="96"/>
      <c r="P111" s="119"/>
    </row>
    <row r="112" spans="2:17" ht="42.75" customHeight="1" outlineLevel="1" x14ac:dyDescent="0.2">
      <c r="B112" s="117" t="s">
        <v>663</v>
      </c>
      <c r="C112" s="117" t="s">
        <v>628</v>
      </c>
      <c r="D112" s="117" t="s">
        <v>32</v>
      </c>
      <c r="E112" s="117">
        <v>2022</v>
      </c>
      <c r="F112" s="117" t="s">
        <v>629</v>
      </c>
      <c r="G112" s="117" t="s">
        <v>138</v>
      </c>
      <c r="H112" s="95" t="s">
        <v>3</v>
      </c>
      <c r="I112" s="94">
        <f>SUM(J112:O112)</f>
        <v>59.4</v>
      </c>
      <c r="J112" s="96">
        <f t="shared" ref="J112:O112" si="36">J113+J114+J115</f>
        <v>0</v>
      </c>
      <c r="K112" s="96">
        <f t="shared" si="36"/>
        <v>0</v>
      </c>
      <c r="L112" s="96">
        <f t="shared" si="36"/>
        <v>59.4</v>
      </c>
      <c r="M112" s="96">
        <f t="shared" si="36"/>
        <v>0</v>
      </c>
      <c r="N112" s="96">
        <f t="shared" si="36"/>
        <v>0</v>
      </c>
      <c r="O112" s="96">
        <f t="shared" si="36"/>
        <v>0</v>
      </c>
      <c r="P112" s="117">
        <v>1981</v>
      </c>
    </row>
    <row r="113" spans="2:16" outlineLevel="1" x14ac:dyDescent="0.2">
      <c r="B113" s="118"/>
      <c r="C113" s="118"/>
      <c r="D113" s="118"/>
      <c r="E113" s="118"/>
      <c r="F113" s="118"/>
      <c r="G113" s="118"/>
      <c r="H113" s="95" t="s">
        <v>4</v>
      </c>
      <c r="I113" s="94">
        <f>SUM(J113:O113)</f>
        <v>58.8</v>
      </c>
      <c r="J113" s="96">
        <v>0</v>
      </c>
      <c r="K113" s="96">
        <v>0</v>
      </c>
      <c r="L113" s="96">
        <v>58.8</v>
      </c>
      <c r="M113" s="96">
        <v>0</v>
      </c>
      <c r="N113" s="96">
        <v>0</v>
      </c>
      <c r="O113" s="96">
        <v>0</v>
      </c>
      <c r="P113" s="118"/>
    </row>
    <row r="114" spans="2:16" outlineLevel="1" x14ac:dyDescent="0.2">
      <c r="B114" s="118"/>
      <c r="C114" s="118"/>
      <c r="D114" s="118"/>
      <c r="E114" s="118"/>
      <c r="F114" s="118"/>
      <c r="G114" s="118"/>
      <c r="H114" s="95" t="s">
        <v>6</v>
      </c>
      <c r="I114" s="94">
        <f>SUM(J114:O114)</f>
        <v>0.6</v>
      </c>
      <c r="J114" s="96">
        <v>0</v>
      </c>
      <c r="K114" s="96">
        <v>0</v>
      </c>
      <c r="L114" s="96">
        <v>0.6</v>
      </c>
      <c r="M114" s="96">
        <v>0</v>
      </c>
      <c r="N114" s="96">
        <v>0</v>
      </c>
      <c r="O114" s="96">
        <v>0</v>
      </c>
      <c r="P114" s="118"/>
    </row>
    <row r="115" spans="2:16" outlineLevel="1" x14ac:dyDescent="0.2">
      <c r="B115" s="119"/>
      <c r="C115" s="119"/>
      <c r="D115" s="119"/>
      <c r="E115" s="119"/>
      <c r="F115" s="119"/>
      <c r="G115" s="119"/>
      <c r="H115" s="95" t="s">
        <v>5</v>
      </c>
      <c r="I115" s="94"/>
      <c r="J115" s="96"/>
      <c r="K115" s="96"/>
      <c r="L115" s="96"/>
      <c r="M115" s="96"/>
      <c r="N115" s="96"/>
      <c r="O115" s="96"/>
      <c r="P115" s="119"/>
    </row>
    <row r="116" spans="2:16" ht="42.75" customHeight="1" outlineLevel="1" x14ac:dyDescent="0.2">
      <c r="B116" s="117" t="s">
        <v>664</v>
      </c>
      <c r="C116" s="117" t="s">
        <v>628</v>
      </c>
      <c r="D116" s="117" t="s">
        <v>32</v>
      </c>
      <c r="E116" s="117">
        <v>2022</v>
      </c>
      <c r="F116" s="117" t="s">
        <v>629</v>
      </c>
      <c r="G116" s="117" t="s">
        <v>138</v>
      </c>
      <c r="H116" s="95" t="s">
        <v>3</v>
      </c>
      <c r="I116" s="94">
        <f>SUM(J116:O116)</f>
        <v>34.5</v>
      </c>
      <c r="J116" s="96">
        <f t="shared" ref="J116:O116" si="37">J117+J118+J119</f>
        <v>0</v>
      </c>
      <c r="K116" s="96">
        <f t="shared" si="37"/>
        <v>0</v>
      </c>
      <c r="L116" s="96">
        <f t="shared" si="37"/>
        <v>34.5</v>
      </c>
      <c r="M116" s="96">
        <f t="shared" si="37"/>
        <v>0</v>
      </c>
      <c r="N116" s="96">
        <f t="shared" si="37"/>
        <v>0</v>
      </c>
      <c r="O116" s="96">
        <f t="shared" si="37"/>
        <v>0</v>
      </c>
      <c r="P116" s="117">
        <v>1115</v>
      </c>
    </row>
    <row r="117" spans="2:16" outlineLevel="1" x14ac:dyDescent="0.2">
      <c r="B117" s="118"/>
      <c r="C117" s="118"/>
      <c r="D117" s="118"/>
      <c r="E117" s="118"/>
      <c r="F117" s="118"/>
      <c r="G117" s="118"/>
      <c r="H117" s="95" t="s">
        <v>4</v>
      </c>
      <c r="I117" s="94">
        <f>SUM(J117:O117)</f>
        <v>34.200000000000003</v>
      </c>
      <c r="J117" s="96">
        <v>0</v>
      </c>
      <c r="K117" s="96">
        <v>0</v>
      </c>
      <c r="L117" s="96">
        <v>34.200000000000003</v>
      </c>
      <c r="M117" s="96">
        <v>0</v>
      </c>
      <c r="N117" s="96">
        <v>0</v>
      </c>
      <c r="O117" s="96">
        <v>0</v>
      </c>
      <c r="P117" s="118"/>
    </row>
    <row r="118" spans="2:16" outlineLevel="1" x14ac:dyDescent="0.2">
      <c r="B118" s="118"/>
      <c r="C118" s="118"/>
      <c r="D118" s="118"/>
      <c r="E118" s="118"/>
      <c r="F118" s="118"/>
      <c r="G118" s="118"/>
      <c r="H118" s="95" t="s">
        <v>6</v>
      </c>
      <c r="I118" s="94">
        <f>SUM(J118:O118)</f>
        <v>0.3</v>
      </c>
      <c r="J118" s="96">
        <v>0</v>
      </c>
      <c r="K118" s="96">
        <v>0</v>
      </c>
      <c r="L118" s="96">
        <v>0.3</v>
      </c>
      <c r="M118" s="96">
        <v>0</v>
      </c>
      <c r="N118" s="96">
        <v>0</v>
      </c>
      <c r="O118" s="96">
        <v>0</v>
      </c>
      <c r="P118" s="118"/>
    </row>
    <row r="119" spans="2:16" outlineLevel="1" x14ac:dyDescent="0.2">
      <c r="B119" s="119"/>
      <c r="C119" s="119"/>
      <c r="D119" s="119"/>
      <c r="E119" s="119"/>
      <c r="F119" s="119"/>
      <c r="G119" s="119"/>
      <c r="H119" s="95" t="s">
        <v>5</v>
      </c>
      <c r="I119" s="94"/>
      <c r="J119" s="96"/>
      <c r="K119" s="96"/>
      <c r="L119" s="96"/>
      <c r="M119" s="96"/>
      <c r="N119" s="96"/>
      <c r="O119" s="96"/>
      <c r="P119" s="119"/>
    </row>
    <row r="120" spans="2:16" ht="42.75" customHeight="1" outlineLevel="1" x14ac:dyDescent="0.2">
      <c r="B120" s="117" t="s">
        <v>665</v>
      </c>
      <c r="C120" s="117" t="s">
        <v>628</v>
      </c>
      <c r="D120" s="117" t="s">
        <v>32</v>
      </c>
      <c r="E120" s="117">
        <v>2023</v>
      </c>
      <c r="F120" s="117" t="s">
        <v>629</v>
      </c>
      <c r="G120" s="117" t="s">
        <v>138</v>
      </c>
      <c r="H120" s="95" t="s">
        <v>3</v>
      </c>
      <c r="I120" s="94">
        <f>SUM(J120:O120)</f>
        <v>44.5</v>
      </c>
      <c r="J120" s="96">
        <f t="shared" ref="J120:O120" si="38">J121+J122+J123</f>
        <v>0</v>
      </c>
      <c r="K120" s="96">
        <f t="shared" si="38"/>
        <v>0</v>
      </c>
      <c r="L120" s="96">
        <f t="shared" si="38"/>
        <v>0</v>
      </c>
      <c r="M120" s="96">
        <f t="shared" si="38"/>
        <v>44.5</v>
      </c>
      <c r="N120" s="96">
        <f t="shared" si="38"/>
        <v>0</v>
      </c>
      <c r="O120" s="96">
        <f t="shared" si="38"/>
        <v>0</v>
      </c>
      <c r="P120" s="117">
        <v>1437</v>
      </c>
    </row>
    <row r="121" spans="2:16" outlineLevel="1" x14ac:dyDescent="0.2">
      <c r="B121" s="118"/>
      <c r="C121" s="132"/>
      <c r="D121" s="118"/>
      <c r="E121" s="118"/>
      <c r="F121" s="118"/>
      <c r="G121" s="118"/>
      <c r="H121" s="95" t="s">
        <v>4</v>
      </c>
      <c r="I121" s="94">
        <f>SUM(J121:O121)</f>
        <v>44.1</v>
      </c>
      <c r="J121" s="96">
        <v>0</v>
      </c>
      <c r="K121" s="96">
        <v>0</v>
      </c>
      <c r="L121" s="96">
        <v>0</v>
      </c>
      <c r="M121" s="96">
        <v>44.1</v>
      </c>
      <c r="N121" s="96">
        <v>0</v>
      </c>
      <c r="O121" s="96">
        <v>0</v>
      </c>
      <c r="P121" s="118"/>
    </row>
    <row r="122" spans="2:16" outlineLevel="1" x14ac:dyDescent="0.2">
      <c r="B122" s="118"/>
      <c r="C122" s="132"/>
      <c r="D122" s="118"/>
      <c r="E122" s="118"/>
      <c r="F122" s="118"/>
      <c r="G122" s="118"/>
      <c r="H122" s="95" t="s">
        <v>6</v>
      </c>
      <c r="I122" s="94">
        <f>SUM(J122:O122)</f>
        <v>0.4</v>
      </c>
      <c r="J122" s="96">
        <v>0</v>
      </c>
      <c r="K122" s="96">
        <v>0</v>
      </c>
      <c r="L122" s="96">
        <v>0</v>
      </c>
      <c r="M122" s="96">
        <v>0.4</v>
      </c>
      <c r="N122" s="96">
        <v>0</v>
      </c>
      <c r="O122" s="96">
        <v>0</v>
      </c>
      <c r="P122" s="118"/>
    </row>
    <row r="123" spans="2:16" outlineLevel="1" x14ac:dyDescent="0.2">
      <c r="B123" s="119"/>
      <c r="C123" s="133"/>
      <c r="D123" s="119"/>
      <c r="E123" s="119"/>
      <c r="F123" s="119"/>
      <c r="G123" s="119"/>
      <c r="H123" s="95" t="s">
        <v>5</v>
      </c>
      <c r="I123" s="94"/>
      <c r="J123" s="96"/>
      <c r="K123" s="96"/>
      <c r="L123" s="96"/>
      <c r="M123" s="96"/>
      <c r="N123" s="96"/>
      <c r="O123" s="96"/>
      <c r="P123" s="119"/>
    </row>
    <row r="124" spans="2:16" ht="42.75" customHeight="1" outlineLevel="1" x14ac:dyDescent="0.2">
      <c r="B124" s="117" t="s">
        <v>666</v>
      </c>
      <c r="C124" s="117" t="s">
        <v>628</v>
      </c>
      <c r="D124" s="117" t="s">
        <v>32</v>
      </c>
      <c r="E124" s="117">
        <v>2024</v>
      </c>
      <c r="F124" s="117" t="s">
        <v>629</v>
      </c>
      <c r="G124" s="117" t="s">
        <v>138</v>
      </c>
      <c r="H124" s="95" t="s">
        <v>3</v>
      </c>
      <c r="I124" s="94">
        <f>SUM(J124:O124)</f>
        <v>25.9</v>
      </c>
      <c r="J124" s="96">
        <f t="shared" ref="J124:O124" si="39">J125+J126+J127</f>
        <v>0</v>
      </c>
      <c r="K124" s="96">
        <f t="shared" si="39"/>
        <v>0</v>
      </c>
      <c r="L124" s="96">
        <f t="shared" si="39"/>
        <v>0</v>
      </c>
      <c r="M124" s="96">
        <f t="shared" si="39"/>
        <v>25.9</v>
      </c>
      <c r="N124" s="96">
        <f t="shared" si="39"/>
        <v>0</v>
      </c>
      <c r="O124" s="96">
        <f t="shared" si="39"/>
        <v>0</v>
      </c>
      <c r="P124" s="117">
        <v>1631</v>
      </c>
    </row>
    <row r="125" spans="2:16" outlineLevel="1" x14ac:dyDescent="0.2">
      <c r="B125" s="118"/>
      <c r="C125" s="132"/>
      <c r="D125" s="118"/>
      <c r="E125" s="118"/>
      <c r="F125" s="118"/>
      <c r="G125" s="118"/>
      <c r="H125" s="95" t="s">
        <v>4</v>
      </c>
      <c r="I125" s="94">
        <f>SUM(J125:O125)</f>
        <v>25.7</v>
      </c>
      <c r="J125" s="96">
        <v>0</v>
      </c>
      <c r="K125" s="96">
        <v>0</v>
      </c>
      <c r="L125" s="96">
        <v>0</v>
      </c>
      <c r="M125" s="96">
        <v>25.7</v>
      </c>
      <c r="N125" s="96">
        <v>0</v>
      </c>
      <c r="O125" s="96">
        <v>0</v>
      </c>
      <c r="P125" s="118"/>
    </row>
    <row r="126" spans="2:16" outlineLevel="1" x14ac:dyDescent="0.2">
      <c r="B126" s="118"/>
      <c r="C126" s="132"/>
      <c r="D126" s="118"/>
      <c r="E126" s="118"/>
      <c r="F126" s="118"/>
      <c r="G126" s="118"/>
      <c r="H126" s="95" t="s">
        <v>6</v>
      </c>
      <c r="I126" s="94">
        <f>SUM(J126:O126)</f>
        <v>0.2</v>
      </c>
      <c r="J126" s="96">
        <v>0</v>
      </c>
      <c r="K126" s="96">
        <v>0</v>
      </c>
      <c r="L126" s="96">
        <v>0</v>
      </c>
      <c r="M126" s="96">
        <v>0.2</v>
      </c>
      <c r="N126" s="96">
        <v>0</v>
      </c>
      <c r="O126" s="96">
        <v>0</v>
      </c>
      <c r="P126" s="118"/>
    </row>
    <row r="127" spans="2:16" outlineLevel="1" x14ac:dyDescent="0.2">
      <c r="B127" s="119"/>
      <c r="C127" s="133"/>
      <c r="D127" s="119"/>
      <c r="E127" s="119"/>
      <c r="F127" s="119"/>
      <c r="G127" s="119"/>
      <c r="H127" s="95" t="s">
        <v>5</v>
      </c>
      <c r="I127" s="94"/>
      <c r="J127" s="96"/>
      <c r="K127" s="96"/>
      <c r="L127" s="96"/>
      <c r="M127" s="96"/>
      <c r="N127" s="96"/>
      <c r="O127" s="96"/>
      <c r="P127" s="119"/>
    </row>
    <row r="128" spans="2:16" ht="42.75" customHeight="1" outlineLevel="1" x14ac:dyDescent="0.2">
      <c r="B128" s="117" t="s">
        <v>667</v>
      </c>
      <c r="C128" s="117"/>
      <c r="D128" s="117" t="s">
        <v>32</v>
      </c>
      <c r="E128" s="117">
        <v>2021</v>
      </c>
      <c r="F128" s="117" t="s">
        <v>668</v>
      </c>
      <c r="G128" s="117" t="s">
        <v>101</v>
      </c>
      <c r="H128" s="95" t="s">
        <v>3</v>
      </c>
      <c r="I128" s="94">
        <f>SUM(J128:O128)</f>
        <v>81.599999999999994</v>
      </c>
      <c r="J128" s="96"/>
      <c r="K128" s="96">
        <f t="shared" ref="K128:O128" si="40">K129+K130+K131</f>
        <v>81.599999999999994</v>
      </c>
      <c r="L128" s="96">
        <f t="shared" si="40"/>
        <v>0</v>
      </c>
      <c r="M128" s="96">
        <v>0</v>
      </c>
      <c r="N128" s="96">
        <f t="shared" si="40"/>
        <v>0</v>
      </c>
      <c r="O128" s="96">
        <f t="shared" si="40"/>
        <v>0</v>
      </c>
      <c r="P128" s="117">
        <v>3362</v>
      </c>
    </row>
    <row r="129" spans="2:16" outlineLevel="1" x14ac:dyDescent="0.2">
      <c r="B129" s="118"/>
      <c r="C129" s="132"/>
      <c r="D129" s="118"/>
      <c r="E129" s="118"/>
      <c r="F129" s="118"/>
      <c r="G129" s="118"/>
      <c r="H129" s="95" t="s">
        <v>4</v>
      </c>
      <c r="I129" s="94">
        <f>SUM(J129:O129)</f>
        <v>0</v>
      </c>
      <c r="J129" s="96"/>
      <c r="K129" s="96"/>
      <c r="L129" s="96"/>
      <c r="M129" s="96"/>
      <c r="N129" s="96"/>
      <c r="O129" s="96"/>
      <c r="P129" s="118"/>
    </row>
    <row r="130" spans="2:16" outlineLevel="1" x14ac:dyDescent="0.2">
      <c r="B130" s="118"/>
      <c r="C130" s="132"/>
      <c r="D130" s="118"/>
      <c r="E130" s="118"/>
      <c r="F130" s="118"/>
      <c r="G130" s="118"/>
      <c r="H130" s="95" t="s">
        <v>6</v>
      </c>
      <c r="I130" s="94">
        <f>SUM(J130:O130)</f>
        <v>81.599999999999994</v>
      </c>
      <c r="J130" s="96"/>
      <c r="K130" s="96">
        <v>81.599999999999994</v>
      </c>
      <c r="L130" s="96">
        <v>0</v>
      </c>
      <c r="M130" s="96">
        <v>0</v>
      </c>
      <c r="N130" s="96">
        <v>0</v>
      </c>
      <c r="O130" s="96">
        <v>0</v>
      </c>
      <c r="P130" s="118"/>
    </row>
    <row r="131" spans="2:16" outlineLevel="1" x14ac:dyDescent="0.2">
      <c r="B131" s="119"/>
      <c r="C131" s="133"/>
      <c r="D131" s="119"/>
      <c r="E131" s="119"/>
      <c r="F131" s="119"/>
      <c r="G131" s="119"/>
      <c r="H131" s="95" t="s">
        <v>5</v>
      </c>
      <c r="I131" s="94"/>
      <c r="J131" s="96"/>
      <c r="K131" s="96"/>
      <c r="L131" s="96"/>
      <c r="M131" s="96"/>
      <c r="N131" s="96"/>
      <c r="O131" s="96"/>
      <c r="P131" s="119"/>
    </row>
    <row r="132" spans="2:16" ht="42.75" customHeight="1" outlineLevel="1" x14ac:dyDescent="0.2">
      <c r="B132" s="117" t="s">
        <v>669</v>
      </c>
      <c r="C132" s="117"/>
      <c r="D132" s="117" t="s">
        <v>32</v>
      </c>
      <c r="E132" s="117">
        <v>2020</v>
      </c>
      <c r="F132" s="117" t="s">
        <v>670</v>
      </c>
      <c r="G132" s="117" t="s">
        <v>101</v>
      </c>
      <c r="H132" s="95" t="s">
        <v>3</v>
      </c>
      <c r="I132" s="94">
        <f>SUM(J132:O132)</f>
        <v>2.1</v>
      </c>
      <c r="J132" s="96">
        <v>2.1</v>
      </c>
      <c r="K132" s="96">
        <f t="shared" ref="K132:O132" si="41">K133+K134+K135</f>
        <v>0</v>
      </c>
      <c r="L132" s="96">
        <f t="shared" si="41"/>
        <v>0</v>
      </c>
      <c r="M132" s="96">
        <v>0</v>
      </c>
      <c r="N132" s="96">
        <f t="shared" si="41"/>
        <v>0</v>
      </c>
      <c r="O132" s="96">
        <f t="shared" si="41"/>
        <v>0</v>
      </c>
      <c r="P132" s="117">
        <v>3362</v>
      </c>
    </row>
    <row r="133" spans="2:16" outlineLevel="1" x14ac:dyDescent="0.2">
      <c r="B133" s="118"/>
      <c r="C133" s="132"/>
      <c r="D133" s="118"/>
      <c r="E133" s="118"/>
      <c r="F133" s="118"/>
      <c r="G133" s="118"/>
      <c r="H133" s="95" t="s">
        <v>4</v>
      </c>
      <c r="I133" s="94">
        <f>SUM(J133:O133)</f>
        <v>0</v>
      </c>
      <c r="J133" s="96"/>
      <c r="K133" s="96"/>
      <c r="L133" s="96"/>
      <c r="M133" s="96"/>
      <c r="N133" s="96"/>
      <c r="O133" s="96"/>
      <c r="P133" s="118"/>
    </row>
    <row r="134" spans="2:16" outlineLevel="1" x14ac:dyDescent="0.2">
      <c r="B134" s="118"/>
      <c r="C134" s="132"/>
      <c r="D134" s="118"/>
      <c r="E134" s="118"/>
      <c r="F134" s="118"/>
      <c r="G134" s="118"/>
      <c r="H134" s="95" t="s">
        <v>6</v>
      </c>
      <c r="I134" s="94">
        <f>SUM(J134:O134)</f>
        <v>2.1</v>
      </c>
      <c r="J134" s="96">
        <v>2.1</v>
      </c>
      <c r="K134" s="96">
        <v>0</v>
      </c>
      <c r="L134" s="96">
        <v>0</v>
      </c>
      <c r="M134" s="96">
        <v>0</v>
      </c>
      <c r="N134" s="96">
        <v>0</v>
      </c>
      <c r="O134" s="96">
        <v>0</v>
      </c>
      <c r="P134" s="118"/>
    </row>
    <row r="135" spans="2:16" outlineLevel="1" x14ac:dyDescent="0.2">
      <c r="B135" s="119"/>
      <c r="C135" s="133"/>
      <c r="D135" s="119"/>
      <c r="E135" s="119"/>
      <c r="F135" s="119"/>
      <c r="G135" s="119"/>
      <c r="H135" s="95" t="s">
        <v>5</v>
      </c>
      <c r="I135" s="94"/>
      <c r="J135" s="96"/>
      <c r="K135" s="96"/>
      <c r="L135" s="96"/>
      <c r="M135" s="96"/>
      <c r="N135" s="96"/>
      <c r="O135" s="96"/>
      <c r="P135" s="119"/>
    </row>
    <row r="136" spans="2:16" ht="42.75" customHeight="1" outlineLevel="1" x14ac:dyDescent="0.2">
      <c r="B136" s="117" t="s">
        <v>671</v>
      </c>
      <c r="C136" s="117"/>
      <c r="D136" s="117" t="s">
        <v>32</v>
      </c>
      <c r="E136" s="117">
        <v>2020</v>
      </c>
      <c r="F136" s="117" t="s">
        <v>672</v>
      </c>
      <c r="G136" s="117" t="s">
        <v>101</v>
      </c>
      <c r="H136" s="95" t="s">
        <v>3</v>
      </c>
      <c r="I136" s="94">
        <f>SUM(J136:O136)</f>
        <v>0.4</v>
      </c>
      <c r="J136" s="96">
        <v>0.4</v>
      </c>
      <c r="K136" s="96">
        <f t="shared" ref="K136:L136" si="42">K137+K138+K139</f>
        <v>0</v>
      </c>
      <c r="L136" s="96">
        <f t="shared" si="42"/>
        <v>0</v>
      </c>
      <c r="M136" s="96">
        <v>0</v>
      </c>
      <c r="N136" s="96">
        <f t="shared" ref="N136:O136" si="43">N137+N138+N139</f>
        <v>0</v>
      </c>
      <c r="O136" s="96">
        <f t="shared" si="43"/>
        <v>0</v>
      </c>
      <c r="P136" s="117">
        <v>165</v>
      </c>
    </row>
    <row r="137" spans="2:16" outlineLevel="1" x14ac:dyDescent="0.2">
      <c r="B137" s="118"/>
      <c r="C137" s="132"/>
      <c r="D137" s="118"/>
      <c r="E137" s="118"/>
      <c r="F137" s="118"/>
      <c r="G137" s="118"/>
      <c r="H137" s="95" t="s">
        <v>4</v>
      </c>
      <c r="I137" s="94">
        <f>SUM(J137:O137)</f>
        <v>0</v>
      </c>
      <c r="J137" s="96"/>
      <c r="K137" s="96"/>
      <c r="L137" s="96"/>
      <c r="M137" s="96"/>
      <c r="N137" s="96"/>
      <c r="O137" s="96"/>
      <c r="P137" s="118"/>
    </row>
    <row r="138" spans="2:16" outlineLevel="1" x14ac:dyDescent="0.2">
      <c r="B138" s="118"/>
      <c r="C138" s="132"/>
      <c r="D138" s="118"/>
      <c r="E138" s="118"/>
      <c r="F138" s="118"/>
      <c r="G138" s="118"/>
      <c r="H138" s="95" t="s">
        <v>6</v>
      </c>
      <c r="I138" s="94">
        <f>SUM(J138:O138)</f>
        <v>0.4</v>
      </c>
      <c r="J138" s="96">
        <v>0.4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  <c r="P138" s="118"/>
    </row>
    <row r="139" spans="2:16" outlineLevel="1" x14ac:dyDescent="0.2">
      <c r="B139" s="119"/>
      <c r="C139" s="133"/>
      <c r="D139" s="119"/>
      <c r="E139" s="119"/>
      <c r="F139" s="119"/>
      <c r="G139" s="119"/>
      <c r="H139" s="95" t="s">
        <v>5</v>
      </c>
      <c r="I139" s="94"/>
      <c r="J139" s="96"/>
      <c r="K139" s="96"/>
      <c r="L139" s="96"/>
      <c r="M139" s="96"/>
      <c r="N139" s="96"/>
      <c r="O139" s="96"/>
      <c r="P139" s="119"/>
    </row>
    <row r="140" spans="2:16" ht="42.75" customHeight="1" outlineLevel="1" x14ac:dyDescent="0.2">
      <c r="B140" s="117" t="s">
        <v>673</v>
      </c>
      <c r="C140" s="117" t="s">
        <v>119</v>
      </c>
      <c r="D140" s="117" t="s">
        <v>142</v>
      </c>
      <c r="E140" s="117">
        <v>2021</v>
      </c>
      <c r="F140" s="117" t="s">
        <v>674</v>
      </c>
      <c r="G140" s="117" t="s">
        <v>138</v>
      </c>
      <c r="H140" s="95" t="s">
        <v>3</v>
      </c>
      <c r="I140" s="94">
        <f>SUM(J140:O140)</f>
        <v>48.5</v>
      </c>
      <c r="J140" s="96">
        <f t="shared" ref="J140:O140" si="44">J141+J142+J143</f>
        <v>0</v>
      </c>
      <c r="K140" s="96">
        <v>48.5</v>
      </c>
      <c r="L140" s="96">
        <f t="shared" si="44"/>
        <v>0</v>
      </c>
      <c r="M140" s="96">
        <f t="shared" si="44"/>
        <v>0</v>
      </c>
      <c r="N140" s="96">
        <f t="shared" si="44"/>
        <v>0</v>
      </c>
      <c r="O140" s="96">
        <f t="shared" si="44"/>
        <v>0</v>
      </c>
      <c r="P140" s="117">
        <v>625</v>
      </c>
    </row>
    <row r="141" spans="2:16" outlineLevel="1" x14ac:dyDescent="0.2">
      <c r="B141" s="118"/>
      <c r="C141" s="132"/>
      <c r="D141" s="118"/>
      <c r="E141" s="118"/>
      <c r="F141" s="118"/>
      <c r="G141" s="118"/>
      <c r="H141" s="95" t="s">
        <v>4</v>
      </c>
      <c r="I141" s="94">
        <f>SUM(J141:O141)</f>
        <v>48</v>
      </c>
      <c r="J141" s="96">
        <v>0</v>
      </c>
      <c r="K141" s="96">
        <v>48</v>
      </c>
      <c r="L141" s="96">
        <v>0</v>
      </c>
      <c r="M141" s="96"/>
      <c r="N141" s="96">
        <v>0</v>
      </c>
      <c r="O141" s="96">
        <v>0</v>
      </c>
      <c r="P141" s="118"/>
    </row>
    <row r="142" spans="2:16" outlineLevel="1" x14ac:dyDescent="0.2">
      <c r="B142" s="118"/>
      <c r="C142" s="132"/>
      <c r="D142" s="118"/>
      <c r="E142" s="118"/>
      <c r="F142" s="118"/>
      <c r="G142" s="118"/>
      <c r="H142" s="95" t="s">
        <v>6</v>
      </c>
      <c r="I142" s="94">
        <f>SUM(J142:O142)</f>
        <v>0.5</v>
      </c>
      <c r="J142" s="96">
        <v>0</v>
      </c>
      <c r="K142" s="96">
        <v>0.5</v>
      </c>
      <c r="L142" s="96">
        <v>0</v>
      </c>
      <c r="M142" s="96"/>
      <c r="N142" s="96">
        <v>0</v>
      </c>
      <c r="O142" s="96">
        <v>0</v>
      </c>
      <c r="P142" s="118"/>
    </row>
    <row r="143" spans="2:16" outlineLevel="1" x14ac:dyDescent="0.2">
      <c r="B143" s="119"/>
      <c r="C143" s="133"/>
      <c r="D143" s="119"/>
      <c r="E143" s="119"/>
      <c r="F143" s="119"/>
      <c r="G143" s="119"/>
      <c r="H143" s="95" t="s">
        <v>5</v>
      </c>
      <c r="I143" s="94"/>
      <c r="J143" s="96"/>
      <c r="K143" s="96"/>
      <c r="L143" s="96"/>
      <c r="M143" s="96"/>
      <c r="N143" s="96"/>
      <c r="O143" s="96"/>
      <c r="P143" s="119"/>
    </row>
    <row r="144" spans="2:16" ht="42.75" customHeight="1" outlineLevel="1" x14ac:dyDescent="0.2">
      <c r="B144" s="117" t="s">
        <v>675</v>
      </c>
      <c r="C144" s="117" t="s">
        <v>119</v>
      </c>
      <c r="D144" s="117" t="s">
        <v>676</v>
      </c>
      <c r="E144" s="117">
        <v>2022</v>
      </c>
      <c r="F144" s="117" t="s">
        <v>677</v>
      </c>
      <c r="G144" s="117" t="s">
        <v>138</v>
      </c>
      <c r="H144" s="95" t="s">
        <v>3</v>
      </c>
      <c r="I144" s="94">
        <f>SUM(J144:O144)</f>
        <v>125</v>
      </c>
      <c r="J144" s="96"/>
      <c r="K144" s="96">
        <f t="shared" ref="K144:L144" si="45">K145+K146+K147</f>
        <v>0</v>
      </c>
      <c r="L144" s="96">
        <f t="shared" si="45"/>
        <v>125</v>
      </c>
      <c r="M144" s="96">
        <v>0</v>
      </c>
      <c r="N144" s="96">
        <f t="shared" ref="N144:O144" si="46">N145+N146+N147</f>
        <v>0</v>
      </c>
      <c r="O144" s="96">
        <f t="shared" si="46"/>
        <v>0</v>
      </c>
      <c r="P144" s="117">
        <v>2100</v>
      </c>
    </row>
    <row r="145" spans="2:16" outlineLevel="1" x14ac:dyDescent="0.2">
      <c r="B145" s="118"/>
      <c r="C145" s="132"/>
      <c r="D145" s="118"/>
      <c r="E145" s="118"/>
      <c r="F145" s="118"/>
      <c r="G145" s="118"/>
      <c r="H145" s="95" t="s">
        <v>4</v>
      </c>
      <c r="I145" s="94">
        <f>SUM(J145:O145)</f>
        <v>123.75</v>
      </c>
      <c r="J145" s="96"/>
      <c r="K145" s="96"/>
      <c r="L145" s="96">
        <v>123.75</v>
      </c>
      <c r="M145" s="96"/>
      <c r="N145" s="96"/>
      <c r="O145" s="96"/>
      <c r="P145" s="118"/>
    </row>
    <row r="146" spans="2:16" outlineLevel="1" x14ac:dyDescent="0.2">
      <c r="B146" s="118"/>
      <c r="C146" s="132"/>
      <c r="D146" s="118"/>
      <c r="E146" s="118"/>
      <c r="F146" s="118"/>
      <c r="G146" s="118"/>
      <c r="H146" s="95" t="s">
        <v>6</v>
      </c>
      <c r="I146" s="94">
        <f>SUM(J146:O146)</f>
        <v>1.25</v>
      </c>
      <c r="J146" s="96"/>
      <c r="K146" s="96">
        <v>0</v>
      </c>
      <c r="L146" s="96">
        <v>1.25</v>
      </c>
      <c r="M146" s="96">
        <v>0</v>
      </c>
      <c r="N146" s="96">
        <v>0</v>
      </c>
      <c r="O146" s="96">
        <v>0</v>
      </c>
      <c r="P146" s="118"/>
    </row>
    <row r="147" spans="2:16" outlineLevel="1" x14ac:dyDescent="0.2">
      <c r="B147" s="119"/>
      <c r="C147" s="133"/>
      <c r="D147" s="119"/>
      <c r="E147" s="119"/>
      <c r="F147" s="119"/>
      <c r="G147" s="119"/>
      <c r="H147" s="95" t="s">
        <v>5</v>
      </c>
      <c r="I147" s="94"/>
      <c r="J147" s="96"/>
      <c r="K147" s="96"/>
      <c r="L147" s="96"/>
      <c r="M147" s="96"/>
      <c r="N147" s="96"/>
      <c r="O147" s="96"/>
      <c r="P147" s="119"/>
    </row>
    <row r="148" spans="2:16" ht="42.75" customHeight="1" outlineLevel="1" x14ac:dyDescent="0.2">
      <c r="B148" s="117" t="s">
        <v>678</v>
      </c>
      <c r="C148" s="117" t="s">
        <v>119</v>
      </c>
      <c r="D148" s="117" t="s">
        <v>676</v>
      </c>
      <c r="E148" s="117">
        <v>2022</v>
      </c>
      <c r="F148" s="117" t="s">
        <v>677</v>
      </c>
      <c r="G148" s="117" t="s">
        <v>138</v>
      </c>
      <c r="H148" s="95" t="s">
        <v>3</v>
      </c>
      <c r="I148" s="94">
        <f>SUM(J148:O148)</f>
        <v>98</v>
      </c>
      <c r="J148" s="96"/>
      <c r="K148" s="96">
        <f t="shared" ref="K148:L148" si="47">K149+K150+K151</f>
        <v>0</v>
      </c>
      <c r="L148" s="96">
        <f t="shared" si="47"/>
        <v>98</v>
      </c>
      <c r="M148" s="96">
        <v>0</v>
      </c>
      <c r="N148" s="96">
        <f t="shared" ref="N148:O148" si="48">N149+N150+N151</f>
        <v>0</v>
      </c>
      <c r="O148" s="96">
        <f t="shared" si="48"/>
        <v>0</v>
      </c>
      <c r="P148" s="117">
        <v>2100</v>
      </c>
    </row>
    <row r="149" spans="2:16" outlineLevel="1" x14ac:dyDescent="0.2">
      <c r="B149" s="118"/>
      <c r="C149" s="132"/>
      <c r="D149" s="118"/>
      <c r="E149" s="118"/>
      <c r="F149" s="118"/>
      <c r="G149" s="118"/>
      <c r="H149" s="95" t="s">
        <v>4</v>
      </c>
      <c r="I149" s="94">
        <f>SUM(J149:O149)</f>
        <v>97.02</v>
      </c>
      <c r="J149" s="96"/>
      <c r="K149" s="96"/>
      <c r="L149" s="96">
        <v>97.02</v>
      </c>
      <c r="M149" s="96"/>
      <c r="N149" s="96"/>
      <c r="O149" s="96"/>
      <c r="P149" s="118"/>
    </row>
    <row r="150" spans="2:16" outlineLevel="1" x14ac:dyDescent="0.2">
      <c r="B150" s="118"/>
      <c r="C150" s="132"/>
      <c r="D150" s="118"/>
      <c r="E150" s="118"/>
      <c r="F150" s="118"/>
      <c r="G150" s="118"/>
      <c r="H150" s="95" t="s">
        <v>6</v>
      </c>
      <c r="I150" s="94">
        <f>SUM(J150:O150)</f>
        <v>0.98</v>
      </c>
      <c r="J150" s="96"/>
      <c r="K150" s="96">
        <v>0</v>
      </c>
      <c r="L150" s="96">
        <v>0.98</v>
      </c>
      <c r="M150" s="96">
        <v>0</v>
      </c>
      <c r="N150" s="96">
        <v>0</v>
      </c>
      <c r="O150" s="96">
        <v>0</v>
      </c>
      <c r="P150" s="118"/>
    </row>
    <row r="151" spans="2:16" outlineLevel="1" x14ac:dyDescent="0.2">
      <c r="B151" s="119"/>
      <c r="C151" s="133"/>
      <c r="D151" s="119"/>
      <c r="E151" s="119"/>
      <c r="F151" s="119"/>
      <c r="G151" s="119"/>
      <c r="H151" s="95" t="s">
        <v>5</v>
      </c>
      <c r="I151" s="94"/>
      <c r="J151" s="96"/>
      <c r="K151" s="96"/>
      <c r="L151" s="96"/>
      <c r="M151" s="96"/>
      <c r="N151" s="96"/>
      <c r="O151" s="96"/>
      <c r="P151" s="119"/>
    </row>
    <row r="152" spans="2:16" ht="42.75" customHeight="1" outlineLevel="1" x14ac:dyDescent="0.2">
      <c r="B152" s="117" t="s">
        <v>679</v>
      </c>
      <c r="C152" s="117"/>
      <c r="D152" s="117" t="s">
        <v>32</v>
      </c>
      <c r="E152" s="117">
        <v>2020</v>
      </c>
      <c r="F152" s="117" t="s">
        <v>672</v>
      </c>
      <c r="G152" s="117" t="s">
        <v>101</v>
      </c>
      <c r="H152" s="95" t="s">
        <v>3</v>
      </c>
      <c r="I152" s="94">
        <f>SUM(J152:O152)</f>
        <v>0.3</v>
      </c>
      <c r="J152" s="96">
        <v>0.3</v>
      </c>
      <c r="K152" s="96">
        <f t="shared" ref="K152:L152" si="49">K153+K154+K155</f>
        <v>0</v>
      </c>
      <c r="L152" s="96">
        <f t="shared" si="49"/>
        <v>0</v>
      </c>
      <c r="M152" s="96">
        <v>0</v>
      </c>
      <c r="N152" s="96">
        <f t="shared" ref="N152:O152" si="50">N153+N154+N155</f>
        <v>0</v>
      </c>
      <c r="O152" s="96">
        <f t="shared" si="50"/>
        <v>0</v>
      </c>
      <c r="P152" s="117">
        <v>424</v>
      </c>
    </row>
    <row r="153" spans="2:16" outlineLevel="1" x14ac:dyDescent="0.2">
      <c r="B153" s="118"/>
      <c r="C153" s="132"/>
      <c r="D153" s="118"/>
      <c r="E153" s="118"/>
      <c r="F153" s="118"/>
      <c r="G153" s="118"/>
      <c r="H153" s="95" t="s">
        <v>4</v>
      </c>
      <c r="I153" s="94"/>
      <c r="J153" s="96"/>
      <c r="K153" s="96"/>
      <c r="L153" s="96"/>
      <c r="M153" s="96"/>
      <c r="N153" s="96"/>
      <c r="O153" s="96"/>
      <c r="P153" s="118"/>
    </row>
    <row r="154" spans="2:16" outlineLevel="1" x14ac:dyDescent="0.2">
      <c r="B154" s="118"/>
      <c r="C154" s="132"/>
      <c r="D154" s="118"/>
      <c r="E154" s="118"/>
      <c r="F154" s="118"/>
      <c r="G154" s="118"/>
      <c r="H154" s="95" t="s">
        <v>6</v>
      </c>
      <c r="I154" s="94">
        <f>SUM(J154:O154)</f>
        <v>0.3</v>
      </c>
      <c r="J154" s="96">
        <v>0.3</v>
      </c>
      <c r="K154" s="96">
        <v>0</v>
      </c>
      <c r="L154" s="96">
        <v>0</v>
      </c>
      <c r="M154" s="96">
        <v>0</v>
      </c>
      <c r="N154" s="96">
        <v>0</v>
      </c>
      <c r="O154" s="96">
        <v>0</v>
      </c>
      <c r="P154" s="118"/>
    </row>
    <row r="155" spans="2:16" outlineLevel="1" x14ac:dyDescent="0.2">
      <c r="B155" s="119"/>
      <c r="C155" s="133"/>
      <c r="D155" s="119"/>
      <c r="E155" s="119"/>
      <c r="F155" s="119"/>
      <c r="G155" s="119"/>
      <c r="H155" s="95" t="s">
        <v>5</v>
      </c>
      <c r="I155" s="94"/>
      <c r="J155" s="96"/>
      <c r="K155" s="96"/>
      <c r="L155" s="96"/>
      <c r="M155" s="96"/>
      <c r="N155" s="96"/>
      <c r="O155" s="96"/>
      <c r="P155" s="119"/>
    </row>
    <row r="156" spans="2:16" ht="42.75" customHeight="1" outlineLevel="1" x14ac:dyDescent="0.2">
      <c r="B156" s="117" t="s">
        <v>680</v>
      </c>
      <c r="C156" s="117" t="s">
        <v>681</v>
      </c>
      <c r="D156" s="117" t="s">
        <v>142</v>
      </c>
      <c r="E156" s="117">
        <v>2022</v>
      </c>
      <c r="F156" s="117" t="s">
        <v>682</v>
      </c>
      <c r="G156" s="117" t="s">
        <v>138</v>
      </c>
      <c r="H156" s="95" t="s">
        <v>3</v>
      </c>
      <c r="I156" s="94">
        <f>SUM(J156:O156)</f>
        <v>60</v>
      </c>
      <c r="J156" s="96"/>
      <c r="K156" s="96"/>
      <c r="L156" s="96">
        <v>60</v>
      </c>
      <c r="M156" s="96"/>
      <c r="N156" s="96"/>
      <c r="O156" s="96"/>
      <c r="P156" s="117">
        <v>3362</v>
      </c>
    </row>
    <row r="157" spans="2:16" outlineLevel="1" x14ac:dyDescent="0.2">
      <c r="B157" s="118"/>
      <c r="C157" s="132"/>
      <c r="D157" s="118"/>
      <c r="E157" s="118"/>
      <c r="F157" s="118"/>
      <c r="G157" s="118"/>
      <c r="H157" s="95" t="s">
        <v>4</v>
      </c>
      <c r="I157" s="94">
        <f>SUM(J157:O157)</f>
        <v>59.4</v>
      </c>
      <c r="J157" s="96"/>
      <c r="K157" s="96"/>
      <c r="L157" s="96">
        <v>59.4</v>
      </c>
      <c r="M157" s="96"/>
      <c r="N157" s="96"/>
      <c r="O157" s="96"/>
      <c r="P157" s="118"/>
    </row>
    <row r="158" spans="2:16" outlineLevel="1" x14ac:dyDescent="0.2">
      <c r="B158" s="118"/>
      <c r="C158" s="132"/>
      <c r="D158" s="118"/>
      <c r="E158" s="118"/>
      <c r="F158" s="118"/>
      <c r="G158" s="118"/>
      <c r="H158" s="95" t="s">
        <v>6</v>
      </c>
      <c r="I158" s="94">
        <f>SUM(J158:O158)</f>
        <v>0.6</v>
      </c>
      <c r="J158" s="96"/>
      <c r="K158" s="96"/>
      <c r="L158" s="96">
        <v>0.6</v>
      </c>
      <c r="M158" s="96"/>
      <c r="N158" s="96"/>
      <c r="O158" s="96"/>
      <c r="P158" s="118"/>
    </row>
    <row r="159" spans="2:16" outlineLevel="1" x14ac:dyDescent="0.2">
      <c r="B159" s="119"/>
      <c r="C159" s="133"/>
      <c r="D159" s="119"/>
      <c r="E159" s="119"/>
      <c r="F159" s="119"/>
      <c r="G159" s="119"/>
      <c r="H159" s="95" t="s">
        <v>5</v>
      </c>
      <c r="I159" s="94"/>
      <c r="J159" s="96"/>
      <c r="K159" s="96"/>
      <c r="L159" s="96"/>
      <c r="M159" s="96"/>
      <c r="N159" s="96"/>
      <c r="O159" s="96"/>
      <c r="P159" s="119"/>
    </row>
    <row r="160" spans="2:16" ht="42.75" customHeight="1" outlineLevel="1" x14ac:dyDescent="0.2">
      <c r="B160" s="117" t="s">
        <v>1861</v>
      </c>
      <c r="C160" s="117"/>
      <c r="D160" s="117" t="s">
        <v>142</v>
      </c>
      <c r="E160" s="117">
        <v>2021</v>
      </c>
      <c r="F160" s="117" t="s">
        <v>1862</v>
      </c>
      <c r="G160" s="117"/>
      <c r="H160" s="95" t="s">
        <v>3</v>
      </c>
      <c r="I160" s="94">
        <f>SUM(J160:O160)</f>
        <v>16.8</v>
      </c>
      <c r="J160" s="96">
        <f>SUM(J161:J163)</f>
        <v>0</v>
      </c>
      <c r="K160" s="96">
        <f t="shared" ref="K160:O160" si="51">SUM(K161:K163)</f>
        <v>16.8</v>
      </c>
      <c r="L160" s="96">
        <f t="shared" si="51"/>
        <v>0</v>
      </c>
      <c r="M160" s="96">
        <f t="shared" si="51"/>
        <v>0</v>
      </c>
      <c r="N160" s="96">
        <f t="shared" si="51"/>
        <v>0</v>
      </c>
      <c r="O160" s="96">
        <f t="shared" si="51"/>
        <v>0</v>
      </c>
      <c r="P160" s="117"/>
    </row>
    <row r="161" spans="2:16" outlineLevel="1" x14ac:dyDescent="0.2">
      <c r="B161" s="118" t="s">
        <v>1863</v>
      </c>
      <c r="C161" s="132"/>
      <c r="D161" s="118"/>
      <c r="E161" s="118"/>
      <c r="F161" s="118"/>
      <c r="G161" s="118"/>
      <c r="H161" s="95" t="s">
        <v>4</v>
      </c>
      <c r="I161" s="94">
        <f>SUM(J161:O161)</f>
        <v>16.600000000000001</v>
      </c>
      <c r="J161" s="96"/>
      <c r="K161" s="96">
        <v>16.600000000000001</v>
      </c>
      <c r="L161" s="96"/>
      <c r="M161" s="96"/>
      <c r="N161" s="96"/>
      <c r="O161" s="96"/>
      <c r="P161" s="118"/>
    </row>
    <row r="162" spans="2:16" outlineLevel="1" x14ac:dyDescent="0.2">
      <c r="B162" s="118"/>
      <c r="C162" s="132"/>
      <c r="D162" s="118"/>
      <c r="E162" s="118"/>
      <c r="F162" s="118"/>
      <c r="G162" s="118"/>
      <c r="H162" s="95" t="s">
        <v>6</v>
      </c>
      <c r="I162" s="94">
        <f>SUM(J162:O162)</f>
        <v>0.2</v>
      </c>
      <c r="J162" s="96"/>
      <c r="K162" s="96">
        <v>0.2</v>
      </c>
      <c r="L162" s="96"/>
      <c r="M162" s="96"/>
      <c r="N162" s="96"/>
      <c r="O162" s="96"/>
      <c r="P162" s="118"/>
    </row>
    <row r="163" spans="2:16" outlineLevel="1" x14ac:dyDescent="0.2">
      <c r="B163" s="119"/>
      <c r="C163" s="133"/>
      <c r="D163" s="119"/>
      <c r="E163" s="119"/>
      <c r="F163" s="119"/>
      <c r="G163" s="119"/>
      <c r="H163" s="95" t="s">
        <v>5</v>
      </c>
      <c r="I163" s="94"/>
      <c r="J163" s="96"/>
      <c r="K163" s="96"/>
      <c r="L163" s="96"/>
      <c r="M163" s="96"/>
      <c r="N163" s="96"/>
      <c r="O163" s="96"/>
      <c r="P163" s="119"/>
    </row>
    <row r="164" spans="2:16" ht="42.75" outlineLevel="1" x14ac:dyDescent="0.2">
      <c r="B164" s="117" t="s">
        <v>1864</v>
      </c>
      <c r="C164" s="117"/>
      <c r="D164" s="117" t="s">
        <v>142</v>
      </c>
      <c r="E164" s="117">
        <v>2021</v>
      </c>
      <c r="F164" s="117" t="s">
        <v>1862</v>
      </c>
      <c r="G164" s="117"/>
      <c r="H164" s="95" t="s">
        <v>3</v>
      </c>
      <c r="I164" s="94">
        <f>SUM(J164:O164)</f>
        <v>19.5</v>
      </c>
      <c r="J164" s="96">
        <f>SUM(J165:J167)</f>
        <v>0</v>
      </c>
      <c r="K164" s="96">
        <f t="shared" ref="K164:O164" si="52">SUM(K165:K167)</f>
        <v>19.5</v>
      </c>
      <c r="L164" s="96">
        <f t="shared" si="52"/>
        <v>0</v>
      </c>
      <c r="M164" s="96">
        <f t="shared" si="52"/>
        <v>0</v>
      </c>
      <c r="N164" s="96">
        <f t="shared" si="52"/>
        <v>0</v>
      </c>
      <c r="O164" s="96">
        <f t="shared" si="52"/>
        <v>0</v>
      </c>
      <c r="P164" s="117"/>
    </row>
    <row r="165" spans="2:16" outlineLevel="1" x14ac:dyDescent="0.2">
      <c r="B165" s="118"/>
      <c r="C165" s="132"/>
      <c r="D165" s="118"/>
      <c r="E165" s="118"/>
      <c r="F165" s="118"/>
      <c r="G165" s="118"/>
      <c r="H165" s="95" t="s">
        <v>4</v>
      </c>
      <c r="I165" s="94">
        <f>SUM(J165:O165)</f>
        <v>19.3</v>
      </c>
      <c r="J165" s="96"/>
      <c r="K165" s="96">
        <v>19.3</v>
      </c>
      <c r="L165" s="96"/>
      <c r="M165" s="96"/>
      <c r="N165" s="96"/>
      <c r="O165" s="96"/>
      <c r="P165" s="118"/>
    </row>
    <row r="166" spans="2:16" outlineLevel="1" x14ac:dyDescent="0.2">
      <c r="B166" s="118"/>
      <c r="C166" s="132"/>
      <c r="D166" s="118"/>
      <c r="E166" s="118"/>
      <c r="F166" s="118"/>
      <c r="G166" s="118"/>
      <c r="H166" s="95" t="s">
        <v>6</v>
      </c>
      <c r="I166" s="94">
        <f>SUM(J166:O166)</f>
        <v>0.2</v>
      </c>
      <c r="J166" s="96"/>
      <c r="K166" s="96">
        <v>0.2</v>
      </c>
      <c r="L166" s="96"/>
      <c r="M166" s="96"/>
      <c r="N166" s="96"/>
      <c r="O166" s="96"/>
      <c r="P166" s="118"/>
    </row>
    <row r="167" spans="2:16" outlineLevel="1" x14ac:dyDescent="0.2">
      <c r="B167" s="119"/>
      <c r="C167" s="133"/>
      <c r="D167" s="119"/>
      <c r="E167" s="119"/>
      <c r="F167" s="119"/>
      <c r="G167" s="119"/>
      <c r="H167" s="95" t="s">
        <v>5</v>
      </c>
      <c r="I167" s="94"/>
      <c r="J167" s="96"/>
      <c r="K167" s="96"/>
      <c r="L167" s="96"/>
      <c r="M167" s="96"/>
      <c r="N167" s="96"/>
      <c r="O167" s="96"/>
      <c r="P167" s="119"/>
    </row>
    <row r="168" spans="2:16" ht="42.75" outlineLevel="1" x14ac:dyDescent="0.2">
      <c r="B168" s="117" t="s">
        <v>1865</v>
      </c>
      <c r="C168" s="117"/>
      <c r="D168" s="117" t="s">
        <v>142</v>
      </c>
      <c r="E168" s="117">
        <v>2021</v>
      </c>
      <c r="F168" s="117" t="s">
        <v>1866</v>
      </c>
      <c r="G168" s="117"/>
      <c r="H168" s="95" t="s">
        <v>3</v>
      </c>
      <c r="I168" s="94">
        <f>SUM(J168:O168)</f>
        <v>12.1</v>
      </c>
      <c r="J168" s="96">
        <f>SUM(J169:J171)</f>
        <v>0</v>
      </c>
      <c r="K168" s="96">
        <f t="shared" ref="K168:O168" si="53">SUM(K169:K171)</f>
        <v>12.1</v>
      </c>
      <c r="L168" s="96">
        <f t="shared" si="53"/>
        <v>0</v>
      </c>
      <c r="M168" s="96">
        <f t="shared" si="53"/>
        <v>0</v>
      </c>
      <c r="N168" s="96">
        <f t="shared" si="53"/>
        <v>0</v>
      </c>
      <c r="O168" s="96">
        <f t="shared" si="53"/>
        <v>0</v>
      </c>
      <c r="P168" s="117"/>
    </row>
    <row r="169" spans="2:16" outlineLevel="1" x14ac:dyDescent="0.2">
      <c r="B169" s="118"/>
      <c r="C169" s="132"/>
      <c r="D169" s="118"/>
      <c r="E169" s="118"/>
      <c r="F169" s="118"/>
      <c r="G169" s="118"/>
      <c r="H169" s="95" t="s">
        <v>4</v>
      </c>
      <c r="I169" s="94">
        <f>SUM(J169:O169)</f>
        <v>12</v>
      </c>
      <c r="J169" s="96"/>
      <c r="K169" s="96">
        <v>12</v>
      </c>
      <c r="L169" s="96"/>
      <c r="M169" s="96"/>
      <c r="N169" s="96"/>
      <c r="O169" s="96"/>
      <c r="P169" s="118"/>
    </row>
    <row r="170" spans="2:16" outlineLevel="1" x14ac:dyDescent="0.2">
      <c r="B170" s="118"/>
      <c r="C170" s="132"/>
      <c r="D170" s="118"/>
      <c r="E170" s="118"/>
      <c r="F170" s="118"/>
      <c r="G170" s="118"/>
      <c r="H170" s="95" t="s">
        <v>6</v>
      </c>
      <c r="I170" s="94">
        <f>SUM(J170:O170)</f>
        <v>0.1</v>
      </c>
      <c r="J170" s="96"/>
      <c r="K170" s="96">
        <v>0.1</v>
      </c>
      <c r="L170" s="96"/>
      <c r="M170" s="96"/>
      <c r="N170" s="96"/>
      <c r="O170" s="96"/>
      <c r="P170" s="118"/>
    </row>
    <row r="171" spans="2:16" outlineLevel="1" x14ac:dyDescent="0.2">
      <c r="B171" s="119"/>
      <c r="C171" s="133"/>
      <c r="D171" s="119"/>
      <c r="E171" s="119"/>
      <c r="F171" s="119"/>
      <c r="G171" s="119"/>
      <c r="H171" s="95" t="s">
        <v>5</v>
      </c>
      <c r="I171" s="94"/>
      <c r="J171" s="96"/>
      <c r="K171" s="96"/>
      <c r="L171" s="96"/>
      <c r="M171" s="96"/>
      <c r="N171" s="96"/>
      <c r="O171" s="96"/>
      <c r="P171" s="119"/>
    </row>
    <row r="172" spans="2:16" ht="42.75" customHeight="1" outlineLevel="1" x14ac:dyDescent="0.2">
      <c r="B172" s="117" t="s">
        <v>1867</v>
      </c>
      <c r="C172" s="117"/>
      <c r="D172" s="117" t="s">
        <v>142</v>
      </c>
      <c r="E172" s="117">
        <v>2021</v>
      </c>
      <c r="F172" s="117" t="s">
        <v>1862</v>
      </c>
      <c r="G172" s="117"/>
      <c r="H172" s="95" t="s">
        <v>3</v>
      </c>
      <c r="I172" s="94">
        <f>SUM(J172:O172)</f>
        <v>10.199999999999999</v>
      </c>
      <c r="J172" s="96">
        <f>SUM(J173:J175)</f>
        <v>0</v>
      </c>
      <c r="K172" s="96">
        <f t="shared" ref="K172:O172" si="54">SUM(K173:K175)</f>
        <v>10.199999999999999</v>
      </c>
      <c r="L172" s="96">
        <f t="shared" si="54"/>
        <v>0</v>
      </c>
      <c r="M172" s="96">
        <f t="shared" si="54"/>
        <v>0</v>
      </c>
      <c r="N172" s="96">
        <f t="shared" si="54"/>
        <v>0</v>
      </c>
      <c r="O172" s="96">
        <f t="shared" si="54"/>
        <v>0</v>
      </c>
      <c r="P172" s="117"/>
    </row>
    <row r="173" spans="2:16" outlineLevel="1" x14ac:dyDescent="0.2">
      <c r="B173" s="118"/>
      <c r="C173" s="132"/>
      <c r="D173" s="118"/>
      <c r="E173" s="118"/>
      <c r="F173" s="118"/>
      <c r="G173" s="118"/>
      <c r="H173" s="95" t="s">
        <v>4</v>
      </c>
      <c r="I173" s="94">
        <f>SUM(J173:O173)</f>
        <v>10.1</v>
      </c>
      <c r="J173" s="96"/>
      <c r="K173" s="96">
        <v>10.1</v>
      </c>
      <c r="L173" s="96"/>
      <c r="M173" s="96"/>
      <c r="N173" s="96"/>
      <c r="O173" s="96"/>
      <c r="P173" s="118"/>
    </row>
    <row r="174" spans="2:16" outlineLevel="1" x14ac:dyDescent="0.2">
      <c r="B174" s="118"/>
      <c r="C174" s="132"/>
      <c r="D174" s="118"/>
      <c r="E174" s="118"/>
      <c r="F174" s="118"/>
      <c r="G174" s="118"/>
      <c r="H174" s="95" t="s">
        <v>6</v>
      </c>
      <c r="I174" s="94">
        <f>SUM(J174:O174)</f>
        <v>0.1</v>
      </c>
      <c r="J174" s="96"/>
      <c r="K174" s="96">
        <v>0.1</v>
      </c>
      <c r="L174" s="96"/>
      <c r="M174" s="96"/>
      <c r="N174" s="96"/>
      <c r="O174" s="96"/>
      <c r="P174" s="118"/>
    </row>
    <row r="175" spans="2:16" outlineLevel="1" x14ac:dyDescent="0.2">
      <c r="B175" s="119"/>
      <c r="C175" s="133"/>
      <c r="D175" s="119"/>
      <c r="E175" s="119"/>
      <c r="F175" s="119"/>
      <c r="G175" s="119"/>
      <c r="H175" s="95" t="s">
        <v>5</v>
      </c>
      <c r="I175" s="94"/>
      <c r="J175" s="96"/>
      <c r="K175" s="96"/>
      <c r="L175" s="96"/>
      <c r="M175" s="96"/>
      <c r="N175" s="96"/>
      <c r="O175" s="96"/>
      <c r="P175" s="119"/>
    </row>
    <row r="176" spans="2:16" ht="42.75" outlineLevel="1" x14ac:dyDescent="0.2">
      <c r="B176" s="117" t="s">
        <v>1868</v>
      </c>
      <c r="C176" s="117"/>
      <c r="D176" s="117" t="s">
        <v>142</v>
      </c>
      <c r="E176" s="117">
        <v>2021</v>
      </c>
      <c r="F176" s="117" t="s">
        <v>336</v>
      </c>
      <c r="G176" s="117"/>
      <c r="H176" s="95" t="s">
        <v>3</v>
      </c>
      <c r="I176" s="94">
        <f>SUM(J176:O176)</f>
        <v>81.7</v>
      </c>
      <c r="J176" s="96">
        <f>SUM(J177:J179)</f>
        <v>0</v>
      </c>
      <c r="K176" s="96">
        <f t="shared" ref="K176:O176" si="55">SUM(K177:K179)</f>
        <v>81.7</v>
      </c>
      <c r="L176" s="96">
        <f t="shared" si="55"/>
        <v>0</v>
      </c>
      <c r="M176" s="96">
        <f t="shared" si="55"/>
        <v>0</v>
      </c>
      <c r="N176" s="96">
        <f t="shared" si="55"/>
        <v>0</v>
      </c>
      <c r="O176" s="96">
        <f t="shared" si="55"/>
        <v>0</v>
      </c>
      <c r="P176" s="117"/>
    </row>
    <row r="177" spans="2:18" outlineLevel="1" x14ac:dyDescent="0.2">
      <c r="B177" s="118"/>
      <c r="C177" s="132"/>
      <c r="D177" s="118"/>
      <c r="E177" s="118"/>
      <c r="F177" s="118"/>
      <c r="G177" s="118"/>
      <c r="H177" s="95" t="s">
        <v>4</v>
      </c>
      <c r="I177" s="94">
        <f>SUM(J177:O177)</f>
        <v>80.8</v>
      </c>
      <c r="J177" s="96"/>
      <c r="K177" s="96">
        <v>80.8</v>
      </c>
      <c r="L177" s="96"/>
      <c r="M177" s="96"/>
      <c r="N177" s="96"/>
      <c r="O177" s="96"/>
      <c r="P177" s="118"/>
    </row>
    <row r="178" spans="2:18" outlineLevel="1" x14ac:dyDescent="0.2">
      <c r="B178" s="118"/>
      <c r="C178" s="132"/>
      <c r="D178" s="118"/>
      <c r="E178" s="118"/>
      <c r="F178" s="118"/>
      <c r="G178" s="118"/>
      <c r="H178" s="95" t="s">
        <v>6</v>
      </c>
      <c r="I178" s="94">
        <f>SUM(J178:O178)</f>
        <v>0.9</v>
      </c>
      <c r="J178" s="96"/>
      <c r="K178" s="96">
        <v>0.9</v>
      </c>
      <c r="L178" s="96"/>
      <c r="M178" s="96"/>
      <c r="N178" s="96"/>
      <c r="O178" s="96"/>
      <c r="P178" s="118"/>
    </row>
    <row r="179" spans="2:18" outlineLevel="1" x14ac:dyDescent="0.2">
      <c r="B179" s="119"/>
      <c r="C179" s="133"/>
      <c r="D179" s="119"/>
      <c r="E179" s="119"/>
      <c r="F179" s="119"/>
      <c r="G179" s="119"/>
      <c r="H179" s="95" t="s">
        <v>5</v>
      </c>
      <c r="I179" s="94"/>
      <c r="J179" s="96"/>
      <c r="K179" s="96"/>
      <c r="L179" s="96"/>
      <c r="M179" s="96"/>
      <c r="N179" s="96"/>
      <c r="O179" s="96"/>
      <c r="P179" s="119"/>
    </row>
    <row r="180" spans="2:18" ht="42.75" x14ac:dyDescent="0.2">
      <c r="B180" s="128" t="s">
        <v>37</v>
      </c>
      <c r="C180" s="128" t="s">
        <v>38</v>
      </c>
      <c r="D180" s="128" t="s">
        <v>38</v>
      </c>
      <c r="E180" s="128" t="s">
        <v>38</v>
      </c>
      <c r="F180" s="128" t="s">
        <v>38</v>
      </c>
      <c r="G180" s="128" t="s">
        <v>38</v>
      </c>
      <c r="H180" s="95" t="s">
        <v>3</v>
      </c>
      <c r="I180" s="14">
        <f t="shared" ref="I180:O180" si="56">SUMIF($H$100:$H$179,"Объем*",I$100:I$179)</f>
        <v>874.6</v>
      </c>
      <c r="J180" s="14">
        <f t="shared" si="56"/>
        <v>2.8</v>
      </c>
      <c r="K180" s="14">
        <f t="shared" si="56"/>
        <v>347.7</v>
      </c>
      <c r="L180" s="14">
        <f t="shared" si="56"/>
        <v>453.7</v>
      </c>
      <c r="M180" s="14">
        <f t="shared" si="56"/>
        <v>70.400000000000006</v>
      </c>
      <c r="N180" s="14">
        <f t="shared" si="56"/>
        <v>0</v>
      </c>
      <c r="O180" s="14">
        <f t="shared" si="56"/>
        <v>0</v>
      </c>
      <c r="P180" s="128"/>
      <c r="Q180" s="7"/>
      <c r="R180" s="7"/>
    </row>
    <row r="181" spans="2:18" ht="15.75" x14ac:dyDescent="0.2">
      <c r="B181" s="129"/>
      <c r="C181" s="129"/>
      <c r="D181" s="129"/>
      <c r="E181" s="129"/>
      <c r="F181" s="129"/>
      <c r="G181" s="129"/>
      <c r="H181" s="95" t="s">
        <v>4</v>
      </c>
      <c r="I181" s="14">
        <f t="shared" ref="I181:O181" si="57">SUMIF($H$100:$H$179,"фед*",I$100:I$179)</f>
        <v>782.36999999999989</v>
      </c>
      <c r="J181" s="14">
        <f t="shared" si="57"/>
        <v>0</v>
      </c>
      <c r="K181" s="14">
        <f t="shared" si="57"/>
        <v>263.39999999999998</v>
      </c>
      <c r="L181" s="14">
        <f t="shared" si="57"/>
        <v>449.16999999999996</v>
      </c>
      <c r="M181" s="14">
        <f t="shared" si="57"/>
        <v>69.8</v>
      </c>
      <c r="N181" s="14">
        <f t="shared" si="57"/>
        <v>0</v>
      </c>
      <c r="O181" s="14">
        <f t="shared" si="57"/>
        <v>0</v>
      </c>
      <c r="P181" s="129"/>
      <c r="Q181" s="7"/>
    </row>
    <row r="182" spans="2:18" ht="15.75" x14ac:dyDescent="0.2">
      <c r="B182" s="129"/>
      <c r="C182" s="129"/>
      <c r="D182" s="129"/>
      <c r="E182" s="129"/>
      <c r="F182" s="129"/>
      <c r="G182" s="129"/>
      <c r="H182" s="95" t="s">
        <v>6</v>
      </c>
      <c r="I182" s="14">
        <f t="shared" ref="I182:O182" si="58">SUMIF($H$100:$H$179,"конс*",I$100:I$179)</f>
        <v>92.22999999999999</v>
      </c>
      <c r="J182" s="14">
        <f t="shared" si="58"/>
        <v>2.8</v>
      </c>
      <c r="K182" s="14">
        <f t="shared" si="58"/>
        <v>84.3</v>
      </c>
      <c r="L182" s="14">
        <f t="shared" si="58"/>
        <v>4.53</v>
      </c>
      <c r="M182" s="14">
        <f t="shared" si="58"/>
        <v>0.60000000000000009</v>
      </c>
      <c r="N182" s="14">
        <f t="shared" si="58"/>
        <v>0</v>
      </c>
      <c r="O182" s="14">
        <f t="shared" si="58"/>
        <v>0</v>
      </c>
      <c r="P182" s="129"/>
      <c r="Q182" s="7"/>
    </row>
    <row r="183" spans="2:18" ht="15.75" x14ac:dyDescent="0.2">
      <c r="B183" s="130"/>
      <c r="C183" s="130"/>
      <c r="D183" s="130"/>
      <c r="E183" s="130"/>
      <c r="F183" s="130"/>
      <c r="G183" s="130"/>
      <c r="H183" s="95" t="s">
        <v>5</v>
      </c>
      <c r="I183" s="14">
        <f t="shared" ref="I183:O183" si="59">SUMIF($H$100:$H$179,"вне*",I$100:I$179)</f>
        <v>0</v>
      </c>
      <c r="J183" s="14">
        <f t="shared" si="59"/>
        <v>0</v>
      </c>
      <c r="K183" s="14">
        <f t="shared" si="59"/>
        <v>0</v>
      </c>
      <c r="L183" s="14">
        <f t="shared" si="59"/>
        <v>0</v>
      </c>
      <c r="M183" s="14">
        <f t="shared" si="59"/>
        <v>0</v>
      </c>
      <c r="N183" s="14">
        <f t="shared" si="59"/>
        <v>0</v>
      </c>
      <c r="O183" s="14">
        <f t="shared" si="59"/>
        <v>0</v>
      </c>
      <c r="P183" s="130"/>
      <c r="Q183" s="7"/>
    </row>
    <row r="184" spans="2:18" ht="25.5" customHeight="1" x14ac:dyDescent="0.2">
      <c r="B184" s="111" t="s">
        <v>159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3"/>
    </row>
    <row r="185" spans="2:18" ht="42.75" outlineLevel="1" x14ac:dyDescent="0.2">
      <c r="B185" s="117" t="s">
        <v>683</v>
      </c>
      <c r="C185" s="117" t="s">
        <v>628</v>
      </c>
      <c r="D185" s="117" t="s">
        <v>159</v>
      </c>
      <c r="E185" s="117">
        <v>2022</v>
      </c>
      <c r="F185" s="117" t="s">
        <v>629</v>
      </c>
      <c r="G185" s="117" t="s">
        <v>138</v>
      </c>
      <c r="H185" s="95" t="s">
        <v>3</v>
      </c>
      <c r="I185" s="94">
        <f>SUM(J185:O185)</f>
        <v>46.5</v>
      </c>
      <c r="J185" s="96">
        <f t="shared" ref="J185:O185" si="60">J186+J187+J188</f>
        <v>0</v>
      </c>
      <c r="K185" s="96">
        <f t="shared" si="60"/>
        <v>0</v>
      </c>
      <c r="L185" s="96">
        <f t="shared" si="60"/>
        <v>46.5</v>
      </c>
      <c r="M185" s="96">
        <f t="shared" si="60"/>
        <v>0</v>
      </c>
      <c r="N185" s="96">
        <f t="shared" si="60"/>
        <v>0</v>
      </c>
      <c r="O185" s="96">
        <f t="shared" si="60"/>
        <v>0</v>
      </c>
      <c r="P185" s="117"/>
    </row>
    <row r="186" spans="2:18" outlineLevel="1" x14ac:dyDescent="0.2">
      <c r="B186" s="118"/>
      <c r="C186" s="118"/>
      <c r="D186" s="118"/>
      <c r="E186" s="118"/>
      <c r="F186" s="118"/>
      <c r="G186" s="118"/>
      <c r="H186" s="95" t="s">
        <v>4</v>
      </c>
      <c r="I186" s="94">
        <f t="shared" ref="I186:I228" si="61">SUM(J186:O186)</f>
        <v>46.1</v>
      </c>
      <c r="J186" s="96">
        <v>0</v>
      </c>
      <c r="K186" s="96">
        <v>0</v>
      </c>
      <c r="L186" s="96">
        <v>46.1</v>
      </c>
      <c r="M186" s="96">
        <v>0</v>
      </c>
      <c r="N186" s="96">
        <v>0</v>
      </c>
      <c r="O186" s="96">
        <v>0</v>
      </c>
      <c r="P186" s="118"/>
    </row>
    <row r="187" spans="2:18" outlineLevel="1" x14ac:dyDescent="0.2">
      <c r="B187" s="118"/>
      <c r="C187" s="118"/>
      <c r="D187" s="118"/>
      <c r="E187" s="118"/>
      <c r="F187" s="118"/>
      <c r="G187" s="118"/>
      <c r="H187" s="95" t="s">
        <v>6</v>
      </c>
      <c r="I187" s="94">
        <f t="shared" si="61"/>
        <v>0.4</v>
      </c>
      <c r="J187" s="96">
        <v>0</v>
      </c>
      <c r="K187" s="96">
        <v>0</v>
      </c>
      <c r="L187" s="96">
        <v>0.4</v>
      </c>
      <c r="M187" s="96">
        <v>0</v>
      </c>
      <c r="N187" s="96">
        <v>0</v>
      </c>
      <c r="O187" s="96">
        <v>0</v>
      </c>
      <c r="P187" s="118"/>
    </row>
    <row r="188" spans="2:18" outlineLevel="1" x14ac:dyDescent="0.2">
      <c r="B188" s="119"/>
      <c r="C188" s="119"/>
      <c r="D188" s="119"/>
      <c r="E188" s="119"/>
      <c r="F188" s="119"/>
      <c r="G188" s="119"/>
      <c r="H188" s="95" t="s">
        <v>5</v>
      </c>
      <c r="I188" s="94">
        <f t="shared" si="61"/>
        <v>0</v>
      </c>
      <c r="J188" s="96"/>
      <c r="K188" s="96"/>
      <c r="L188" s="96"/>
      <c r="M188" s="96"/>
      <c r="N188" s="96"/>
      <c r="O188" s="96"/>
      <c r="P188" s="119"/>
    </row>
    <row r="189" spans="2:18" ht="42.75" outlineLevel="1" x14ac:dyDescent="0.2">
      <c r="B189" s="117" t="s">
        <v>684</v>
      </c>
      <c r="C189" s="117" t="s">
        <v>628</v>
      </c>
      <c r="D189" s="117" t="s">
        <v>159</v>
      </c>
      <c r="E189" s="117">
        <v>2023</v>
      </c>
      <c r="F189" s="117" t="s">
        <v>629</v>
      </c>
      <c r="G189" s="117" t="s">
        <v>138</v>
      </c>
      <c r="H189" s="95" t="s">
        <v>3</v>
      </c>
      <c r="I189" s="94">
        <f t="shared" si="61"/>
        <v>32.299999999999997</v>
      </c>
      <c r="J189" s="96">
        <f t="shared" ref="J189:O189" si="62">J190+J191+J192</f>
        <v>0</v>
      </c>
      <c r="K189" s="96">
        <f t="shared" si="62"/>
        <v>0</v>
      </c>
      <c r="L189" s="96">
        <f t="shared" si="62"/>
        <v>0</v>
      </c>
      <c r="M189" s="96">
        <f t="shared" si="62"/>
        <v>32.299999999999997</v>
      </c>
      <c r="N189" s="96">
        <f t="shared" si="62"/>
        <v>0</v>
      </c>
      <c r="O189" s="96">
        <f t="shared" si="62"/>
        <v>0</v>
      </c>
      <c r="P189" s="117"/>
    </row>
    <row r="190" spans="2:18" outlineLevel="1" x14ac:dyDescent="0.2">
      <c r="B190" s="118"/>
      <c r="C190" s="132"/>
      <c r="D190" s="118"/>
      <c r="E190" s="118"/>
      <c r="F190" s="118"/>
      <c r="G190" s="118"/>
      <c r="H190" s="95" t="s">
        <v>4</v>
      </c>
      <c r="I190" s="94">
        <f t="shared" si="61"/>
        <v>32</v>
      </c>
      <c r="J190" s="96">
        <v>0</v>
      </c>
      <c r="K190" s="96">
        <v>0</v>
      </c>
      <c r="L190" s="96">
        <v>0</v>
      </c>
      <c r="M190" s="96">
        <v>32</v>
      </c>
      <c r="N190" s="96">
        <v>0</v>
      </c>
      <c r="O190" s="96">
        <v>0</v>
      </c>
      <c r="P190" s="118"/>
    </row>
    <row r="191" spans="2:18" outlineLevel="1" x14ac:dyDescent="0.2">
      <c r="B191" s="118"/>
      <c r="C191" s="132"/>
      <c r="D191" s="118"/>
      <c r="E191" s="118"/>
      <c r="F191" s="118"/>
      <c r="G191" s="118"/>
      <c r="H191" s="95" t="s">
        <v>6</v>
      </c>
      <c r="I191" s="94">
        <f t="shared" si="61"/>
        <v>0.3</v>
      </c>
      <c r="J191" s="96">
        <v>0</v>
      </c>
      <c r="K191" s="96">
        <v>0</v>
      </c>
      <c r="L191" s="96">
        <v>0</v>
      </c>
      <c r="M191" s="96">
        <v>0.3</v>
      </c>
      <c r="N191" s="96">
        <v>0</v>
      </c>
      <c r="O191" s="96">
        <v>0</v>
      </c>
      <c r="P191" s="118"/>
    </row>
    <row r="192" spans="2:18" outlineLevel="1" x14ac:dyDescent="0.2">
      <c r="B192" s="119"/>
      <c r="C192" s="133"/>
      <c r="D192" s="119"/>
      <c r="E192" s="119"/>
      <c r="F192" s="119"/>
      <c r="G192" s="119"/>
      <c r="H192" s="95" t="s">
        <v>5</v>
      </c>
      <c r="I192" s="94">
        <f t="shared" si="61"/>
        <v>0</v>
      </c>
      <c r="J192" s="96"/>
      <c r="K192" s="96"/>
      <c r="L192" s="96"/>
      <c r="M192" s="96"/>
      <c r="N192" s="96"/>
      <c r="O192" s="96"/>
      <c r="P192" s="119"/>
    </row>
    <row r="193" spans="2:16" ht="42.75" outlineLevel="1" x14ac:dyDescent="0.2">
      <c r="B193" s="117" t="s">
        <v>685</v>
      </c>
      <c r="C193" s="117" t="s">
        <v>628</v>
      </c>
      <c r="D193" s="117" t="s">
        <v>159</v>
      </c>
      <c r="E193" s="117">
        <v>2024</v>
      </c>
      <c r="F193" s="117" t="s">
        <v>629</v>
      </c>
      <c r="G193" s="117" t="s">
        <v>138</v>
      </c>
      <c r="H193" s="95" t="s">
        <v>3</v>
      </c>
      <c r="I193" s="94">
        <f t="shared" si="61"/>
        <v>21.099999999999998</v>
      </c>
      <c r="J193" s="96">
        <f t="shared" ref="J193:O193" si="63">J194+J195+J196</f>
        <v>0</v>
      </c>
      <c r="K193" s="96">
        <f t="shared" si="63"/>
        <v>0</v>
      </c>
      <c r="L193" s="96">
        <f t="shared" si="63"/>
        <v>0</v>
      </c>
      <c r="M193" s="96">
        <f t="shared" si="63"/>
        <v>0</v>
      </c>
      <c r="N193" s="96">
        <f t="shared" si="63"/>
        <v>21.099999999999998</v>
      </c>
      <c r="O193" s="96">
        <f t="shared" si="63"/>
        <v>0</v>
      </c>
      <c r="P193" s="117"/>
    </row>
    <row r="194" spans="2:16" outlineLevel="1" x14ac:dyDescent="0.2">
      <c r="B194" s="118"/>
      <c r="C194" s="132"/>
      <c r="D194" s="118"/>
      <c r="E194" s="118"/>
      <c r="F194" s="118"/>
      <c r="G194" s="118"/>
      <c r="H194" s="95" t="s">
        <v>4</v>
      </c>
      <c r="I194" s="94">
        <f t="shared" si="61"/>
        <v>20.9</v>
      </c>
      <c r="J194" s="96">
        <v>0</v>
      </c>
      <c r="K194" s="96">
        <v>0</v>
      </c>
      <c r="L194" s="96">
        <v>0</v>
      </c>
      <c r="M194" s="96">
        <v>0</v>
      </c>
      <c r="N194" s="96">
        <v>20.9</v>
      </c>
      <c r="O194" s="96">
        <v>0</v>
      </c>
      <c r="P194" s="118"/>
    </row>
    <row r="195" spans="2:16" outlineLevel="1" x14ac:dyDescent="0.2">
      <c r="B195" s="118"/>
      <c r="C195" s="132"/>
      <c r="D195" s="118"/>
      <c r="E195" s="118"/>
      <c r="F195" s="118"/>
      <c r="G195" s="118"/>
      <c r="H195" s="95" t="s">
        <v>6</v>
      </c>
      <c r="I195" s="94">
        <f t="shared" si="61"/>
        <v>0.2</v>
      </c>
      <c r="J195" s="96">
        <v>0</v>
      </c>
      <c r="K195" s="96">
        <v>0</v>
      </c>
      <c r="L195" s="96">
        <v>0</v>
      </c>
      <c r="M195" s="96">
        <v>0</v>
      </c>
      <c r="N195" s="96">
        <v>0.2</v>
      </c>
      <c r="O195" s="96">
        <v>0</v>
      </c>
      <c r="P195" s="118"/>
    </row>
    <row r="196" spans="2:16" outlineLevel="1" x14ac:dyDescent="0.2">
      <c r="B196" s="119"/>
      <c r="C196" s="133"/>
      <c r="D196" s="119"/>
      <c r="E196" s="119"/>
      <c r="F196" s="119"/>
      <c r="G196" s="119"/>
      <c r="H196" s="95" t="s">
        <v>5</v>
      </c>
      <c r="I196" s="94">
        <f t="shared" si="61"/>
        <v>0</v>
      </c>
      <c r="J196" s="96"/>
      <c r="K196" s="96"/>
      <c r="L196" s="96"/>
      <c r="M196" s="96"/>
      <c r="N196" s="96"/>
      <c r="O196" s="96"/>
      <c r="P196" s="119"/>
    </row>
    <row r="197" spans="2:16" ht="42.75" outlineLevel="1" x14ac:dyDescent="0.2">
      <c r="B197" s="117" t="s">
        <v>686</v>
      </c>
      <c r="C197" s="117" t="s">
        <v>628</v>
      </c>
      <c r="D197" s="117" t="s">
        <v>159</v>
      </c>
      <c r="E197" s="117">
        <v>2024</v>
      </c>
      <c r="F197" s="117" t="s">
        <v>629</v>
      </c>
      <c r="G197" s="117" t="s">
        <v>138</v>
      </c>
      <c r="H197" s="95" t="s">
        <v>3</v>
      </c>
      <c r="I197" s="94">
        <f t="shared" si="61"/>
        <v>23.3</v>
      </c>
      <c r="J197" s="96">
        <f t="shared" ref="J197:O197" si="64">J198+J199+J200</f>
        <v>0</v>
      </c>
      <c r="K197" s="96">
        <f t="shared" si="64"/>
        <v>0</v>
      </c>
      <c r="L197" s="96">
        <f t="shared" si="64"/>
        <v>0</v>
      </c>
      <c r="M197" s="96">
        <f t="shared" si="64"/>
        <v>0</v>
      </c>
      <c r="N197" s="96">
        <f t="shared" si="64"/>
        <v>23.3</v>
      </c>
      <c r="O197" s="96">
        <f t="shared" si="64"/>
        <v>0</v>
      </c>
      <c r="P197" s="117"/>
    </row>
    <row r="198" spans="2:16" outlineLevel="1" x14ac:dyDescent="0.2">
      <c r="B198" s="118"/>
      <c r="C198" s="132"/>
      <c r="D198" s="118"/>
      <c r="E198" s="118"/>
      <c r="F198" s="118"/>
      <c r="G198" s="118"/>
      <c r="H198" s="95" t="s">
        <v>4</v>
      </c>
      <c r="I198" s="94">
        <f t="shared" si="61"/>
        <v>23.1</v>
      </c>
      <c r="J198" s="96">
        <v>0</v>
      </c>
      <c r="K198" s="96">
        <v>0</v>
      </c>
      <c r="L198" s="96">
        <v>0</v>
      </c>
      <c r="M198" s="96">
        <v>0</v>
      </c>
      <c r="N198" s="96">
        <v>23.1</v>
      </c>
      <c r="O198" s="96">
        <v>0</v>
      </c>
      <c r="P198" s="118"/>
    </row>
    <row r="199" spans="2:16" outlineLevel="1" x14ac:dyDescent="0.2">
      <c r="B199" s="118"/>
      <c r="C199" s="132"/>
      <c r="D199" s="118"/>
      <c r="E199" s="118"/>
      <c r="F199" s="118"/>
      <c r="G199" s="118"/>
      <c r="H199" s="95" t="s">
        <v>6</v>
      </c>
      <c r="I199" s="94">
        <f t="shared" si="61"/>
        <v>0.2</v>
      </c>
      <c r="J199" s="96">
        <v>0</v>
      </c>
      <c r="K199" s="96">
        <v>0</v>
      </c>
      <c r="L199" s="96">
        <v>0</v>
      </c>
      <c r="M199" s="96">
        <v>0</v>
      </c>
      <c r="N199" s="96">
        <v>0.2</v>
      </c>
      <c r="O199" s="96">
        <v>0</v>
      </c>
      <c r="P199" s="118"/>
    </row>
    <row r="200" spans="2:16" outlineLevel="1" x14ac:dyDescent="0.2">
      <c r="B200" s="119"/>
      <c r="C200" s="133"/>
      <c r="D200" s="119"/>
      <c r="E200" s="119"/>
      <c r="F200" s="119"/>
      <c r="G200" s="119"/>
      <c r="H200" s="95" t="s">
        <v>5</v>
      </c>
      <c r="I200" s="94">
        <f t="shared" si="61"/>
        <v>0</v>
      </c>
      <c r="J200" s="96"/>
      <c r="K200" s="96"/>
      <c r="L200" s="96"/>
      <c r="M200" s="96"/>
      <c r="N200" s="96"/>
      <c r="O200" s="96"/>
      <c r="P200" s="119"/>
    </row>
    <row r="201" spans="2:16" ht="42.75" outlineLevel="1" x14ac:dyDescent="0.2">
      <c r="B201" s="117" t="s">
        <v>687</v>
      </c>
      <c r="C201" s="117"/>
      <c r="D201" s="117" t="s">
        <v>159</v>
      </c>
      <c r="E201" s="117">
        <v>2022</v>
      </c>
      <c r="F201" s="117" t="s">
        <v>688</v>
      </c>
      <c r="G201" s="117" t="s">
        <v>101</v>
      </c>
      <c r="H201" s="95" t="s">
        <v>3</v>
      </c>
      <c r="I201" s="94">
        <f t="shared" si="61"/>
        <v>59</v>
      </c>
      <c r="J201" s="96"/>
      <c r="K201" s="96">
        <f t="shared" ref="K201:O201" si="65">K202+K203+K204</f>
        <v>0</v>
      </c>
      <c r="L201" s="96">
        <v>59</v>
      </c>
      <c r="M201" s="96">
        <v>0</v>
      </c>
      <c r="N201" s="96">
        <f t="shared" si="65"/>
        <v>0</v>
      </c>
      <c r="O201" s="96">
        <f t="shared" si="65"/>
        <v>0</v>
      </c>
      <c r="P201" s="117"/>
    </row>
    <row r="202" spans="2:16" outlineLevel="1" x14ac:dyDescent="0.2">
      <c r="B202" s="118"/>
      <c r="C202" s="132"/>
      <c r="D202" s="118"/>
      <c r="E202" s="118"/>
      <c r="F202" s="118"/>
      <c r="G202" s="118"/>
      <c r="H202" s="95" t="s">
        <v>4</v>
      </c>
      <c r="I202" s="94">
        <f t="shared" si="61"/>
        <v>0</v>
      </c>
      <c r="J202" s="96"/>
      <c r="K202" s="96"/>
      <c r="L202" s="96"/>
      <c r="M202" s="96"/>
      <c r="N202" s="96"/>
      <c r="O202" s="96"/>
      <c r="P202" s="118"/>
    </row>
    <row r="203" spans="2:16" outlineLevel="1" x14ac:dyDescent="0.2">
      <c r="B203" s="118"/>
      <c r="C203" s="132"/>
      <c r="D203" s="118"/>
      <c r="E203" s="118"/>
      <c r="F203" s="118"/>
      <c r="G203" s="118"/>
      <c r="H203" s="95" t="s">
        <v>6</v>
      </c>
      <c r="I203" s="94">
        <f t="shared" si="61"/>
        <v>59</v>
      </c>
      <c r="J203" s="96"/>
      <c r="K203" s="96"/>
      <c r="L203" s="96">
        <v>59</v>
      </c>
      <c r="M203" s="96"/>
      <c r="N203" s="96"/>
      <c r="O203" s="96"/>
      <c r="P203" s="118"/>
    </row>
    <row r="204" spans="2:16" outlineLevel="1" x14ac:dyDescent="0.2">
      <c r="B204" s="119"/>
      <c r="C204" s="133"/>
      <c r="D204" s="119"/>
      <c r="E204" s="119"/>
      <c r="F204" s="119"/>
      <c r="G204" s="119"/>
      <c r="H204" s="95" t="s">
        <v>5</v>
      </c>
      <c r="I204" s="94">
        <f t="shared" si="61"/>
        <v>0</v>
      </c>
      <c r="J204" s="96"/>
      <c r="K204" s="96"/>
      <c r="L204" s="96"/>
      <c r="M204" s="96"/>
      <c r="N204" s="96"/>
      <c r="O204" s="96"/>
      <c r="P204" s="119"/>
    </row>
    <row r="205" spans="2:16" ht="42.75" outlineLevel="1" x14ac:dyDescent="0.2">
      <c r="B205" s="117" t="s">
        <v>689</v>
      </c>
      <c r="C205" s="117"/>
      <c r="D205" s="117" t="s">
        <v>159</v>
      </c>
      <c r="E205" s="117">
        <v>2023</v>
      </c>
      <c r="F205" s="117" t="s">
        <v>635</v>
      </c>
      <c r="G205" s="117" t="s">
        <v>101</v>
      </c>
      <c r="H205" s="95" t="s">
        <v>3</v>
      </c>
      <c r="I205" s="94">
        <f t="shared" si="61"/>
        <v>28</v>
      </c>
      <c r="J205" s="96">
        <f t="shared" ref="J205:O205" si="66">J206+J207+J208</f>
        <v>0</v>
      </c>
      <c r="K205" s="96">
        <f t="shared" si="66"/>
        <v>0</v>
      </c>
      <c r="L205" s="96">
        <f t="shared" si="66"/>
        <v>0</v>
      </c>
      <c r="M205" s="96">
        <v>28</v>
      </c>
      <c r="N205" s="96">
        <v>0</v>
      </c>
      <c r="O205" s="96">
        <f t="shared" si="66"/>
        <v>0</v>
      </c>
      <c r="P205" s="117"/>
    </row>
    <row r="206" spans="2:16" outlineLevel="1" x14ac:dyDescent="0.2">
      <c r="B206" s="118"/>
      <c r="C206" s="132"/>
      <c r="D206" s="118"/>
      <c r="E206" s="118"/>
      <c r="F206" s="118"/>
      <c r="G206" s="118"/>
      <c r="H206" s="95" t="s">
        <v>4</v>
      </c>
      <c r="I206" s="94">
        <f t="shared" si="61"/>
        <v>0</v>
      </c>
      <c r="J206" s="96"/>
      <c r="K206" s="96"/>
      <c r="L206" s="96"/>
      <c r="M206" s="96"/>
      <c r="N206" s="96"/>
      <c r="O206" s="96"/>
      <c r="P206" s="118"/>
    </row>
    <row r="207" spans="2:16" outlineLevel="1" x14ac:dyDescent="0.2">
      <c r="B207" s="118"/>
      <c r="C207" s="132"/>
      <c r="D207" s="118"/>
      <c r="E207" s="118"/>
      <c r="F207" s="118"/>
      <c r="G207" s="118"/>
      <c r="H207" s="95" t="s">
        <v>6</v>
      </c>
      <c r="I207" s="94">
        <f t="shared" si="61"/>
        <v>28</v>
      </c>
      <c r="J207" s="96"/>
      <c r="K207" s="96"/>
      <c r="L207" s="96"/>
      <c r="M207" s="96">
        <v>28</v>
      </c>
      <c r="N207" s="96"/>
      <c r="O207" s="96"/>
      <c r="P207" s="118"/>
    </row>
    <row r="208" spans="2:16" outlineLevel="1" x14ac:dyDescent="0.2">
      <c r="B208" s="119"/>
      <c r="C208" s="133"/>
      <c r="D208" s="119"/>
      <c r="E208" s="119"/>
      <c r="F208" s="119"/>
      <c r="G208" s="119"/>
      <c r="H208" s="95" t="s">
        <v>5</v>
      </c>
      <c r="I208" s="94">
        <f t="shared" si="61"/>
        <v>0</v>
      </c>
      <c r="J208" s="96"/>
      <c r="K208" s="96"/>
      <c r="L208" s="96"/>
      <c r="M208" s="96"/>
      <c r="N208" s="96"/>
      <c r="O208" s="96"/>
      <c r="P208" s="119"/>
    </row>
    <row r="209" spans="2:16" ht="42.75" outlineLevel="1" x14ac:dyDescent="0.2">
      <c r="B209" s="117" t="s">
        <v>690</v>
      </c>
      <c r="C209" s="117"/>
      <c r="D209" s="117" t="s">
        <v>159</v>
      </c>
      <c r="E209" s="117" t="s">
        <v>73</v>
      </c>
      <c r="F209" s="117" t="s">
        <v>287</v>
      </c>
      <c r="G209" s="117" t="s">
        <v>101</v>
      </c>
      <c r="H209" s="95" t="s">
        <v>3</v>
      </c>
      <c r="I209" s="94">
        <f t="shared" si="61"/>
        <v>33.799999999999997</v>
      </c>
      <c r="J209" s="96">
        <f t="shared" ref="J209:O209" si="67">J210+J211+J212</f>
        <v>0</v>
      </c>
      <c r="K209" s="96">
        <v>9.8000000000000007</v>
      </c>
      <c r="L209" s="96">
        <v>12</v>
      </c>
      <c r="M209" s="96">
        <f t="shared" si="67"/>
        <v>0</v>
      </c>
      <c r="N209" s="96">
        <v>12</v>
      </c>
      <c r="O209" s="96">
        <f t="shared" si="67"/>
        <v>0</v>
      </c>
      <c r="P209" s="117"/>
    </row>
    <row r="210" spans="2:16" outlineLevel="1" x14ac:dyDescent="0.2">
      <c r="B210" s="118"/>
      <c r="C210" s="132"/>
      <c r="D210" s="118"/>
      <c r="E210" s="118"/>
      <c r="F210" s="118"/>
      <c r="G210" s="118"/>
      <c r="H210" s="95" t="s">
        <v>4</v>
      </c>
      <c r="I210" s="94">
        <f t="shared" si="61"/>
        <v>0</v>
      </c>
      <c r="J210" s="96"/>
      <c r="K210" s="96"/>
      <c r="L210" s="96"/>
      <c r="M210" s="96"/>
      <c r="N210" s="96"/>
      <c r="O210" s="96"/>
      <c r="P210" s="118"/>
    </row>
    <row r="211" spans="2:16" outlineLevel="1" x14ac:dyDescent="0.2">
      <c r="B211" s="118"/>
      <c r="C211" s="132"/>
      <c r="D211" s="118"/>
      <c r="E211" s="118"/>
      <c r="F211" s="118"/>
      <c r="G211" s="118"/>
      <c r="H211" s="95" t="s">
        <v>6</v>
      </c>
      <c r="I211" s="94">
        <f t="shared" si="61"/>
        <v>33.799999999999997</v>
      </c>
      <c r="J211" s="96"/>
      <c r="K211" s="96">
        <v>9.8000000000000007</v>
      </c>
      <c r="L211" s="96">
        <v>12</v>
      </c>
      <c r="M211" s="96"/>
      <c r="N211" s="96">
        <v>12</v>
      </c>
      <c r="O211" s="96"/>
      <c r="P211" s="118"/>
    </row>
    <row r="212" spans="2:16" outlineLevel="1" x14ac:dyDescent="0.2">
      <c r="B212" s="119"/>
      <c r="C212" s="133"/>
      <c r="D212" s="119"/>
      <c r="E212" s="119"/>
      <c r="F212" s="119"/>
      <c r="G212" s="119"/>
      <c r="H212" s="95" t="s">
        <v>5</v>
      </c>
      <c r="I212" s="94">
        <f t="shared" si="61"/>
        <v>0</v>
      </c>
      <c r="J212" s="96"/>
      <c r="K212" s="96"/>
      <c r="L212" s="96"/>
      <c r="M212" s="96"/>
      <c r="N212" s="96"/>
      <c r="O212" s="96"/>
      <c r="P212" s="119"/>
    </row>
    <row r="213" spans="2:16" ht="42.75" outlineLevel="1" x14ac:dyDescent="0.2">
      <c r="B213" s="117" t="s">
        <v>691</v>
      </c>
      <c r="C213" s="117"/>
      <c r="D213" s="117" t="s">
        <v>159</v>
      </c>
      <c r="E213" s="117" t="s">
        <v>171</v>
      </c>
      <c r="F213" s="117"/>
      <c r="G213" s="117" t="s">
        <v>138</v>
      </c>
      <c r="H213" s="95" t="s">
        <v>3</v>
      </c>
      <c r="I213" s="94">
        <f t="shared" si="61"/>
        <v>2</v>
      </c>
      <c r="J213" s="96"/>
      <c r="K213" s="96">
        <v>2</v>
      </c>
      <c r="L213" s="96"/>
      <c r="M213" s="96"/>
      <c r="N213" s="96"/>
      <c r="O213" s="96"/>
      <c r="P213" s="117"/>
    </row>
    <row r="214" spans="2:16" outlineLevel="1" x14ac:dyDescent="0.2">
      <c r="B214" s="118"/>
      <c r="C214" s="132"/>
      <c r="D214" s="118"/>
      <c r="E214" s="118"/>
      <c r="F214" s="118"/>
      <c r="G214" s="118"/>
      <c r="H214" s="95" t="s">
        <v>4</v>
      </c>
      <c r="I214" s="94">
        <f t="shared" si="61"/>
        <v>0</v>
      </c>
      <c r="J214" s="96"/>
      <c r="K214" s="96"/>
      <c r="L214" s="96"/>
      <c r="M214" s="96"/>
      <c r="N214" s="96"/>
      <c r="O214" s="96"/>
      <c r="P214" s="118"/>
    </row>
    <row r="215" spans="2:16" outlineLevel="1" x14ac:dyDescent="0.2">
      <c r="B215" s="118"/>
      <c r="C215" s="132"/>
      <c r="D215" s="118"/>
      <c r="E215" s="118"/>
      <c r="F215" s="118"/>
      <c r="G215" s="118"/>
      <c r="H215" s="95" t="s">
        <v>6</v>
      </c>
      <c r="I215" s="94">
        <f t="shared" si="61"/>
        <v>2</v>
      </c>
      <c r="J215" s="96"/>
      <c r="K215" s="96">
        <v>2</v>
      </c>
      <c r="L215" s="96"/>
      <c r="M215" s="96"/>
      <c r="N215" s="96"/>
      <c r="O215" s="96"/>
      <c r="P215" s="118"/>
    </row>
    <row r="216" spans="2:16" outlineLevel="1" x14ac:dyDescent="0.2">
      <c r="B216" s="119"/>
      <c r="C216" s="133"/>
      <c r="D216" s="119"/>
      <c r="E216" s="119"/>
      <c r="F216" s="119"/>
      <c r="G216" s="119"/>
      <c r="H216" s="95" t="s">
        <v>5</v>
      </c>
      <c r="I216" s="94">
        <f t="shared" si="61"/>
        <v>0</v>
      </c>
      <c r="J216" s="96"/>
      <c r="K216" s="96"/>
      <c r="L216" s="96"/>
      <c r="M216" s="96"/>
      <c r="N216" s="96"/>
      <c r="O216" s="96"/>
      <c r="P216" s="119"/>
    </row>
    <row r="217" spans="2:16" s="51" customFormat="1" ht="42.75" outlineLevel="1" x14ac:dyDescent="0.2">
      <c r="B217" s="114" t="s">
        <v>692</v>
      </c>
      <c r="C217" s="176"/>
      <c r="D217" s="114" t="s">
        <v>159</v>
      </c>
      <c r="E217" s="114" t="s">
        <v>171</v>
      </c>
      <c r="F217" s="114"/>
      <c r="G217" s="114"/>
      <c r="H217" s="50" t="s">
        <v>3</v>
      </c>
      <c r="I217" s="94">
        <f t="shared" si="61"/>
        <v>12</v>
      </c>
      <c r="J217" s="96"/>
      <c r="K217" s="96"/>
      <c r="L217" s="96"/>
      <c r="M217" s="96">
        <v>12</v>
      </c>
      <c r="N217" s="96"/>
      <c r="O217" s="96"/>
      <c r="P217" s="89"/>
    </row>
    <row r="218" spans="2:16" s="51" customFormat="1" outlineLevel="1" x14ac:dyDescent="0.2">
      <c r="B218" s="115"/>
      <c r="C218" s="137"/>
      <c r="D218" s="115"/>
      <c r="E218" s="115"/>
      <c r="F218" s="115"/>
      <c r="G218" s="115"/>
      <c r="H218" s="50" t="s">
        <v>4</v>
      </c>
      <c r="I218" s="94">
        <f t="shared" si="61"/>
        <v>0</v>
      </c>
      <c r="J218" s="96"/>
      <c r="K218" s="96"/>
      <c r="L218" s="96"/>
      <c r="M218" s="96"/>
      <c r="N218" s="96"/>
      <c r="O218" s="96"/>
      <c r="P218" s="89"/>
    </row>
    <row r="219" spans="2:16" s="51" customFormat="1" outlineLevel="1" x14ac:dyDescent="0.2">
      <c r="B219" s="115"/>
      <c r="C219" s="137"/>
      <c r="D219" s="115"/>
      <c r="E219" s="115"/>
      <c r="F219" s="115"/>
      <c r="G219" s="115"/>
      <c r="H219" s="50" t="s">
        <v>6</v>
      </c>
      <c r="I219" s="94">
        <f t="shared" si="61"/>
        <v>12</v>
      </c>
      <c r="J219" s="96"/>
      <c r="K219" s="96"/>
      <c r="L219" s="96"/>
      <c r="M219" s="96">
        <v>12</v>
      </c>
      <c r="N219" s="96"/>
      <c r="O219" s="96"/>
      <c r="P219" s="89"/>
    </row>
    <row r="220" spans="2:16" s="51" customFormat="1" outlineLevel="1" x14ac:dyDescent="0.2">
      <c r="B220" s="116"/>
      <c r="C220" s="138"/>
      <c r="D220" s="116"/>
      <c r="E220" s="116"/>
      <c r="F220" s="116"/>
      <c r="G220" s="116"/>
      <c r="H220" s="50" t="s">
        <v>5</v>
      </c>
      <c r="I220" s="94">
        <f t="shared" si="61"/>
        <v>0</v>
      </c>
      <c r="J220" s="96"/>
      <c r="K220" s="96"/>
      <c r="L220" s="96"/>
      <c r="M220" s="96"/>
      <c r="N220" s="96"/>
      <c r="O220" s="96"/>
      <c r="P220" s="89"/>
    </row>
    <row r="221" spans="2:16" s="51" customFormat="1" ht="42.75" outlineLevel="1" x14ac:dyDescent="0.2">
      <c r="B221" s="114" t="s">
        <v>693</v>
      </c>
      <c r="C221" s="176"/>
      <c r="D221" s="114" t="s">
        <v>159</v>
      </c>
      <c r="E221" s="114" t="s">
        <v>171</v>
      </c>
      <c r="F221" s="114"/>
      <c r="G221" s="114" t="s">
        <v>138</v>
      </c>
      <c r="H221" s="50" t="s">
        <v>3</v>
      </c>
      <c r="I221" s="94">
        <f t="shared" si="61"/>
        <v>60</v>
      </c>
      <c r="J221" s="96"/>
      <c r="K221" s="96"/>
      <c r="L221" s="96"/>
      <c r="M221" s="96"/>
      <c r="N221" s="96"/>
      <c r="O221" s="96">
        <v>60</v>
      </c>
      <c r="P221" s="89"/>
    </row>
    <row r="222" spans="2:16" s="51" customFormat="1" outlineLevel="1" x14ac:dyDescent="0.2">
      <c r="B222" s="115"/>
      <c r="C222" s="137"/>
      <c r="D222" s="115"/>
      <c r="E222" s="115"/>
      <c r="F222" s="115"/>
      <c r="G222" s="115"/>
      <c r="H222" s="50" t="s">
        <v>4</v>
      </c>
      <c r="I222" s="94">
        <f t="shared" si="61"/>
        <v>0</v>
      </c>
      <c r="J222" s="96"/>
      <c r="K222" s="96"/>
      <c r="L222" s="96"/>
      <c r="M222" s="96"/>
      <c r="N222" s="96"/>
      <c r="O222" s="96"/>
      <c r="P222" s="89"/>
    </row>
    <row r="223" spans="2:16" s="51" customFormat="1" outlineLevel="1" x14ac:dyDescent="0.2">
      <c r="B223" s="115"/>
      <c r="C223" s="137"/>
      <c r="D223" s="115"/>
      <c r="E223" s="115"/>
      <c r="F223" s="115"/>
      <c r="G223" s="115"/>
      <c r="H223" s="50" t="s">
        <v>6</v>
      </c>
      <c r="I223" s="94">
        <f t="shared" si="61"/>
        <v>60</v>
      </c>
      <c r="J223" s="96"/>
      <c r="K223" s="96"/>
      <c r="L223" s="96"/>
      <c r="M223" s="96"/>
      <c r="N223" s="96"/>
      <c r="O223" s="96">
        <v>60</v>
      </c>
      <c r="P223" s="89"/>
    </row>
    <row r="224" spans="2:16" s="51" customFormat="1" outlineLevel="1" x14ac:dyDescent="0.2">
      <c r="B224" s="116"/>
      <c r="C224" s="138"/>
      <c r="D224" s="116"/>
      <c r="E224" s="116"/>
      <c r="F224" s="116"/>
      <c r="G224" s="116"/>
      <c r="H224" s="50" t="s">
        <v>5</v>
      </c>
      <c r="I224" s="94">
        <f t="shared" si="61"/>
        <v>0</v>
      </c>
      <c r="J224" s="96"/>
      <c r="K224" s="96"/>
      <c r="L224" s="96"/>
      <c r="M224" s="96"/>
      <c r="N224" s="96"/>
      <c r="O224" s="96"/>
      <c r="P224" s="89"/>
    </row>
    <row r="225" spans="2:18" s="51" customFormat="1" ht="42.75" outlineLevel="1" x14ac:dyDescent="0.2">
      <c r="B225" s="114" t="s">
        <v>694</v>
      </c>
      <c r="C225" s="176"/>
      <c r="D225" s="114" t="s">
        <v>159</v>
      </c>
      <c r="E225" s="114">
        <v>2023</v>
      </c>
      <c r="F225" s="114"/>
      <c r="G225" s="114"/>
      <c r="H225" s="50" t="s">
        <v>3</v>
      </c>
      <c r="I225" s="94">
        <f t="shared" si="61"/>
        <v>2</v>
      </c>
      <c r="J225" s="96"/>
      <c r="K225" s="96"/>
      <c r="L225" s="96"/>
      <c r="M225" s="96">
        <v>2</v>
      </c>
      <c r="N225" s="96"/>
      <c r="O225" s="96"/>
      <c r="P225" s="89"/>
    </row>
    <row r="226" spans="2:18" s="51" customFormat="1" outlineLevel="1" x14ac:dyDescent="0.2">
      <c r="B226" s="115"/>
      <c r="C226" s="137"/>
      <c r="D226" s="115"/>
      <c r="E226" s="115"/>
      <c r="F226" s="115"/>
      <c r="G226" s="115"/>
      <c r="H226" s="50" t="s">
        <v>4</v>
      </c>
      <c r="I226" s="94">
        <f t="shared" si="61"/>
        <v>0</v>
      </c>
      <c r="J226" s="96"/>
      <c r="K226" s="96"/>
      <c r="L226" s="96"/>
      <c r="M226" s="96"/>
      <c r="N226" s="96"/>
      <c r="O226" s="96"/>
      <c r="P226" s="89"/>
    </row>
    <row r="227" spans="2:18" s="51" customFormat="1" outlineLevel="1" x14ac:dyDescent="0.2">
      <c r="B227" s="115"/>
      <c r="C227" s="137"/>
      <c r="D227" s="115"/>
      <c r="E227" s="115"/>
      <c r="F227" s="115"/>
      <c r="G227" s="115"/>
      <c r="H227" s="50" t="s">
        <v>6</v>
      </c>
      <c r="I227" s="94">
        <f t="shared" si="61"/>
        <v>2</v>
      </c>
      <c r="J227" s="96"/>
      <c r="K227" s="96"/>
      <c r="L227" s="96"/>
      <c r="M227" s="96">
        <v>2</v>
      </c>
      <c r="N227" s="96"/>
      <c r="O227" s="96"/>
      <c r="P227" s="89"/>
    </row>
    <row r="228" spans="2:18" s="51" customFormat="1" outlineLevel="1" x14ac:dyDescent="0.2">
      <c r="B228" s="116"/>
      <c r="C228" s="138"/>
      <c r="D228" s="116"/>
      <c r="E228" s="116"/>
      <c r="F228" s="116"/>
      <c r="G228" s="116"/>
      <c r="H228" s="50" t="s">
        <v>5</v>
      </c>
      <c r="I228" s="94">
        <f t="shared" si="61"/>
        <v>0</v>
      </c>
      <c r="J228" s="96"/>
      <c r="K228" s="96"/>
      <c r="L228" s="96"/>
      <c r="M228" s="96"/>
      <c r="N228" s="96"/>
      <c r="O228" s="96"/>
      <c r="P228" s="89"/>
    </row>
    <row r="229" spans="2:18" ht="42.75" x14ac:dyDescent="0.2">
      <c r="B229" s="128" t="s">
        <v>173</v>
      </c>
      <c r="C229" s="128" t="s">
        <v>38</v>
      </c>
      <c r="D229" s="128" t="s">
        <v>38</v>
      </c>
      <c r="E229" s="128" t="s">
        <v>38</v>
      </c>
      <c r="F229" s="128" t="s">
        <v>38</v>
      </c>
      <c r="G229" s="128" t="s">
        <v>38</v>
      </c>
      <c r="H229" s="95" t="s">
        <v>3</v>
      </c>
      <c r="I229" s="14">
        <f t="shared" ref="I229:O229" si="68">SUMIF($H$185:$H$228,"Объем*",I$185:I$228)</f>
        <v>320</v>
      </c>
      <c r="J229" s="14">
        <f t="shared" si="68"/>
        <v>0</v>
      </c>
      <c r="K229" s="14">
        <f t="shared" si="68"/>
        <v>11.8</v>
      </c>
      <c r="L229" s="14">
        <f t="shared" si="68"/>
        <v>117.5</v>
      </c>
      <c r="M229" s="14">
        <f t="shared" si="68"/>
        <v>74.3</v>
      </c>
      <c r="N229" s="14">
        <f t="shared" si="68"/>
        <v>56.4</v>
      </c>
      <c r="O229" s="14">
        <f t="shared" si="68"/>
        <v>60</v>
      </c>
      <c r="P229" s="128"/>
      <c r="Q229" s="7"/>
      <c r="R229" s="7"/>
    </row>
    <row r="230" spans="2:18" ht="15.75" x14ac:dyDescent="0.2">
      <c r="B230" s="129"/>
      <c r="C230" s="129"/>
      <c r="D230" s="129"/>
      <c r="E230" s="129"/>
      <c r="F230" s="129"/>
      <c r="G230" s="129"/>
      <c r="H230" s="95" t="s">
        <v>4</v>
      </c>
      <c r="I230" s="14">
        <f t="shared" ref="I230:O230" si="69">SUMIF($H$185:$H$228,"фед*",I$185:I$228)</f>
        <v>122.1</v>
      </c>
      <c r="J230" s="14">
        <f t="shared" si="69"/>
        <v>0</v>
      </c>
      <c r="K230" s="14">
        <f t="shared" si="69"/>
        <v>0</v>
      </c>
      <c r="L230" s="14">
        <f t="shared" si="69"/>
        <v>46.1</v>
      </c>
      <c r="M230" s="14">
        <f t="shared" si="69"/>
        <v>32</v>
      </c>
      <c r="N230" s="14">
        <f t="shared" si="69"/>
        <v>44</v>
      </c>
      <c r="O230" s="14">
        <f t="shared" si="69"/>
        <v>0</v>
      </c>
      <c r="P230" s="129"/>
      <c r="Q230" s="7"/>
    </row>
    <row r="231" spans="2:18" ht="15.75" x14ac:dyDescent="0.2">
      <c r="B231" s="129"/>
      <c r="C231" s="129"/>
      <c r="D231" s="129"/>
      <c r="E231" s="129"/>
      <c r="F231" s="129"/>
      <c r="G231" s="129"/>
      <c r="H231" s="95" t="s">
        <v>6</v>
      </c>
      <c r="I231" s="14">
        <f t="shared" ref="I231:O231" si="70">SUMIF($H$185:$H$228,"конс*",I$185:I$228)</f>
        <v>197.89999999999998</v>
      </c>
      <c r="J231" s="14">
        <f t="shared" si="70"/>
        <v>0</v>
      </c>
      <c r="K231" s="14">
        <f t="shared" si="70"/>
        <v>11.8</v>
      </c>
      <c r="L231" s="14">
        <f t="shared" si="70"/>
        <v>71.400000000000006</v>
      </c>
      <c r="M231" s="14">
        <f t="shared" si="70"/>
        <v>42.3</v>
      </c>
      <c r="N231" s="14">
        <f t="shared" si="70"/>
        <v>12.4</v>
      </c>
      <c r="O231" s="14">
        <f t="shared" si="70"/>
        <v>60</v>
      </c>
      <c r="P231" s="129"/>
      <c r="Q231" s="7"/>
    </row>
    <row r="232" spans="2:18" ht="15.75" x14ac:dyDescent="0.2">
      <c r="B232" s="130"/>
      <c r="C232" s="130"/>
      <c r="D232" s="130"/>
      <c r="E232" s="130"/>
      <c r="F232" s="130"/>
      <c r="G232" s="130"/>
      <c r="H232" s="95" t="s">
        <v>5</v>
      </c>
      <c r="I232" s="14">
        <f t="shared" ref="I232:O232" si="71">SUMIF($H$185:$H$228,"вне*",I$185:I$228)</f>
        <v>0</v>
      </c>
      <c r="J232" s="14">
        <f t="shared" si="71"/>
        <v>0</v>
      </c>
      <c r="K232" s="14">
        <f t="shared" si="71"/>
        <v>0</v>
      </c>
      <c r="L232" s="14">
        <f t="shared" si="71"/>
        <v>0</v>
      </c>
      <c r="M232" s="14">
        <f t="shared" si="71"/>
        <v>0</v>
      </c>
      <c r="N232" s="14">
        <f t="shared" si="71"/>
        <v>0</v>
      </c>
      <c r="O232" s="14">
        <f t="shared" si="71"/>
        <v>0</v>
      </c>
      <c r="P232" s="130"/>
      <c r="Q232" s="7"/>
    </row>
    <row r="233" spans="2:18" ht="25.5" customHeight="1" x14ac:dyDescent="0.2">
      <c r="B233" s="111" t="s">
        <v>174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3"/>
    </row>
    <row r="234" spans="2:18" ht="42.75" outlineLevel="1" x14ac:dyDescent="0.2">
      <c r="B234" s="117" t="s">
        <v>695</v>
      </c>
      <c r="C234" s="117" t="s">
        <v>628</v>
      </c>
      <c r="D234" s="117" t="s">
        <v>174</v>
      </c>
      <c r="E234" s="117">
        <v>2023</v>
      </c>
      <c r="F234" s="117" t="s">
        <v>629</v>
      </c>
      <c r="G234" s="117" t="s">
        <v>138</v>
      </c>
      <c r="H234" s="95" t="s">
        <v>3</v>
      </c>
      <c r="I234" s="94">
        <f>SUM(J234:O234)</f>
        <v>58.3</v>
      </c>
      <c r="J234" s="94">
        <f t="shared" ref="J234:O234" si="72">J235+J236+J237</f>
        <v>0</v>
      </c>
      <c r="K234" s="94">
        <f t="shared" si="72"/>
        <v>0</v>
      </c>
      <c r="L234" s="94">
        <f t="shared" si="72"/>
        <v>0</v>
      </c>
      <c r="M234" s="94">
        <f t="shared" si="72"/>
        <v>58.3</v>
      </c>
      <c r="N234" s="94">
        <f t="shared" si="72"/>
        <v>0</v>
      </c>
      <c r="O234" s="94">
        <f t="shared" si="72"/>
        <v>0</v>
      </c>
      <c r="P234" s="117"/>
    </row>
    <row r="235" spans="2:18" outlineLevel="1" x14ac:dyDescent="0.2">
      <c r="B235" s="118"/>
      <c r="C235" s="132"/>
      <c r="D235" s="118"/>
      <c r="E235" s="118"/>
      <c r="F235" s="118"/>
      <c r="G235" s="118"/>
      <c r="H235" s="95" t="s">
        <v>4</v>
      </c>
      <c r="I235" s="94">
        <f t="shared" ref="I235:I245" si="73">SUM(J235:O235)</f>
        <v>57.8</v>
      </c>
      <c r="J235" s="94"/>
      <c r="K235" s="94"/>
      <c r="L235" s="94"/>
      <c r="M235" s="94">
        <v>57.8</v>
      </c>
      <c r="N235" s="94"/>
      <c r="O235" s="94"/>
      <c r="P235" s="118"/>
    </row>
    <row r="236" spans="2:18" outlineLevel="1" x14ac:dyDescent="0.2">
      <c r="B236" s="118"/>
      <c r="C236" s="132"/>
      <c r="D236" s="118"/>
      <c r="E236" s="118"/>
      <c r="F236" s="118"/>
      <c r="G236" s="118"/>
      <c r="H236" s="95" t="s">
        <v>6</v>
      </c>
      <c r="I236" s="94">
        <f t="shared" si="73"/>
        <v>0.5</v>
      </c>
      <c r="J236" s="94"/>
      <c r="K236" s="94"/>
      <c r="L236" s="94"/>
      <c r="M236" s="94">
        <v>0.5</v>
      </c>
      <c r="N236" s="94"/>
      <c r="O236" s="94"/>
      <c r="P236" s="118"/>
    </row>
    <row r="237" spans="2:18" outlineLevel="1" x14ac:dyDescent="0.2">
      <c r="B237" s="119"/>
      <c r="C237" s="133"/>
      <c r="D237" s="119"/>
      <c r="E237" s="119"/>
      <c r="F237" s="119"/>
      <c r="G237" s="119"/>
      <c r="H237" s="95" t="s">
        <v>5</v>
      </c>
      <c r="I237" s="94">
        <f t="shared" si="73"/>
        <v>0</v>
      </c>
      <c r="J237" s="94"/>
      <c r="K237" s="94"/>
      <c r="L237" s="94"/>
      <c r="M237" s="94"/>
      <c r="N237" s="94"/>
      <c r="O237" s="94"/>
      <c r="P237" s="119"/>
    </row>
    <row r="238" spans="2:18" ht="42.75" outlineLevel="1" x14ac:dyDescent="0.2">
      <c r="B238" s="117" t="s">
        <v>696</v>
      </c>
      <c r="C238" s="117" t="s">
        <v>628</v>
      </c>
      <c r="D238" s="117" t="s">
        <v>174</v>
      </c>
      <c r="E238" s="117">
        <v>2024</v>
      </c>
      <c r="F238" s="117" t="s">
        <v>629</v>
      </c>
      <c r="G238" s="117" t="s">
        <v>138</v>
      </c>
      <c r="H238" s="95" t="s">
        <v>3</v>
      </c>
      <c r="I238" s="94">
        <f t="shared" si="73"/>
        <v>29.6</v>
      </c>
      <c r="J238" s="94">
        <f t="shared" ref="J238:O238" si="74">J239+J240+J241</f>
        <v>0</v>
      </c>
      <c r="K238" s="94">
        <f t="shared" si="74"/>
        <v>0</v>
      </c>
      <c r="L238" s="94">
        <f t="shared" si="74"/>
        <v>0</v>
      </c>
      <c r="M238" s="94">
        <f t="shared" si="74"/>
        <v>0</v>
      </c>
      <c r="N238" s="94">
        <f t="shared" si="74"/>
        <v>29.6</v>
      </c>
      <c r="O238" s="94">
        <f t="shared" si="74"/>
        <v>0</v>
      </c>
      <c r="P238" s="117"/>
    </row>
    <row r="239" spans="2:18" outlineLevel="1" x14ac:dyDescent="0.2">
      <c r="B239" s="118"/>
      <c r="C239" s="132"/>
      <c r="D239" s="118"/>
      <c r="E239" s="118"/>
      <c r="F239" s="118"/>
      <c r="G239" s="118"/>
      <c r="H239" s="95" t="s">
        <v>4</v>
      </c>
      <c r="I239" s="94">
        <f t="shared" si="73"/>
        <v>29.3</v>
      </c>
      <c r="J239" s="94"/>
      <c r="K239" s="94"/>
      <c r="L239" s="94"/>
      <c r="M239" s="94"/>
      <c r="N239" s="94">
        <v>29.3</v>
      </c>
      <c r="O239" s="94"/>
      <c r="P239" s="118"/>
    </row>
    <row r="240" spans="2:18" outlineLevel="1" x14ac:dyDescent="0.2">
      <c r="B240" s="118"/>
      <c r="C240" s="132"/>
      <c r="D240" s="118"/>
      <c r="E240" s="118"/>
      <c r="F240" s="118"/>
      <c r="G240" s="118"/>
      <c r="H240" s="95" t="s">
        <v>6</v>
      </c>
      <c r="I240" s="94">
        <f t="shared" si="73"/>
        <v>0.3</v>
      </c>
      <c r="J240" s="94"/>
      <c r="K240" s="94"/>
      <c r="L240" s="94"/>
      <c r="M240" s="94"/>
      <c r="N240" s="94">
        <v>0.3</v>
      </c>
      <c r="O240" s="94"/>
      <c r="P240" s="118"/>
    </row>
    <row r="241" spans="2:18" outlineLevel="1" x14ac:dyDescent="0.2">
      <c r="B241" s="119"/>
      <c r="C241" s="133"/>
      <c r="D241" s="119"/>
      <c r="E241" s="119"/>
      <c r="F241" s="119"/>
      <c r="G241" s="119"/>
      <c r="H241" s="95" t="s">
        <v>5</v>
      </c>
      <c r="I241" s="94">
        <f t="shared" si="73"/>
        <v>0</v>
      </c>
      <c r="J241" s="94"/>
      <c r="K241" s="94"/>
      <c r="L241" s="94"/>
      <c r="M241" s="94"/>
      <c r="N241" s="94"/>
      <c r="O241" s="94"/>
      <c r="P241" s="119"/>
    </row>
    <row r="242" spans="2:18" ht="42.75" outlineLevel="1" x14ac:dyDescent="0.2">
      <c r="B242" s="117" t="s">
        <v>697</v>
      </c>
      <c r="C242" s="117"/>
      <c r="D242" s="117" t="s">
        <v>174</v>
      </c>
      <c r="E242" s="117" t="s">
        <v>698</v>
      </c>
      <c r="F242" s="117">
        <v>0.6</v>
      </c>
      <c r="G242" s="117" t="s">
        <v>63</v>
      </c>
      <c r="H242" s="95" t="s">
        <v>3</v>
      </c>
      <c r="I242" s="94">
        <f t="shared" si="73"/>
        <v>10</v>
      </c>
      <c r="J242" s="94">
        <f t="shared" ref="J242:O242" si="75">J243+J244+J245</f>
        <v>2.5</v>
      </c>
      <c r="K242" s="94">
        <f t="shared" si="75"/>
        <v>2.5</v>
      </c>
      <c r="L242" s="94">
        <f t="shared" si="75"/>
        <v>2.5</v>
      </c>
      <c r="M242" s="94">
        <f t="shared" si="75"/>
        <v>0</v>
      </c>
      <c r="N242" s="94">
        <f t="shared" si="75"/>
        <v>0</v>
      </c>
      <c r="O242" s="94">
        <f t="shared" si="75"/>
        <v>2.5</v>
      </c>
      <c r="P242" s="117">
        <v>980</v>
      </c>
    </row>
    <row r="243" spans="2:18" outlineLevel="1" x14ac:dyDescent="0.2">
      <c r="B243" s="118"/>
      <c r="C243" s="132"/>
      <c r="D243" s="118"/>
      <c r="E243" s="118"/>
      <c r="F243" s="118"/>
      <c r="G243" s="118"/>
      <c r="H243" s="95" t="s">
        <v>4</v>
      </c>
      <c r="I243" s="94">
        <f t="shared" si="73"/>
        <v>0</v>
      </c>
      <c r="J243" s="94"/>
      <c r="K243" s="94"/>
      <c r="L243" s="94"/>
      <c r="M243" s="94"/>
      <c r="N243" s="94"/>
      <c r="O243" s="94"/>
      <c r="P243" s="118"/>
    </row>
    <row r="244" spans="2:18" outlineLevel="1" x14ac:dyDescent="0.2">
      <c r="B244" s="118"/>
      <c r="C244" s="132"/>
      <c r="D244" s="118"/>
      <c r="E244" s="118"/>
      <c r="F244" s="118"/>
      <c r="G244" s="118"/>
      <c r="H244" s="95" t="s">
        <v>6</v>
      </c>
      <c r="I244" s="94">
        <f t="shared" si="73"/>
        <v>10</v>
      </c>
      <c r="J244" s="94">
        <v>2.5</v>
      </c>
      <c r="K244" s="94">
        <v>2.5</v>
      </c>
      <c r="L244" s="94">
        <v>2.5</v>
      </c>
      <c r="M244" s="94"/>
      <c r="N244" s="94"/>
      <c r="O244" s="94">
        <v>2.5</v>
      </c>
      <c r="P244" s="118"/>
    </row>
    <row r="245" spans="2:18" outlineLevel="1" x14ac:dyDescent="0.2">
      <c r="B245" s="119"/>
      <c r="C245" s="133"/>
      <c r="D245" s="119"/>
      <c r="E245" s="119"/>
      <c r="F245" s="119"/>
      <c r="G245" s="119"/>
      <c r="H245" s="95" t="s">
        <v>5</v>
      </c>
      <c r="I245" s="94">
        <f t="shared" si="73"/>
        <v>0</v>
      </c>
      <c r="J245" s="94"/>
      <c r="K245" s="94"/>
      <c r="L245" s="94"/>
      <c r="M245" s="94"/>
      <c r="N245" s="94"/>
      <c r="O245" s="94"/>
      <c r="P245" s="119"/>
    </row>
    <row r="246" spans="2:18" ht="42.75" x14ac:dyDescent="0.2">
      <c r="B246" s="128" t="s">
        <v>197</v>
      </c>
      <c r="C246" s="128" t="s">
        <v>38</v>
      </c>
      <c r="D246" s="128" t="s">
        <v>38</v>
      </c>
      <c r="E246" s="128" t="s">
        <v>38</v>
      </c>
      <c r="F246" s="128" t="s">
        <v>38</v>
      </c>
      <c r="G246" s="128" t="s">
        <v>38</v>
      </c>
      <c r="H246" s="95" t="s">
        <v>3</v>
      </c>
      <c r="I246" s="14">
        <f>SUMIF($H$234:$H$245,"Объем*",I$234:I$245)</f>
        <v>97.9</v>
      </c>
      <c r="J246" s="14">
        <f t="shared" ref="J246:O246" si="76">SUMIF($H$234:$H$245,"Объем*",J$234:J$245)</f>
        <v>2.5</v>
      </c>
      <c r="K246" s="14">
        <f t="shared" si="76"/>
        <v>2.5</v>
      </c>
      <c r="L246" s="14">
        <f t="shared" si="76"/>
        <v>2.5</v>
      </c>
      <c r="M246" s="14">
        <f t="shared" si="76"/>
        <v>58.3</v>
      </c>
      <c r="N246" s="14">
        <f t="shared" si="76"/>
        <v>29.6</v>
      </c>
      <c r="O246" s="14">
        <f t="shared" si="76"/>
        <v>2.5</v>
      </c>
      <c r="P246" s="128"/>
      <c r="Q246" s="7"/>
      <c r="R246" s="7"/>
    </row>
    <row r="247" spans="2:18" ht="15.75" x14ac:dyDescent="0.2">
      <c r="B247" s="129"/>
      <c r="C247" s="129"/>
      <c r="D247" s="129"/>
      <c r="E247" s="129"/>
      <c r="F247" s="129"/>
      <c r="G247" s="129"/>
      <c r="H247" s="95" t="s">
        <v>4</v>
      </c>
      <c r="I247" s="14">
        <f>SUMIF($H$234:$H$245,"фед*",I$234:I$245)</f>
        <v>87.1</v>
      </c>
      <c r="J247" s="14">
        <f t="shared" ref="J247:O247" si="77">SUMIF($H$234:$H$245,"фед*",J$234:J$245)</f>
        <v>0</v>
      </c>
      <c r="K247" s="14">
        <f t="shared" si="77"/>
        <v>0</v>
      </c>
      <c r="L247" s="14">
        <f t="shared" si="77"/>
        <v>0</v>
      </c>
      <c r="M247" s="14">
        <f t="shared" si="77"/>
        <v>57.8</v>
      </c>
      <c r="N247" s="14">
        <f t="shared" si="77"/>
        <v>29.3</v>
      </c>
      <c r="O247" s="14">
        <f t="shared" si="77"/>
        <v>0</v>
      </c>
      <c r="P247" s="129"/>
      <c r="Q247" s="7"/>
    </row>
    <row r="248" spans="2:18" ht="15.75" x14ac:dyDescent="0.2">
      <c r="B248" s="129"/>
      <c r="C248" s="129"/>
      <c r="D248" s="129"/>
      <c r="E248" s="129"/>
      <c r="F248" s="129"/>
      <c r="G248" s="129"/>
      <c r="H248" s="95" t="s">
        <v>6</v>
      </c>
      <c r="I248" s="14">
        <f>SUMIF($H$234:$H$245,"конс*",I$234:I$245)</f>
        <v>10.8</v>
      </c>
      <c r="J248" s="14">
        <f t="shared" ref="J248:O248" si="78">SUMIF($H$234:$H$245,"конс*",J$234:J$245)</f>
        <v>2.5</v>
      </c>
      <c r="K248" s="14">
        <f t="shared" si="78"/>
        <v>2.5</v>
      </c>
      <c r="L248" s="14">
        <f t="shared" si="78"/>
        <v>2.5</v>
      </c>
      <c r="M248" s="14">
        <f t="shared" si="78"/>
        <v>0.5</v>
      </c>
      <c r="N248" s="14">
        <f t="shared" si="78"/>
        <v>0.3</v>
      </c>
      <c r="O248" s="14">
        <f t="shared" si="78"/>
        <v>2.5</v>
      </c>
      <c r="P248" s="129"/>
      <c r="Q248" s="7"/>
    </row>
    <row r="249" spans="2:18" ht="15.75" x14ac:dyDescent="0.2">
      <c r="B249" s="130"/>
      <c r="C249" s="130"/>
      <c r="D249" s="130"/>
      <c r="E249" s="130"/>
      <c r="F249" s="130"/>
      <c r="G249" s="130"/>
      <c r="H249" s="95" t="s">
        <v>5</v>
      </c>
      <c r="I249" s="14">
        <f>SUMIF($H$234:$H$245,"вне*",I$234:I$245)</f>
        <v>0</v>
      </c>
      <c r="J249" s="14">
        <f t="shared" ref="J249:O249" si="79">SUMIF($H$234:$H$245,"вне*",J$234:J$245)</f>
        <v>0</v>
      </c>
      <c r="K249" s="14">
        <f t="shared" si="79"/>
        <v>0</v>
      </c>
      <c r="L249" s="14">
        <f t="shared" si="79"/>
        <v>0</v>
      </c>
      <c r="M249" s="14">
        <f t="shared" si="79"/>
        <v>0</v>
      </c>
      <c r="N249" s="14">
        <f t="shared" si="79"/>
        <v>0</v>
      </c>
      <c r="O249" s="14">
        <f t="shared" si="79"/>
        <v>0</v>
      </c>
      <c r="P249" s="130"/>
      <c r="Q249" s="7"/>
    </row>
    <row r="250" spans="2:18" ht="25.5" customHeight="1" x14ac:dyDescent="0.2">
      <c r="B250" s="111" t="s">
        <v>39</v>
      </c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3"/>
    </row>
    <row r="251" spans="2:18" ht="42.75" customHeight="1" outlineLevel="1" x14ac:dyDescent="0.2">
      <c r="B251" s="117" t="s">
        <v>699</v>
      </c>
      <c r="C251" s="117" t="s">
        <v>628</v>
      </c>
      <c r="D251" s="117" t="s">
        <v>39</v>
      </c>
      <c r="E251" s="117">
        <v>2023</v>
      </c>
      <c r="F251" s="117" t="s">
        <v>629</v>
      </c>
      <c r="G251" s="117" t="s">
        <v>138</v>
      </c>
      <c r="H251" s="95" t="s">
        <v>3</v>
      </c>
      <c r="I251" s="94">
        <f>SUM(J251:O251)</f>
        <v>65.599999999999994</v>
      </c>
      <c r="J251" s="94">
        <f t="shared" ref="J251:O251" si="80">J252+J253+J254</f>
        <v>0</v>
      </c>
      <c r="K251" s="94">
        <f t="shared" si="80"/>
        <v>0</v>
      </c>
      <c r="L251" s="94">
        <f t="shared" si="80"/>
        <v>0</v>
      </c>
      <c r="M251" s="94">
        <f t="shared" si="80"/>
        <v>65.599999999999994</v>
      </c>
      <c r="N251" s="94">
        <f t="shared" si="80"/>
        <v>0</v>
      </c>
      <c r="O251" s="94">
        <f t="shared" si="80"/>
        <v>0</v>
      </c>
      <c r="P251" s="117"/>
    </row>
    <row r="252" spans="2:18" outlineLevel="1" x14ac:dyDescent="0.2">
      <c r="B252" s="118"/>
      <c r="C252" s="132"/>
      <c r="D252" s="118"/>
      <c r="E252" s="118"/>
      <c r="F252" s="118"/>
      <c r="G252" s="118"/>
      <c r="H252" s="95" t="s">
        <v>4</v>
      </c>
      <c r="I252" s="94">
        <f t="shared" ref="I252:I266" si="81">SUM(J252:O252)</f>
        <v>65</v>
      </c>
      <c r="J252" s="94"/>
      <c r="K252" s="94"/>
      <c r="L252" s="94"/>
      <c r="M252" s="94">
        <v>65</v>
      </c>
      <c r="N252" s="94"/>
      <c r="O252" s="94"/>
      <c r="P252" s="118"/>
    </row>
    <row r="253" spans="2:18" outlineLevel="1" x14ac:dyDescent="0.2">
      <c r="B253" s="118"/>
      <c r="C253" s="132"/>
      <c r="D253" s="118"/>
      <c r="E253" s="118"/>
      <c r="F253" s="118"/>
      <c r="G253" s="118"/>
      <c r="H253" s="95" t="s">
        <v>6</v>
      </c>
      <c r="I253" s="94">
        <f t="shared" si="81"/>
        <v>0.6</v>
      </c>
      <c r="J253" s="94"/>
      <c r="K253" s="94"/>
      <c r="L253" s="94"/>
      <c r="M253" s="94">
        <v>0.6</v>
      </c>
      <c r="N253" s="94"/>
      <c r="O253" s="94"/>
      <c r="P253" s="118"/>
    </row>
    <row r="254" spans="2:18" outlineLevel="1" x14ac:dyDescent="0.2">
      <c r="B254" s="119"/>
      <c r="C254" s="133"/>
      <c r="D254" s="119"/>
      <c r="E254" s="119"/>
      <c r="F254" s="119"/>
      <c r="G254" s="119"/>
      <c r="H254" s="95" t="s">
        <v>5</v>
      </c>
      <c r="I254" s="94">
        <f t="shared" si="81"/>
        <v>0</v>
      </c>
      <c r="J254" s="94"/>
      <c r="K254" s="94"/>
      <c r="L254" s="94"/>
      <c r="M254" s="94"/>
      <c r="N254" s="94"/>
      <c r="O254" s="94"/>
      <c r="P254" s="119"/>
    </row>
    <row r="255" spans="2:18" ht="42.75" customHeight="1" outlineLevel="1" x14ac:dyDescent="0.2">
      <c r="B255" s="117" t="s">
        <v>700</v>
      </c>
      <c r="C255" s="117" t="s">
        <v>628</v>
      </c>
      <c r="D255" s="117" t="s">
        <v>39</v>
      </c>
      <c r="E255" s="117">
        <v>2023</v>
      </c>
      <c r="F255" s="117" t="s">
        <v>629</v>
      </c>
      <c r="G255" s="117" t="s">
        <v>138</v>
      </c>
      <c r="H255" s="95" t="s">
        <v>3</v>
      </c>
      <c r="I255" s="94">
        <f t="shared" si="81"/>
        <v>109.2</v>
      </c>
      <c r="J255" s="94">
        <f t="shared" ref="J255:O255" si="82">J256+J257+J258</f>
        <v>0</v>
      </c>
      <c r="K255" s="94">
        <f t="shared" si="82"/>
        <v>0</v>
      </c>
      <c r="L255" s="94">
        <f t="shared" si="82"/>
        <v>0</v>
      </c>
      <c r="M255" s="94">
        <f t="shared" si="82"/>
        <v>109.2</v>
      </c>
      <c r="N255" s="94">
        <f t="shared" si="82"/>
        <v>0</v>
      </c>
      <c r="O255" s="94">
        <f t="shared" si="82"/>
        <v>0</v>
      </c>
      <c r="P255" s="117"/>
    </row>
    <row r="256" spans="2:18" outlineLevel="1" x14ac:dyDescent="0.2">
      <c r="B256" s="118"/>
      <c r="C256" s="132"/>
      <c r="D256" s="118"/>
      <c r="E256" s="118"/>
      <c r="F256" s="118"/>
      <c r="G256" s="118"/>
      <c r="H256" s="95" t="s">
        <v>4</v>
      </c>
      <c r="I256" s="94">
        <f t="shared" si="81"/>
        <v>11</v>
      </c>
      <c r="J256" s="94"/>
      <c r="K256" s="94"/>
      <c r="L256" s="94"/>
      <c r="M256" s="94">
        <v>11</v>
      </c>
      <c r="N256" s="94"/>
      <c r="O256" s="94"/>
      <c r="P256" s="118"/>
    </row>
    <row r="257" spans="2:18" outlineLevel="1" x14ac:dyDescent="0.2">
      <c r="B257" s="118"/>
      <c r="C257" s="132"/>
      <c r="D257" s="118"/>
      <c r="E257" s="118"/>
      <c r="F257" s="118"/>
      <c r="G257" s="118"/>
      <c r="H257" s="95" t="s">
        <v>6</v>
      </c>
      <c r="I257" s="94">
        <f t="shared" si="81"/>
        <v>98.2</v>
      </c>
      <c r="J257" s="94"/>
      <c r="K257" s="94"/>
      <c r="L257" s="94"/>
      <c r="M257" s="94">
        <v>98.2</v>
      </c>
      <c r="N257" s="94"/>
      <c r="O257" s="94"/>
      <c r="P257" s="118"/>
    </row>
    <row r="258" spans="2:18" outlineLevel="1" x14ac:dyDescent="0.2">
      <c r="B258" s="119"/>
      <c r="C258" s="133"/>
      <c r="D258" s="119"/>
      <c r="E258" s="119"/>
      <c r="F258" s="119"/>
      <c r="G258" s="119"/>
      <c r="H258" s="95" t="s">
        <v>5</v>
      </c>
      <c r="I258" s="94">
        <f t="shared" si="81"/>
        <v>0</v>
      </c>
      <c r="J258" s="94"/>
      <c r="K258" s="94"/>
      <c r="L258" s="94"/>
      <c r="M258" s="94"/>
      <c r="N258" s="94"/>
      <c r="O258" s="94"/>
      <c r="P258" s="119"/>
    </row>
    <row r="259" spans="2:18" ht="42.75" customHeight="1" outlineLevel="1" x14ac:dyDescent="0.2">
      <c r="B259" s="117" t="s">
        <v>701</v>
      </c>
      <c r="C259" s="117" t="s">
        <v>628</v>
      </c>
      <c r="D259" s="117" t="s">
        <v>39</v>
      </c>
      <c r="E259" s="117" t="s">
        <v>50</v>
      </c>
      <c r="F259" s="117" t="s">
        <v>702</v>
      </c>
      <c r="G259" s="117" t="s">
        <v>63</v>
      </c>
      <c r="H259" s="95" t="s">
        <v>3</v>
      </c>
      <c r="I259" s="94">
        <f t="shared" si="81"/>
        <v>11.870000000000001</v>
      </c>
      <c r="J259" s="94">
        <f t="shared" ref="J259:L259" si="83">J260+J261+J262</f>
        <v>0</v>
      </c>
      <c r="K259" s="94">
        <f t="shared" si="83"/>
        <v>1.87</v>
      </c>
      <c r="L259" s="94">
        <f t="shared" si="83"/>
        <v>10</v>
      </c>
      <c r="M259" s="94">
        <v>0</v>
      </c>
      <c r="N259" s="94">
        <f t="shared" ref="N259:O259" si="84">N260+N261+N262</f>
        <v>0</v>
      </c>
      <c r="O259" s="94">
        <f t="shared" si="84"/>
        <v>0</v>
      </c>
      <c r="P259" s="117">
        <v>3445</v>
      </c>
    </row>
    <row r="260" spans="2:18" outlineLevel="1" x14ac:dyDescent="0.2">
      <c r="B260" s="118"/>
      <c r="C260" s="132"/>
      <c r="D260" s="118"/>
      <c r="E260" s="118"/>
      <c r="F260" s="118"/>
      <c r="G260" s="118"/>
      <c r="H260" s="95" t="s">
        <v>4</v>
      </c>
      <c r="I260" s="94">
        <f t="shared" si="81"/>
        <v>9</v>
      </c>
      <c r="J260" s="94"/>
      <c r="K260" s="94"/>
      <c r="L260" s="94">
        <v>9</v>
      </c>
      <c r="M260" s="94"/>
      <c r="N260" s="94"/>
      <c r="O260" s="94"/>
      <c r="P260" s="118"/>
    </row>
    <row r="261" spans="2:18" outlineLevel="1" x14ac:dyDescent="0.2">
      <c r="B261" s="118"/>
      <c r="C261" s="132"/>
      <c r="D261" s="118"/>
      <c r="E261" s="118"/>
      <c r="F261" s="118"/>
      <c r="G261" s="118"/>
      <c r="H261" s="95" t="s">
        <v>6</v>
      </c>
      <c r="I261" s="94">
        <f t="shared" si="81"/>
        <v>2.87</v>
      </c>
      <c r="J261" s="94"/>
      <c r="K261" s="94">
        <v>1.87</v>
      </c>
      <c r="L261" s="94">
        <v>1</v>
      </c>
      <c r="M261" s="94"/>
      <c r="N261" s="94"/>
      <c r="O261" s="94"/>
      <c r="P261" s="118"/>
    </row>
    <row r="262" spans="2:18" outlineLevel="1" x14ac:dyDescent="0.2">
      <c r="B262" s="119"/>
      <c r="C262" s="133"/>
      <c r="D262" s="119"/>
      <c r="E262" s="119"/>
      <c r="F262" s="119"/>
      <c r="G262" s="119"/>
      <c r="H262" s="95" t="s">
        <v>5</v>
      </c>
      <c r="I262" s="94">
        <f t="shared" si="81"/>
        <v>0</v>
      </c>
      <c r="J262" s="94"/>
      <c r="K262" s="94"/>
      <c r="L262" s="94"/>
      <c r="M262" s="94"/>
      <c r="N262" s="94"/>
      <c r="O262" s="94"/>
      <c r="P262" s="119"/>
    </row>
    <row r="263" spans="2:18" ht="42.75" customHeight="1" outlineLevel="1" x14ac:dyDescent="0.2">
      <c r="B263" s="117" t="s">
        <v>1869</v>
      </c>
      <c r="C263" s="117"/>
      <c r="D263" s="117" t="s">
        <v>39</v>
      </c>
      <c r="E263" s="117">
        <v>2023</v>
      </c>
      <c r="F263" s="117"/>
      <c r="G263" s="117" t="s">
        <v>1870</v>
      </c>
      <c r="H263" s="95" t="s">
        <v>3</v>
      </c>
      <c r="I263" s="94">
        <f t="shared" si="81"/>
        <v>0.55000000000000004</v>
      </c>
      <c r="J263" s="94">
        <f t="shared" ref="J263:O263" si="85">J264+J265+J266</f>
        <v>0</v>
      </c>
      <c r="K263" s="94">
        <f t="shared" si="85"/>
        <v>0.55000000000000004</v>
      </c>
      <c r="L263" s="94">
        <f t="shared" si="85"/>
        <v>0</v>
      </c>
      <c r="M263" s="94">
        <v>0</v>
      </c>
      <c r="N263" s="94">
        <f t="shared" si="85"/>
        <v>0</v>
      </c>
      <c r="O263" s="94">
        <f t="shared" si="85"/>
        <v>0</v>
      </c>
      <c r="P263" s="117"/>
    </row>
    <row r="264" spans="2:18" outlineLevel="1" x14ac:dyDescent="0.2">
      <c r="B264" s="118"/>
      <c r="C264" s="132"/>
      <c r="D264" s="118"/>
      <c r="E264" s="118"/>
      <c r="F264" s="118"/>
      <c r="G264" s="118"/>
      <c r="H264" s="95" t="s">
        <v>4</v>
      </c>
      <c r="I264" s="94">
        <f t="shared" si="81"/>
        <v>0</v>
      </c>
      <c r="J264" s="94"/>
      <c r="K264" s="94"/>
      <c r="L264" s="94"/>
      <c r="M264" s="94"/>
      <c r="N264" s="94"/>
      <c r="O264" s="94"/>
      <c r="P264" s="118"/>
    </row>
    <row r="265" spans="2:18" outlineLevel="1" x14ac:dyDescent="0.2">
      <c r="B265" s="118"/>
      <c r="C265" s="132"/>
      <c r="D265" s="118"/>
      <c r="E265" s="118"/>
      <c r="F265" s="118"/>
      <c r="G265" s="118"/>
      <c r="H265" s="95" t="s">
        <v>6</v>
      </c>
      <c r="I265" s="94">
        <f t="shared" si="81"/>
        <v>0.55000000000000004</v>
      </c>
      <c r="J265" s="94"/>
      <c r="K265" s="94">
        <v>0.55000000000000004</v>
      </c>
      <c r="L265" s="94"/>
      <c r="M265" s="94"/>
      <c r="N265" s="94"/>
      <c r="O265" s="94"/>
      <c r="P265" s="118"/>
    </row>
    <row r="266" spans="2:18" outlineLevel="1" x14ac:dyDescent="0.2">
      <c r="B266" s="119"/>
      <c r="C266" s="133"/>
      <c r="D266" s="119"/>
      <c r="E266" s="119"/>
      <c r="F266" s="119"/>
      <c r="G266" s="119"/>
      <c r="H266" s="95" t="s">
        <v>5</v>
      </c>
      <c r="I266" s="94">
        <f t="shared" si="81"/>
        <v>0</v>
      </c>
      <c r="J266" s="94"/>
      <c r="K266" s="94"/>
      <c r="L266" s="94"/>
      <c r="M266" s="94"/>
      <c r="N266" s="94"/>
      <c r="O266" s="94"/>
      <c r="P266" s="119"/>
    </row>
    <row r="267" spans="2:18" ht="42.75" x14ac:dyDescent="0.2">
      <c r="B267" s="128" t="s">
        <v>46</v>
      </c>
      <c r="C267" s="128" t="s">
        <v>38</v>
      </c>
      <c r="D267" s="128" t="s">
        <v>38</v>
      </c>
      <c r="E267" s="128" t="s">
        <v>38</v>
      </c>
      <c r="F267" s="128" t="s">
        <v>38</v>
      </c>
      <c r="G267" s="128" t="s">
        <v>38</v>
      </c>
      <c r="H267" s="95" t="s">
        <v>3</v>
      </c>
      <c r="I267" s="14">
        <f>SUMIF($H$251:$H$266,"Объем*",I$251:I$266)</f>
        <v>187.22000000000003</v>
      </c>
      <c r="J267" s="14">
        <f t="shared" ref="J267:O267" si="86">SUMIF($H$251:$H$266,"Объем*",J$251:J$266)</f>
        <v>0</v>
      </c>
      <c r="K267" s="14">
        <f t="shared" si="86"/>
        <v>2.42</v>
      </c>
      <c r="L267" s="14">
        <f t="shared" si="86"/>
        <v>10</v>
      </c>
      <c r="M267" s="14">
        <f t="shared" si="86"/>
        <v>174.8</v>
      </c>
      <c r="N267" s="14">
        <f t="shared" si="86"/>
        <v>0</v>
      </c>
      <c r="O267" s="14">
        <f t="shared" si="86"/>
        <v>0</v>
      </c>
      <c r="P267" s="128"/>
      <c r="Q267" s="7"/>
      <c r="R267" s="7"/>
    </row>
    <row r="268" spans="2:18" ht="15.75" x14ac:dyDescent="0.2">
      <c r="B268" s="129"/>
      <c r="C268" s="129"/>
      <c r="D268" s="129"/>
      <c r="E268" s="129"/>
      <c r="F268" s="129"/>
      <c r="G268" s="129"/>
      <c r="H268" s="95" t="s">
        <v>4</v>
      </c>
      <c r="I268" s="14">
        <f>SUMIF($H$251:$H$266,"фед*",I$251:I$266)</f>
        <v>85</v>
      </c>
      <c r="J268" s="14">
        <f t="shared" ref="J268:O268" si="87">SUMIF($H$251:$H$266,"фед*",J$251:J$266)</f>
        <v>0</v>
      </c>
      <c r="K268" s="14">
        <f t="shared" si="87"/>
        <v>0</v>
      </c>
      <c r="L268" s="14">
        <f t="shared" si="87"/>
        <v>9</v>
      </c>
      <c r="M268" s="14">
        <f t="shared" si="87"/>
        <v>76</v>
      </c>
      <c r="N268" s="14">
        <f t="shared" si="87"/>
        <v>0</v>
      </c>
      <c r="O268" s="14">
        <f t="shared" si="87"/>
        <v>0</v>
      </c>
      <c r="P268" s="129"/>
      <c r="Q268" s="7"/>
    </row>
    <row r="269" spans="2:18" ht="15.75" x14ac:dyDescent="0.2">
      <c r="B269" s="129"/>
      <c r="C269" s="129"/>
      <c r="D269" s="129"/>
      <c r="E269" s="129"/>
      <c r="F269" s="129"/>
      <c r="G269" s="129"/>
      <c r="H269" s="95" t="s">
        <v>6</v>
      </c>
      <c r="I269" s="14">
        <f>SUMIF($H$251:$H$266,"конс*",I$251:I$266)</f>
        <v>102.22</v>
      </c>
      <c r="J269" s="14">
        <f t="shared" ref="J269:O269" si="88">SUMIF($H$251:$H$266,"конс*",J$251:J$266)</f>
        <v>0</v>
      </c>
      <c r="K269" s="14">
        <f t="shared" si="88"/>
        <v>2.42</v>
      </c>
      <c r="L269" s="14">
        <f t="shared" si="88"/>
        <v>1</v>
      </c>
      <c r="M269" s="14">
        <f t="shared" si="88"/>
        <v>98.8</v>
      </c>
      <c r="N269" s="14">
        <f t="shared" si="88"/>
        <v>0</v>
      </c>
      <c r="O269" s="14">
        <f t="shared" si="88"/>
        <v>0</v>
      </c>
      <c r="P269" s="129"/>
      <c r="Q269" s="7"/>
    </row>
    <row r="270" spans="2:18" ht="15.75" x14ac:dyDescent="0.2">
      <c r="B270" s="130"/>
      <c r="C270" s="130"/>
      <c r="D270" s="130"/>
      <c r="E270" s="130"/>
      <c r="F270" s="130"/>
      <c r="G270" s="130"/>
      <c r="H270" s="95" t="s">
        <v>5</v>
      </c>
      <c r="I270" s="14">
        <f>SUMIF($H$251:$H$266,"вне*",I$251:I$266)</f>
        <v>0</v>
      </c>
      <c r="J270" s="14">
        <f t="shared" ref="J270:O270" si="89">SUMIF($H$251:$H$266,"вне*",J$251:J$266)</f>
        <v>0</v>
      </c>
      <c r="K270" s="14">
        <f t="shared" si="89"/>
        <v>0</v>
      </c>
      <c r="L270" s="14">
        <f t="shared" si="89"/>
        <v>0</v>
      </c>
      <c r="M270" s="14">
        <f t="shared" si="89"/>
        <v>0</v>
      </c>
      <c r="N270" s="14">
        <f t="shared" si="89"/>
        <v>0</v>
      </c>
      <c r="O270" s="14">
        <f t="shared" si="89"/>
        <v>0</v>
      </c>
      <c r="P270" s="130"/>
      <c r="Q270" s="7"/>
    </row>
    <row r="271" spans="2:18" ht="25.5" customHeight="1" x14ac:dyDescent="0.2">
      <c r="B271" s="111" t="s">
        <v>223</v>
      </c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3"/>
    </row>
    <row r="272" spans="2:18" ht="42.75" outlineLevel="1" x14ac:dyDescent="0.2">
      <c r="B272" s="117" t="s">
        <v>703</v>
      </c>
      <c r="C272" s="117"/>
      <c r="D272" s="117" t="s">
        <v>704</v>
      </c>
      <c r="E272" s="117">
        <v>2020</v>
      </c>
      <c r="F272" s="117" t="s">
        <v>705</v>
      </c>
      <c r="G272" s="117" t="s">
        <v>138</v>
      </c>
      <c r="H272" s="95" t="s">
        <v>3</v>
      </c>
      <c r="I272" s="94">
        <f>SUM(J272:O272)</f>
        <v>4.8</v>
      </c>
      <c r="J272" s="94">
        <f t="shared" ref="J272:O272" si="90">J273+J274+J275</f>
        <v>4.8</v>
      </c>
      <c r="K272" s="94">
        <f t="shared" si="90"/>
        <v>0</v>
      </c>
      <c r="L272" s="94">
        <f t="shared" si="90"/>
        <v>0</v>
      </c>
      <c r="M272" s="94">
        <f t="shared" si="90"/>
        <v>0</v>
      </c>
      <c r="N272" s="94">
        <f t="shared" si="90"/>
        <v>0</v>
      </c>
      <c r="O272" s="94">
        <f t="shared" si="90"/>
        <v>0</v>
      </c>
      <c r="P272" s="117"/>
    </row>
    <row r="273" spans="2:16" ht="17.25" outlineLevel="1" x14ac:dyDescent="0.2">
      <c r="B273" s="118"/>
      <c r="C273" s="132"/>
      <c r="D273" s="118"/>
      <c r="E273" s="118"/>
      <c r="F273" s="118"/>
      <c r="G273" s="118"/>
      <c r="H273" s="95" t="s">
        <v>4</v>
      </c>
      <c r="I273" s="94">
        <f t="shared" ref="I273:I336" si="91">SUM(J273:O273)</f>
        <v>0</v>
      </c>
      <c r="J273" s="52"/>
      <c r="K273" s="52"/>
      <c r="L273" s="52"/>
      <c r="M273" s="52"/>
      <c r="N273" s="52"/>
      <c r="O273" s="52"/>
      <c r="P273" s="118"/>
    </row>
    <row r="274" spans="2:16" ht="17.25" outlineLevel="1" x14ac:dyDescent="0.2">
      <c r="B274" s="118"/>
      <c r="C274" s="132"/>
      <c r="D274" s="118"/>
      <c r="E274" s="118"/>
      <c r="F274" s="118"/>
      <c r="G274" s="118"/>
      <c r="H274" s="95" t="s">
        <v>6</v>
      </c>
      <c r="I274" s="94">
        <f t="shared" si="91"/>
        <v>4.8</v>
      </c>
      <c r="J274" s="52">
        <v>4.8</v>
      </c>
      <c r="K274" s="52"/>
      <c r="L274" s="52"/>
      <c r="M274" s="52"/>
      <c r="N274" s="52"/>
      <c r="O274" s="52"/>
      <c r="P274" s="118"/>
    </row>
    <row r="275" spans="2:16" ht="17.25" outlineLevel="1" x14ac:dyDescent="0.2">
      <c r="B275" s="119"/>
      <c r="C275" s="133"/>
      <c r="D275" s="119"/>
      <c r="E275" s="119"/>
      <c r="F275" s="119"/>
      <c r="G275" s="119"/>
      <c r="H275" s="95" t="s">
        <v>5</v>
      </c>
      <c r="I275" s="94">
        <f t="shared" si="91"/>
        <v>0</v>
      </c>
      <c r="J275" s="52"/>
      <c r="K275" s="52"/>
      <c r="L275" s="52"/>
      <c r="M275" s="52"/>
      <c r="N275" s="52"/>
      <c r="O275" s="52"/>
      <c r="P275" s="119"/>
    </row>
    <row r="276" spans="2:16" ht="42.75" outlineLevel="1" x14ac:dyDescent="0.2">
      <c r="B276" s="117" t="s">
        <v>706</v>
      </c>
      <c r="C276" s="117"/>
      <c r="D276" s="117" t="s">
        <v>704</v>
      </c>
      <c r="E276" s="117">
        <v>2020</v>
      </c>
      <c r="F276" s="117" t="s">
        <v>707</v>
      </c>
      <c r="G276" s="117" t="s">
        <v>138</v>
      </c>
      <c r="H276" s="95" t="s">
        <v>3</v>
      </c>
      <c r="I276" s="94">
        <f t="shared" si="91"/>
        <v>4.8</v>
      </c>
      <c r="J276" s="94">
        <f t="shared" ref="J276:O276" si="92">J277+J278+J279</f>
        <v>4.8</v>
      </c>
      <c r="K276" s="94">
        <f t="shared" si="92"/>
        <v>0</v>
      </c>
      <c r="L276" s="94">
        <f t="shared" si="92"/>
        <v>0</v>
      </c>
      <c r="M276" s="94">
        <f t="shared" si="92"/>
        <v>0</v>
      </c>
      <c r="N276" s="94">
        <f t="shared" si="92"/>
        <v>0</v>
      </c>
      <c r="O276" s="94">
        <f t="shared" si="92"/>
        <v>0</v>
      </c>
      <c r="P276" s="117"/>
    </row>
    <row r="277" spans="2:16" ht="17.25" outlineLevel="1" x14ac:dyDescent="0.2">
      <c r="B277" s="118"/>
      <c r="C277" s="132"/>
      <c r="D277" s="118"/>
      <c r="E277" s="118"/>
      <c r="F277" s="118"/>
      <c r="G277" s="118"/>
      <c r="H277" s="95" t="s">
        <v>4</v>
      </c>
      <c r="I277" s="94">
        <f t="shared" si="91"/>
        <v>0</v>
      </c>
      <c r="J277" s="52"/>
      <c r="K277" s="52"/>
      <c r="L277" s="52"/>
      <c r="M277" s="52"/>
      <c r="N277" s="52"/>
      <c r="O277" s="52"/>
      <c r="P277" s="118"/>
    </row>
    <row r="278" spans="2:16" ht="17.25" outlineLevel="1" x14ac:dyDescent="0.2">
      <c r="B278" s="118"/>
      <c r="C278" s="132"/>
      <c r="D278" s="118"/>
      <c r="E278" s="118"/>
      <c r="F278" s="118"/>
      <c r="G278" s="118"/>
      <c r="H278" s="95" t="s">
        <v>6</v>
      </c>
      <c r="I278" s="94">
        <f t="shared" si="91"/>
        <v>4.8</v>
      </c>
      <c r="J278" s="52">
        <v>4.8</v>
      </c>
      <c r="K278" s="52"/>
      <c r="L278" s="52"/>
      <c r="M278" s="52"/>
      <c r="N278" s="52"/>
      <c r="O278" s="52"/>
      <c r="P278" s="118"/>
    </row>
    <row r="279" spans="2:16" ht="17.25" outlineLevel="1" x14ac:dyDescent="0.2">
      <c r="B279" s="119"/>
      <c r="C279" s="133"/>
      <c r="D279" s="119"/>
      <c r="E279" s="119"/>
      <c r="F279" s="119"/>
      <c r="G279" s="119"/>
      <c r="H279" s="95" t="s">
        <v>5</v>
      </c>
      <c r="I279" s="94">
        <f t="shared" si="91"/>
        <v>0</v>
      </c>
      <c r="J279" s="52"/>
      <c r="K279" s="52"/>
      <c r="L279" s="52"/>
      <c r="M279" s="52"/>
      <c r="N279" s="52"/>
      <c r="O279" s="52"/>
      <c r="P279" s="119"/>
    </row>
    <row r="280" spans="2:16" ht="42.75" outlineLevel="1" x14ac:dyDescent="0.2">
      <c r="B280" s="117" t="s">
        <v>708</v>
      </c>
      <c r="C280" s="117"/>
      <c r="D280" s="117" t="s">
        <v>704</v>
      </c>
      <c r="E280" s="117" t="s">
        <v>171</v>
      </c>
      <c r="F280" s="117" t="s">
        <v>709</v>
      </c>
      <c r="G280" s="117" t="s">
        <v>63</v>
      </c>
      <c r="H280" s="95" t="s">
        <v>3</v>
      </c>
      <c r="I280" s="94">
        <f t="shared" si="91"/>
        <v>27.7</v>
      </c>
      <c r="J280" s="94">
        <v>0</v>
      </c>
      <c r="K280" s="94">
        <f t="shared" ref="K280:O280" si="93">K281+K282+K283</f>
        <v>27.7</v>
      </c>
      <c r="L280" s="94">
        <f t="shared" si="93"/>
        <v>0</v>
      </c>
      <c r="M280" s="94">
        <f t="shared" si="93"/>
        <v>0</v>
      </c>
      <c r="N280" s="94">
        <f t="shared" si="93"/>
        <v>0</v>
      </c>
      <c r="O280" s="94">
        <f t="shared" si="93"/>
        <v>0</v>
      </c>
      <c r="P280" s="117">
        <v>149</v>
      </c>
    </row>
    <row r="281" spans="2:16" ht="17.25" outlineLevel="1" x14ac:dyDescent="0.2">
      <c r="B281" s="118"/>
      <c r="C281" s="132"/>
      <c r="D281" s="118"/>
      <c r="E281" s="118"/>
      <c r="F281" s="118"/>
      <c r="G281" s="118"/>
      <c r="H281" s="95" t="s">
        <v>4</v>
      </c>
      <c r="I281" s="94">
        <f t="shared" si="91"/>
        <v>27.422999999999998</v>
      </c>
      <c r="J281" s="52"/>
      <c r="K281" s="17">
        <v>27.422999999999998</v>
      </c>
      <c r="L281" s="52"/>
      <c r="M281" s="52"/>
      <c r="N281" s="52"/>
      <c r="O281" s="52"/>
      <c r="P281" s="118"/>
    </row>
    <row r="282" spans="2:16" ht="17.25" outlineLevel="1" x14ac:dyDescent="0.2">
      <c r="B282" s="118"/>
      <c r="C282" s="132"/>
      <c r="D282" s="118"/>
      <c r="E282" s="118"/>
      <c r="F282" s="118"/>
      <c r="G282" s="118"/>
      <c r="H282" s="95" t="s">
        <v>6</v>
      </c>
      <c r="I282" s="94">
        <f t="shared" si="91"/>
        <v>0.27700000000000002</v>
      </c>
      <c r="J282" s="52"/>
      <c r="K282" s="17">
        <v>0.27700000000000002</v>
      </c>
      <c r="L282" s="52"/>
      <c r="M282" s="52"/>
      <c r="N282" s="52"/>
      <c r="O282" s="52"/>
      <c r="P282" s="118"/>
    </row>
    <row r="283" spans="2:16" ht="17.25" outlineLevel="1" x14ac:dyDescent="0.2">
      <c r="B283" s="119"/>
      <c r="C283" s="133"/>
      <c r="D283" s="119"/>
      <c r="E283" s="119"/>
      <c r="F283" s="119"/>
      <c r="G283" s="119"/>
      <c r="H283" s="95" t="s">
        <v>5</v>
      </c>
      <c r="I283" s="94">
        <f t="shared" si="91"/>
        <v>0</v>
      </c>
      <c r="J283" s="52"/>
      <c r="K283" s="52"/>
      <c r="L283" s="52"/>
      <c r="M283" s="52"/>
      <c r="N283" s="52"/>
      <c r="O283" s="52"/>
      <c r="P283" s="119"/>
    </row>
    <row r="284" spans="2:16" ht="42.75" outlineLevel="1" x14ac:dyDescent="0.2">
      <c r="B284" s="117" t="s">
        <v>710</v>
      </c>
      <c r="C284" s="117"/>
      <c r="D284" s="117" t="s">
        <v>223</v>
      </c>
      <c r="E284" s="117" t="s">
        <v>171</v>
      </c>
      <c r="F284" s="117" t="s">
        <v>711</v>
      </c>
      <c r="G284" s="117" t="s">
        <v>63</v>
      </c>
      <c r="H284" s="95" t="s">
        <v>3</v>
      </c>
      <c r="I284" s="94">
        <f t="shared" si="91"/>
        <v>51.86</v>
      </c>
      <c r="J284" s="94">
        <v>0</v>
      </c>
      <c r="K284" s="94">
        <f t="shared" ref="K284:O284" si="94">K285+K286+K287</f>
        <v>0</v>
      </c>
      <c r="L284" s="94">
        <f t="shared" si="94"/>
        <v>51.86</v>
      </c>
      <c r="M284" s="94">
        <f t="shared" si="94"/>
        <v>0</v>
      </c>
      <c r="N284" s="94">
        <f t="shared" si="94"/>
        <v>0</v>
      </c>
      <c r="O284" s="94">
        <f t="shared" si="94"/>
        <v>0</v>
      </c>
      <c r="P284" s="117">
        <v>1603</v>
      </c>
    </row>
    <row r="285" spans="2:16" ht="17.25" outlineLevel="1" x14ac:dyDescent="0.2">
      <c r="B285" s="118"/>
      <c r="C285" s="132"/>
      <c r="D285" s="118"/>
      <c r="E285" s="118"/>
      <c r="F285" s="118"/>
      <c r="G285" s="118"/>
      <c r="H285" s="95" t="s">
        <v>4</v>
      </c>
      <c r="I285" s="94">
        <f t="shared" si="91"/>
        <v>51.3414</v>
      </c>
      <c r="J285" s="52"/>
      <c r="K285" s="52"/>
      <c r="L285" s="17">
        <v>51.3414</v>
      </c>
      <c r="M285" s="52"/>
      <c r="N285" s="52"/>
      <c r="O285" s="52"/>
      <c r="P285" s="118"/>
    </row>
    <row r="286" spans="2:16" ht="17.25" outlineLevel="1" x14ac:dyDescent="0.2">
      <c r="B286" s="118"/>
      <c r="C286" s="132"/>
      <c r="D286" s="118"/>
      <c r="E286" s="118"/>
      <c r="F286" s="118"/>
      <c r="G286" s="118"/>
      <c r="H286" s="95" t="s">
        <v>6</v>
      </c>
      <c r="I286" s="94">
        <f t="shared" si="91"/>
        <v>0.51859999999999995</v>
      </c>
      <c r="J286" s="52"/>
      <c r="K286" s="52"/>
      <c r="L286" s="17">
        <v>0.51859999999999995</v>
      </c>
      <c r="M286" s="52"/>
      <c r="N286" s="52"/>
      <c r="O286" s="52"/>
      <c r="P286" s="118"/>
    </row>
    <row r="287" spans="2:16" ht="17.25" outlineLevel="1" x14ac:dyDescent="0.2">
      <c r="B287" s="119"/>
      <c r="C287" s="133"/>
      <c r="D287" s="119"/>
      <c r="E287" s="119"/>
      <c r="F287" s="119"/>
      <c r="G287" s="119"/>
      <c r="H287" s="95" t="s">
        <v>5</v>
      </c>
      <c r="I287" s="94">
        <f t="shared" si="91"/>
        <v>0</v>
      </c>
      <c r="J287" s="52"/>
      <c r="K287" s="52"/>
      <c r="L287" s="52"/>
      <c r="M287" s="52"/>
      <c r="N287" s="52"/>
      <c r="O287" s="52"/>
      <c r="P287" s="119"/>
    </row>
    <row r="288" spans="2:16" ht="42.75" outlineLevel="1" x14ac:dyDescent="0.2">
      <c r="B288" s="117" t="s">
        <v>712</v>
      </c>
      <c r="C288" s="117"/>
      <c r="D288" s="117" t="s">
        <v>223</v>
      </c>
      <c r="E288" s="117" t="s">
        <v>171</v>
      </c>
      <c r="F288" s="117" t="s">
        <v>713</v>
      </c>
      <c r="G288" s="117" t="s">
        <v>63</v>
      </c>
      <c r="H288" s="95" t="s">
        <v>3</v>
      </c>
      <c r="I288" s="94">
        <f t="shared" si="91"/>
        <v>56.1</v>
      </c>
      <c r="J288" s="94">
        <v>0</v>
      </c>
      <c r="K288" s="94">
        <f t="shared" ref="K288:O288" si="95">K289+K290+K291</f>
        <v>0</v>
      </c>
      <c r="L288" s="94">
        <f t="shared" si="95"/>
        <v>0</v>
      </c>
      <c r="M288" s="94">
        <f t="shared" si="95"/>
        <v>56.1</v>
      </c>
      <c r="N288" s="94">
        <f t="shared" si="95"/>
        <v>0</v>
      </c>
      <c r="O288" s="94">
        <f t="shared" si="95"/>
        <v>0</v>
      </c>
      <c r="P288" s="117">
        <v>366</v>
      </c>
    </row>
    <row r="289" spans="2:16" outlineLevel="1" x14ac:dyDescent="0.2">
      <c r="B289" s="118"/>
      <c r="C289" s="132"/>
      <c r="D289" s="118"/>
      <c r="E289" s="118"/>
      <c r="F289" s="118"/>
      <c r="G289" s="118"/>
      <c r="H289" s="95" t="s">
        <v>4</v>
      </c>
      <c r="I289" s="94">
        <f t="shared" si="91"/>
        <v>55.539000000000001</v>
      </c>
      <c r="J289" s="94"/>
      <c r="K289" s="94"/>
      <c r="L289" s="94"/>
      <c r="M289" s="17">
        <v>55.539000000000001</v>
      </c>
      <c r="N289" s="94"/>
      <c r="O289" s="94"/>
      <c r="P289" s="118"/>
    </row>
    <row r="290" spans="2:16" outlineLevel="1" x14ac:dyDescent="0.2">
      <c r="B290" s="118"/>
      <c r="C290" s="132"/>
      <c r="D290" s="118"/>
      <c r="E290" s="118"/>
      <c r="F290" s="118"/>
      <c r="G290" s="118"/>
      <c r="H290" s="95" t="s">
        <v>6</v>
      </c>
      <c r="I290" s="94">
        <f t="shared" si="91"/>
        <v>0.56100000000000005</v>
      </c>
      <c r="J290" s="94"/>
      <c r="K290" s="94"/>
      <c r="L290" s="94"/>
      <c r="M290" s="17">
        <v>0.56100000000000005</v>
      </c>
      <c r="N290" s="94"/>
      <c r="O290" s="94"/>
      <c r="P290" s="118"/>
    </row>
    <row r="291" spans="2:16" ht="17.25" outlineLevel="1" x14ac:dyDescent="0.2">
      <c r="B291" s="119"/>
      <c r="C291" s="133"/>
      <c r="D291" s="119"/>
      <c r="E291" s="119"/>
      <c r="F291" s="119"/>
      <c r="G291" s="119"/>
      <c r="H291" s="95" t="s">
        <v>5</v>
      </c>
      <c r="I291" s="94">
        <f t="shared" si="91"/>
        <v>0</v>
      </c>
      <c r="J291" s="52"/>
      <c r="K291" s="52"/>
      <c r="L291" s="52"/>
      <c r="M291" s="52"/>
      <c r="N291" s="52"/>
      <c r="O291" s="52"/>
      <c r="P291" s="119"/>
    </row>
    <row r="292" spans="2:16" ht="42.75" outlineLevel="1" x14ac:dyDescent="0.2">
      <c r="B292" s="117" t="s">
        <v>714</v>
      </c>
      <c r="C292" s="117"/>
      <c r="D292" s="117" t="s">
        <v>223</v>
      </c>
      <c r="E292" s="117" t="s">
        <v>171</v>
      </c>
      <c r="F292" s="117" t="s">
        <v>715</v>
      </c>
      <c r="G292" s="117" t="s">
        <v>63</v>
      </c>
      <c r="H292" s="95" t="s">
        <v>3</v>
      </c>
      <c r="I292" s="94">
        <f t="shared" si="91"/>
        <v>51.6</v>
      </c>
      <c r="J292" s="94">
        <v>0</v>
      </c>
      <c r="K292" s="94">
        <f t="shared" ref="K292:O292" si="96">K293+K294+K295</f>
        <v>0</v>
      </c>
      <c r="L292" s="94">
        <f t="shared" si="96"/>
        <v>0</v>
      </c>
      <c r="M292" s="94">
        <f t="shared" si="96"/>
        <v>0</v>
      </c>
      <c r="N292" s="94">
        <f t="shared" si="96"/>
        <v>51.6</v>
      </c>
      <c r="O292" s="94">
        <f t="shared" si="96"/>
        <v>0</v>
      </c>
      <c r="P292" s="117">
        <v>348</v>
      </c>
    </row>
    <row r="293" spans="2:16" ht="17.25" outlineLevel="1" x14ac:dyDescent="0.2">
      <c r="B293" s="118"/>
      <c r="C293" s="132"/>
      <c r="D293" s="118"/>
      <c r="E293" s="118"/>
      <c r="F293" s="118"/>
      <c r="G293" s="118"/>
      <c r="H293" s="95" t="s">
        <v>4</v>
      </c>
      <c r="I293" s="94">
        <f t="shared" si="91"/>
        <v>51.084000000000003</v>
      </c>
      <c r="J293" s="52"/>
      <c r="K293" s="52"/>
      <c r="L293" s="52"/>
      <c r="M293" s="52"/>
      <c r="N293" s="17">
        <v>51.084000000000003</v>
      </c>
      <c r="O293" s="52"/>
      <c r="P293" s="118"/>
    </row>
    <row r="294" spans="2:16" ht="17.25" outlineLevel="1" x14ac:dyDescent="0.2">
      <c r="B294" s="118"/>
      <c r="C294" s="132"/>
      <c r="D294" s="118"/>
      <c r="E294" s="118"/>
      <c r="F294" s="118"/>
      <c r="G294" s="118"/>
      <c r="H294" s="95" t="s">
        <v>6</v>
      </c>
      <c r="I294" s="94">
        <f t="shared" si="91"/>
        <v>0.51600000000000001</v>
      </c>
      <c r="J294" s="52"/>
      <c r="K294" s="52"/>
      <c r="L294" s="52"/>
      <c r="M294" s="52"/>
      <c r="N294" s="17">
        <v>0.51600000000000001</v>
      </c>
      <c r="O294" s="52"/>
      <c r="P294" s="118"/>
    </row>
    <row r="295" spans="2:16" ht="17.25" outlineLevel="1" x14ac:dyDescent="0.2">
      <c r="B295" s="119"/>
      <c r="C295" s="133"/>
      <c r="D295" s="119"/>
      <c r="E295" s="119"/>
      <c r="F295" s="119"/>
      <c r="G295" s="119"/>
      <c r="H295" s="95" t="s">
        <v>5</v>
      </c>
      <c r="I295" s="94">
        <f t="shared" si="91"/>
        <v>0</v>
      </c>
      <c r="J295" s="52"/>
      <c r="K295" s="52"/>
      <c r="L295" s="52"/>
      <c r="M295" s="52"/>
      <c r="N295" s="52"/>
      <c r="O295" s="52"/>
      <c r="P295" s="119"/>
    </row>
    <row r="296" spans="2:16" ht="44.25" customHeight="1" outlineLevel="1" x14ac:dyDescent="0.2">
      <c r="B296" s="117" t="s">
        <v>716</v>
      </c>
      <c r="C296" s="117"/>
      <c r="D296" s="117" t="s">
        <v>704</v>
      </c>
      <c r="E296" s="117" t="s">
        <v>171</v>
      </c>
      <c r="F296" s="117" t="s">
        <v>717</v>
      </c>
      <c r="G296" s="117" t="s">
        <v>63</v>
      </c>
      <c r="H296" s="95" t="s">
        <v>3</v>
      </c>
      <c r="I296" s="94">
        <f t="shared" si="91"/>
        <v>41</v>
      </c>
      <c r="J296" s="94">
        <v>0</v>
      </c>
      <c r="K296" s="94">
        <f t="shared" ref="K296:O296" si="97">K297+K298+K299</f>
        <v>0</v>
      </c>
      <c r="L296" s="94">
        <f t="shared" si="97"/>
        <v>0</v>
      </c>
      <c r="M296" s="94">
        <f t="shared" si="97"/>
        <v>41</v>
      </c>
      <c r="N296" s="94">
        <f t="shared" si="97"/>
        <v>0</v>
      </c>
      <c r="O296" s="94">
        <f t="shared" si="97"/>
        <v>0</v>
      </c>
      <c r="P296" s="117">
        <v>8866</v>
      </c>
    </row>
    <row r="297" spans="2:16" ht="17.25" outlineLevel="1" x14ac:dyDescent="0.2">
      <c r="B297" s="118"/>
      <c r="C297" s="132"/>
      <c r="D297" s="118"/>
      <c r="E297" s="118"/>
      <c r="F297" s="118"/>
      <c r="G297" s="118"/>
      <c r="H297" s="95" t="s">
        <v>4</v>
      </c>
      <c r="I297" s="94">
        <f t="shared" si="91"/>
        <v>40.590000000000003</v>
      </c>
      <c r="J297" s="52"/>
      <c r="K297" s="52"/>
      <c r="L297" s="52"/>
      <c r="M297" s="52">
        <v>40.590000000000003</v>
      </c>
      <c r="N297" s="52"/>
      <c r="O297" s="52"/>
      <c r="P297" s="118"/>
    </row>
    <row r="298" spans="2:16" ht="17.25" outlineLevel="1" x14ac:dyDescent="0.2">
      <c r="B298" s="118"/>
      <c r="C298" s="132"/>
      <c r="D298" s="118"/>
      <c r="E298" s="118"/>
      <c r="F298" s="118"/>
      <c r="G298" s="118"/>
      <c r="H298" s="95" t="s">
        <v>6</v>
      </c>
      <c r="I298" s="94">
        <f t="shared" si="91"/>
        <v>0.41</v>
      </c>
      <c r="J298" s="52"/>
      <c r="K298" s="52"/>
      <c r="L298" s="52"/>
      <c r="M298" s="52">
        <v>0.41</v>
      </c>
      <c r="N298" s="52"/>
      <c r="O298" s="52"/>
      <c r="P298" s="118"/>
    </row>
    <row r="299" spans="2:16" ht="17.25" outlineLevel="1" x14ac:dyDescent="0.2">
      <c r="B299" s="119"/>
      <c r="C299" s="133"/>
      <c r="D299" s="119"/>
      <c r="E299" s="119"/>
      <c r="F299" s="119"/>
      <c r="G299" s="119"/>
      <c r="H299" s="95" t="s">
        <v>5</v>
      </c>
      <c r="I299" s="94">
        <f t="shared" si="91"/>
        <v>0</v>
      </c>
      <c r="J299" s="52"/>
      <c r="K299" s="52"/>
      <c r="L299" s="52"/>
      <c r="M299" s="52"/>
      <c r="N299" s="52"/>
      <c r="O299" s="52"/>
      <c r="P299" s="119"/>
    </row>
    <row r="300" spans="2:16" ht="42.75" outlineLevel="1" x14ac:dyDescent="0.2">
      <c r="B300" s="117" t="s">
        <v>718</v>
      </c>
      <c r="C300" s="117"/>
      <c r="D300" s="117" t="s">
        <v>223</v>
      </c>
      <c r="E300" s="117" t="s">
        <v>171</v>
      </c>
      <c r="F300" s="117" t="s">
        <v>719</v>
      </c>
      <c r="G300" s="117" t="s">
        <v>63</v>
      </c>
      <c r="H300" s="95" t="s">
        <v>3</v>
      </c>
      <c r="I300" s="94">
        <f t="shared" si="91"/>
        <v>163.9</v>
      </c>
      <c r="J300" s="94">
        <v>0</v>
      </c>
      <c r="K300" s="94">
        <f t="shared" ref="K300:O300" si="98">K301+K302+K303</f>
        <v>0</v>
      </c>
      <c r="L300" s="94">
        <f t="shared" si="98"/>
        <v>0</v>
      </c>
      <c r="M300" s="94">
        <f t="shared" si="98"/>
        <v>0</v>
      </c>
      <c r="N300" s="94">
        <f t="shared" si="98"/>
        <v>163.9</v>
      </c>
      <c r="O300" s="94">
        <f t="shared" si="98"/>
        <v>0</v>
      </c>
      <c r="P300" s="117"/>
    </row>
    <row r="301" spans="2:16" ht="17.25" outlineLevel="1" x14ac:dyDescent="0.2">
      <c r="B301" s="118"/>
      <c r="C301" s="132"/>
      <c r="D301" s="118"/>
      <c r="E301" s="118"/>
      <c r="F301" s="118"/>
      <c r="G301" s="118"/>
      <c r="H301" s="95" t="s">
        <v>4</v>
      </c>
      <c r="I301" s="94">
        <f t="shared" si="91"/>
        <v>162.261</v>
      </c>
      <c r="J301" s="52"/>
      <c r="K301" s="52"/>
      <c r="L301" s="52"/>
      <c r="M301" s="52"/>
      <c r="N301" s="17">
        <v>162.261</v>
      </c>
      <c r="O301" s="52"/>
      <c r="P301" s="118"/>
    </row>
    <row r="302" spans="2:16" ht="17.25" outlineLevel="1" x14ac:dyDescent="0.2">
      <c r="B302" s="118"/>
      <c r="C302" s="132"/>
      <c r="D302" s="118"/>
      <c r="E302" s="118"/>
      <c r="F302" s="118"/>
      <c r="G302" s="118"/>
      <c r="H302" s="95" t="s">
        <v>6</v>
      </c>
      <c r="I302" s="94">
        <f t="shared" si="91"/>
        <v>1.639</v>
      </c>
      <c r="J302" s="52"/>
      <c r="K302" s="52"/>
      <c r="L302" s="52"/>
      <c r="M302" s="52"/>
      <c r="N302" s="17">
        <v>1.639</v>
      </c>
      <c r="O302" s="52"/>
      <c r="P302" s="118"/>
    </row>
    <row r="303" spans="2:16" ht="17.25" outlineLevel="1" x14ac:dyDescent="0.2">
      <c r="B303" s="119"/>
      <c r="C303" s="133"/>
      <c r="D303" s="119"/>
      <c r="E303" s="119"/>
      <c r="F303" s="119"/>
      <c r="G303" s="119"/>
      <c r="H303" s="95" t="s">
        <v>5</v>
      </c>
      <c r="I303" s="94">
        <f t="shared" si="91"/>
        <v>0</v>
      </c>
      <c r="J303" s="52"/>
      <c r="K303" s="52"/>
      <c r="L303" s="52"/>
      <c r="M303" s="52"/>
      <c r="N303" s="52"/>
      <c r="O303" s="52"/>
      <c r="P303" s="119"/>
    </row>
    <row r="304" spans="2:16" ht="42.75" outlineLevel="1" x14ac:dyDescent="0.2">
      <c r="B304" s="117" t="s">
        <v>720</v>
      </c>
      <c r="C304" s="117"/>
      <c r="D304" s="117" t="s">
        <v>704</v>
      </c>
      <c r="E304" s="117" t="s">
        <v>171</v>
      </c>
      <c r="F304" s="117" t="s">
        <v>721</v>
      </c>
      <c r="G304" s="117" t="s">
        <v>63</v>
      </c>
      <c r="H304" s="95" t="s">
        <v>3</v>
      </c>
      <c r="I304" s="94">
        <f t="shared" si="91"/>
        <v>7.8999999999999995</v>
      </c>
      <c r="J304" s="94">
        <v>0</v>
      </c>
      <c r="K304" s="94">
        <f t="shared" ref="K304:O304" si="99">K305+K306+K307</f>
        <v>0</v>
      </c>
      <c r="L304" s="94">
        <f t="shared" si="99"/>
        <v>0</v>
      </c>
      <c r="M304" s="94">
        <f t="shared" si="99"/>
        <v>7.8999999999999995</v>
      </c>
      <c r="N304" s="94">
        <f t="shared" si="99"/>
        <v>0</v>
      </c>
      <c r="O304" s="94">
        <f t="shared" si="99"/>
        <v>0</v>
      </c>
      <c r="P304" s="117"/>
    </row>
    <row r="305" spans="2:16" ht="17.25" outlineLevel="1" x14ac:dyDescent="0.2">
      <c r="B305" s="118"/>
      <c r="C305" s="132"/>
      <c r="D305" s="118"/>
      <c r="E305" s="118"/>
      <c r="F305" s="118"/>
      <c r="G305" s="118"/>
      <c r="H305" s="95" t="s">
        <v>4</v>
      </c>
      <c r="I305" s="94">
        <f t="shared" si="91"/>
        <v>7.8209999999999997</v>
      </c>
      <c r="J305" s="52"/>
      <c r="K305" s="52"/>
      <c r="L305" s="52"/>
      <c r="M305" s="17">
        <v>7.8209999999999997</v>
      </c>
      <c r="N305" s="52"/>
      <c r="O305" s="52"/>
      <c r="P305" s="118"/>
    </row>
    <row r="306" spans="2:16" ht="17.25" outlineLevel="1" x14ac:dyDescent="0.2">
      <c r="B306" s="118"/>
      <c r="C306" s="132"/>
      <c r="D306" s="118"/>
      <c r="E306" s="118"/>
      <c r="F306" s="118"/>
      <c r="G306" s="118"/>
      <c r="H306" s="95" t="s">
        <v>6</v>
      </c>
      <c r="I306" s="94">
        <f t="shared" si="91"/>
        <v>7.9000000000000001E-2</v>
      </c>
      <c r="J306" s="52"/>
      <c r="K306" s="52"/>
      <c r="L306" s="52"/>
      <c r="M306" s="17">
        <v>7.9000000000000001E-2</v>
      </c>
      <c r="N306" s="52"/>
      <c r="O306" s="52"/>
      <c r="P306" s="118"/>
    </row>
    <row r="307" spans="2:16" ht="17.25" outlineLevel="1" x14ac:dyDescent="0.2">
      <c r="B307" s="119"/>
      <c r="C307" s="133"/>
      <c r="D307" s="119"/>
      <c r="E307" s="119"/>
      <c r="F307" s="119"/>
      <c r="G307" s="119"/>
      <c r="H307" s="95" t="s">
        <v>5</v>
      </c>
      <c r="I307" s="94">
        <f t="shared" si="91"/>
        <v>0</v>
      </c>
      <c r="J307" s="52"/>
      <c r="K307" s="52"/>
      <c r="L307" s="52"/>
      <c r="M307" s="52"/>
      <c r="N307" s="52"/>
      <c r="O307" s="52"/>
      <c r="P307" s="119"/>
    </row>
    <row r="308" spans="2:16" ht="42.75" outlineLevel="1" x14ac:dyDescent="0.2">
      <c r="B308" s="117" t="s">
        <v>722</v>
      </c>
      <c r="C308" s="117"/>
      <c r="D308" s="117" t="s">
        <v>704</v>
      </c>
      <c r="E308" s="117" t="s">
        <v>171</v>
      </c>
      <c r="F308" s="117" t="s">
        <v>723</v>
      </c>
      <c r="G308" s="117" t="s">
        <v>63</v>
      </c>
      <c r="H308" s="95" t="s">
        <v>3</v>
      </c>
      <c r="I308" s="94">
        <f t="shared" si="91"/>
        <v>3.3</v>
      </c>
      <c r="J308" s="94">
        <v>0</v>
      </c>
      <c r="K308" s="94">
        <f t="shared" ref="K308:O308" si="100">K309+K310+K311</f>
        <v>3.3</v>
      </c>
      <c r="L308" s="94">
        <f t="shared" si="100"/>
        <v>0</v>
      </c>
      <c r="M308" s="94">
        <f t="shared" si="100"/>
        <v>0</v>
      </c>
      <c r="N308" s="94">
        <f t="shared" si="100"/>
        <v>0</v>
      </c>
      <c r="O308" s="94">
        <f t="shared" si="100"/>
        <v>0</v>
      </c>
      <c r="P308" s="117"/>
    </row>
    <row r="309" spans="2:16" ht="17.25" outlineLevel="1" x14ac:dyDescent="0.2">
      <c r="B309" s="118"/>
      <c r="C309" s="132"/>
      <c r="D309" s="118"/>
      <c r="E309" s="118"/>
      <c r="F309" s="118"/>
      <c r="G309" s="118"/>
      <c r="H309" s="95" t="s">
        <v>4</v>
      </c>
      <c r="I309" s="94">
        <f t="shared" si="91"/>
        <v>3.2669999999999999</v>
      </c>
      <c r="J309" s="52"/>
      <c r="K309" s="17">
        <v>3.2669999999999999</v>
      </c>
      <c r="L309" s="52"/>
      <c r="M309" s="52"/>
      <c r="N309" s="52"/>
      <c r="O309" s="52"/>
      <c r="P309" s="118"/>
    </row>
    <row r="310" spans="2:16" ht="17.25" outlineLevel="1" x14ac:dyDescent="0.2">
      <c r="B310" s="118"/>
      <c r="C310" s="132"/>
      <c r="D310" s="118"/>
      <c r="E310" s="118"/>
      <c r="F310" s="118"/>
      <c r="G310" s="118"/>
      <c r="H310" s="95" t="s">
        <v>6</v>
      </c>
      <c r="I310" s="94">
        <f t="shared" si="91"/>
        <v>3.3000000000000002E-2</v>
      </c>
      <c r="J310" s="52"/>
      <c r="K310" s="17">
        <v>3.3000000000000002E-2</v>
      </c>
      <c r="L310" s="52"/>
      <c r="M310" s="52"/>
      <c r="N310" s="52"/>
      <c r="O310" s="52"/>
      <c r="P310" s="118"/>
    </row>
    <row r="311" spans="2:16" ht="17.25" outlineLevel="1" x14ac:dyDescent="0.2">
      <c r="B311" s="119"/>
      <c r="C311" s="133"/>
      <c r="D311" s="119"/>
      <c r="E311" s="119"/>
      <c r="F311" s="119"/>
      <c r="G311" s="119"/>
      <c r="H311" s="95" t="s">
        <v>5</v>
      </c>
      <c r="I311" s="94">
        <f t="shared" si="91"/>
        <v>0</v>
      </c>
      <c r="J311" s="52"/>
      <c r="K311" s="52"/>
      <c r="L311" s="52"/>
      <c r="M311" s="52"/>
      <c r="N311" s="52"/>
      <c r="O311" s="52"/>
      <c r="P311" s="119"/>
    </row>
    <row r="312" spans="2:16" ht="42.75" outlineLevel="1" x14ac:dyDescent="0.2">
      <c r="B312" s="117" t="s">
        <v>724</v>
      </c>
      <c r="C312" s="117"/>
      <c r="D312" s="117" t="s">
        <v>704</v>
      </c>
      <c r="E312" s="117" t="s">
        <v>171</v>
      </c>
      <c r="F312" s="117" t="s">
        <v>725</v>
      </c>
      <c r="G312" s="117" t="s">
        <v>63</v>
      </c>
      <c r="H312" s="95" t="s">
        <v>3</v>
      </c>
      <c r="I312" s="94">
        <f t="shared" si="91"/>
        <v>26</v>
      </c>
      <c r="J312" s="94">
        <v>0</v>
      </c>
      <c r="K312" s="94">
        <f t="shared" ref="K312:O312" si="101">K313+K314+K315</f>
        <v>0</v>
      </c>
      <c r="L312" s="94">
        <f t="shared" si="101"/>
        <v>0</v>
      </c>
      <c r="M312" s="94">
        <f t="shared" si="101"/>
        <v>0</v>
      </c>
      <c r="N312" s="94">
        <f t="shared" si="101"/>
        <v>0</v>
      </c>
      <c r="O312" s="94">
        <f t="shared" si="101"/>
        <v>26</v>
      </c>
      <c r="P312" s="117"/>
    </row>
    <row r="313" spans="2:16" ht="17.25" outlineLevel="1" x14ac:dyDescent="0.2">
      <c r="B313" s="118"/>
      <c r="C313" s="132"/>
      <c r="D313" s="118"/>
      <c r="E313" s="118"/>
      <c r="F313" s="118"/>
      <c r="G313" s="118"/>
      <c r="H313" s="95" t="s">
        <v>4</v>
      </c>
      <c r="I313" s="94">
        <f t="shared" si="91"/>
        <v>25.74</v>
      </c>
      <c r="J313" s="52"/>
      <c r="K313" s="52"/>
      <c r="L313" s="52"/>
      <c r="M313" s="52"/>
      <c r="N313" s="52"/>
      <c r="O313" s="94">
        <v>25.74</v>
      </c>
      <c r="P313" s="118"/>
    </row>
    <row r="314" spans="2:16" ht="17.25" outlineLevel="1" x14ac:dyDescent="0.2">
      <c r="B314" s="118"/>
      <c r="C314" s="132"/>
      <c r="D314" s="118"/>
      <c r="E314" s="118"/>
      <c r="F314" s="118"/>
      <c r="G314" s="118"/>
      <c r="H314" s="95" t="s">
        <v>6</v>
      </c>
      <c r="I314" s="94">
        <f t="shared" si="91"/>
        <v>0.26</v>
      </c>
      <c r="J314" s="52"/>
      <c r="K314" s="52"/>
      <c r="L314" s="52"/>
      <c r="M314" s="52"/>
      <c r="N314" s="52"/>
      <c r="O314" s="94">
        <v>0.26</v>
      </c>
      <c r="P314" s="118"/>
    </row>
    <row r="315" spans="2:16" ht="17.25" outlineLevel="1" x14ac:dyDescent="0.2">
      <c r="B315" s="119"/>
      <c r="C315" s="133"/>
      <c r="D315" s="119"/>
      <c r="E315" s="119"/>
      <c r="F315" s="119"/>
      <c r="G315" s="119"/>
      <c r="H315" s="95" t="s">
        <v>5</v>
      </c>
      <c r="I315" s="94">
        <f t="shared" si="91"/>
        <v>0</v>
      </c>
      <c r="J315" s="52"/>
      <c r="K315" s="52"/>
      <c r="L315" s="52"/>
      <c r="M315" s="52"/>
      <c r="N315" s="52"/>
      <c r="O315" s="52"/>
      <c r="P315" s="119"/>
    </row>
    <row r="316" spans="2:16" ht="42.75" outlineLevel="1" x14ac:dyDescent="0.2">
      <c r="B316" s="117" t="s">
        <v>726</v>
      </c>
      <c r="C316" s="117"/>
      <c r="D316" s="117" t="s">
        <v>704</v>
      </c>
      <c r="E316" s="117" t="s">
        <v>171</v>
      </c>
      <c r="F316" s="117" t="s">
        <v>727</v>
      </c>
      <c r="G316" s="117" t="s">
        <v>63</v>
      </c>
      <c r="H316" s="95" t="s">
        <v>3</v>
      </c>
      <c r="I316" s="94">
        <f t="shared" si="91"/>
        <v>1.2999999999999998</v>
      </c>
      <c r="J316" s="94">
        <v>0</v>
      </c>
      <c r="K316" s="94">
        <f t="shared" ref="K316:O316" si="102">K317+K318+K319</f>
        <v>1.2999999999999998</v>
      </c>
      <c r="L316" s="94">
        <f t="shared" si="102"/>
        <v>0</v>
      </c>
      <c r="M316" s="94">
        <f t="shared" si="102"/>
        <v>0</v>
      </c>
      <c r="N316" s="94">
        <f t="shared" si="102"/>
        <v>0</v>
      </c>
      <c r="O316" s="94">
        <f t="shared" si="102"/>
        <v>0</v>
      </c>
      <c r="P316" s="117"/>
    </row>
    <row r="317" spans="2:16" ht="17.25" outlineLevel="1" x14ac:dyDescent="0.2">
      <c r="B317" s="118"/>
      <c r="C317" s="132"/>
      <c r="D317" s="118"/>
      <c r="E317" s="118"/>
      <c r="F317" s="118"/>
      <c r="G317" s="118"/>
      <c r="H317" s="95" t="s">
        <v>4</v>
      </c>
      <c r="I317" s="94">
        <f t="shared" si="91"/>
        <v>1.2869999999999999</v>
      </c>
      <c r="J317" s="52"/>
      <c r="K317" s="17">
        <v>1.2869999999999999</v>
      </c>
      <c r="L317" s="52"/>
      <c r="M317" s="52"/>
      <c r="N317" s="52"/>
      <c r="O317" s="52"/>
      <c r="P317" s="118"/>
    </row>
    <row r="318" spans="2:16" ht="17.25" outlineLevel="1" x14ac:dyDescent="0.2">
      <c r="B318" s="118"/>
      <c r="C318" s="132"/>
      <c r="D318" s="118"/>
      <c r="E318" s="118"/>
      <c r="F318" s="118"/>
      <c r="G318" s="118"/>
      <c r="H318" s="95" t="s">
        <v>6</v>
      </c>
      <c r="I318" s="94">
        <f t="shared" si="91"/>
        <v>1.2999999999999999E-2</v>
      </c>
      <c r="J318" s="52"/>
      <c r="K318" s="17">
        <v>1.2999999999999999E-2</v>
      </c>
      <c r="L318" s="52"/>
      <c r="M318" s="52"/>
      <c r="N318" s="52"/>
      <c r="O318" s="52"/>
      <c r="P318" s="118"/>
    </row>
    <row r="319" spans="2:16" ht="17.25" outlineLevel="1" x14ac:dyDescent="0.2">
      <c r="B319" s="119"/>
      <c r="C319" s="133"/>
      <c r="D319" s="119"/>
      <c r="E319" s="119"/>
      <c r="F319" s="119"/>
      <c r="G319" s="119"/>
      <c r="H319" s="95" t="s">
        <v>5</v>
      </c>
      <c r="I319" s="94">
        <f t="shared" si="91"/>
        <v>0</v>
      </c>
      <c r="J319" s="52"/>
      <c r="K319" s="52"/>
      <c r="L319" s="52"/>
      <c r="M319" s="52"/>
      <c r="N319" s="52"/>
      <c r="O319" s="52"/>
      <c r="P319" s="119"/>
    </row>
    <row r="320" spans="2:16" ht="42.75" outlineLevel="1" x14ac:dyDescent="0.2">
      <c r="B320" s="117" t="s">
        <v>728</v>
      </c>
      <c r="C320" s="117"/>
      <c r="D320" s="117" t="s">
        <v>704</v>
      </c>
      <c r="E320" s="117" t="s">
        <v>171</v>
      </c>
      <c r="F320" s="117" t="s">
        <v>727</v>
      </c>
      <c r="G320" s="117" t="s">
        <v>63</v>
      </c>
      <c r="H320" s="95" t="s">
        <v>3</v>
      </c>
      <c r="I320" s="94">
        <f t="shared" si="91"/>
        <v>34.4</v>
      </c>
      <c r="J320" s="94">
        <v>0</v>
      </c>
      <c r="K320" s="94">
        <f t="shared" ref="K320:O320" si="103">K321+K322+K323</f>
        <v>0</v>
      </c>
      <c r="L320" s="94">
        <f t="shared" si="103"/>
        <v>0</v>
      </c>
      <c r="M320" s="94">
        <f t="shared" si="103"/>
        <v>0</v>
      </c>
      <c r="N320" s="94">
        <f t="shared" si="103"/>
        <v>34.4</v>
      </c>
      <c r="O320" s="94">
        <f t="shared" si="103"/>
        <v>0</v>
      </c>
      <c r="P320" s="117"/>
    </row>
    <row r="321" spans="2:16" ht="17.25" outlineLevel="1" x14ac:dyDescent="0.2">
      <c r="B321" s="118"/>
      <c r="C321" s="132"/>
      <c r="D321" s="118"/>
      <c r="E321" s="118"/>
      <c r="F321" s="118"/>
      <c r="G321" s="118"/>
      <c r="H321" s="95" t="s">
        <v>4</v>
      </c>
      <c r="I321" s="94">
        <f t="shared" si="91"/>
        <v>34.055999999999997</v>
      </c>
      <c r="J321" s="52"/>
      <c r="K321" s="52"/>
      <c r="L321" s="52"/>
      <c r="M321" s="52"/>
      <c r="N321" s="41">
        <v>34.055999999999997</v>
      </c>
      <c r="O321" s="52"/>
      <c r="P321" s="118"/>
    </row>
    <row r="322" spans="2:16" ht="17.25" outlineLevel="1" x14ac:dyDescent="0.2">
      <c r="B322" s="118"/>
      <c r="C322" s="132"/>
      <c r="D322" s="118"/>
      <c r="E322" s="118"/>
      <c r="F322" s="118"/>
      <c r="G322" s="118"/>
      <c r="H322" s="95" t="s">
        <v>6</v>
      </c>
      <c r="I322" s="94">
        <f t="shared" si="91"/>
        <v>0.34399999999999997</v>
      </c>
      <c r="J322" s="52"/>
      <c r="K322" s="52"/>
      <c r="L322" s="52"/>
      <c r="M322" s="52"/>
      <c r="N322" s="41">
        <v>0.34399999999999997</v>
      </c>
      <c r="O322" s="52"/>
      <c r="P322" s="118"/>
    </row>
    <row r="323" spans="2:16" ht="17.25" outlineLevel="1" x14ac:dyDescent="0.2">
      <c r="B323" s="119"/>
      <c r="C323" s="133"/>
      <c r="D323" s="119"/>
      <c r="E323" s="119"/>
      <c r="F323" s="119"/>
      <c r="G323" s="119"/>
      <c r="H323" s="95" t="s">
        <v>5</v>
      </c>
      <c r="I323" s="94">
        <f t="shared" si="91"/>
        <v>0</v>
      </c>
      <c r="J323" s="52"/>
      <c r="K323" s="52"/>
      <c r="L323" s="52"/>
      <c r="M323" s="52"/>
      <c r="N323" s="52"/>
      <c r="O323" s="52"/>
      <c r="P323" s="119"/>
    </row>
    <row r="324" spans="2:16" ht="42.75" outlineLevel="1" x14ac:dyDescent="0.2">
      <c r="B324" s="117" t="s">
        <v>729</v>
      </c>
      <c r="C324" s="117"/>
      <c r="D324" s="117" t="s">
        <v>704</v>
      </c>
      <c r="E324" s="117" t="s">
        <v>171</v>
      </c>
      <c r="F324" s="117" t="s">
        <v>730</v>
      </c>
      <c r="G324" s="117" t="s">
        <v>63</v>
      </c>
      <c r="H324" s="95" t="s">
        <v>3</v>
      </c>
      <c r="I324" s="94">
        <f t="shared" si="91"/>
        <v>73</v>
      </c>
      <c r="J324" s="94">
        <v>0</v>
      </c>
      <c r="K324" s="94">
        <f t="shared" ref="K324:O324" si="104">K325+K326+K327</f>
        <v>73</v>
      </c>
      <c r="L324" s="94">
        <f t="shared" si="104"/>
        <v>0</v>
      </c>
      <c r="M324" s="94">
        <f t="shared" si="104"/>
        <v>0</v>
      </c>
      <c r="N324" s="94">
        <f t="shared" si="104"/>
        <v>0</v>
      </c>
      <c r="O324" s="94">
        <f t="shared" si="104"/>
        <v>0</v>
      </c>
      <c r="P324" s="117">
        <v>1916</v>
      </c>
    </row>
    <row r="325" spans="2:16" ht="17.25" outlineLevel="1" x14ac:dyDescent="0.2">
      <c r="B325" s="118"/>
      <c r="C325" s="132"/>
      <c r="D325" s="118"/>
      <c r="E325" s="118"/>
      <c r="F325" s="118"/>
      <c r="G325" s="118"/>
      <c r="H325" s="95" t="s">
        <v>4</v>
      </c>
      <c r="I325" s="94">
        <f t="shared" si="91"/>
        <v>72.27</v>
      </c>
      <c r="J325" s="52"/>
      <c r="K325" s="94">
        <v>72.27</v>
      </c>
      <c r="L325" s="52"/>
      <c r="M325" s="52"/>
      <c r="N325" s="52"/>
      <c r="O325" s="52"/>
      <c r="P325" s="118"/>
    </row>
    <row r="326" spans="2:16" ht="17.25" outlineLevel="1" x14ac:dyDescent="0.2">
      <c r="B326" s="118"/>
      <c r="C326" s="132"/>
      <c r="D326" s="118"/>
      <c r="E326" s="118"/>
      <c r="F326" s="118"/>
      <c r="G326" s="118"/>
      <c r="H326" s="95" t="s">
        <v>6</v>
      </c>
      <c r="I326" s="94">
        <f t="shared" si="91"/>
        <v>0.73</v>
      </c>
      <c r="J326" s="52"/>
      <c r="K326" s="94">
        <v>0.73</v>
      </c>
      <c r="L326" s="52"/>
      <c r="M326" s="52"/>
      <c r="N326" s="52"/>
      <c r="O326" s="52"/>
      <c r="P326" s="118"/>
    </row>
    <row r="327" spans="2:16" ht="17.25" outlineLevel="1" x14ac:dyDescent="0.2">
      <c r="B327" s="119"/>
      <c r="C327" s="133"/>
      <c r="D327" s="119"/>
      <c r="E327" s="119"/>
      <c r="F327" s="119"/>
      <c r="G327" s="119"/>
      <c r="H327" s="95" t="s">
        <v>5</v>
      </c>
      <c r="I327" s="94">
        <f t="shared" si="91"/>
        <v>0</v>
      </c>
      <c r="J327" s="52"/>
      <c r="K327" s="52"/>
      <c r="L327" s="52"/>
      <c r="M327" s="52"/>
      <c r="N327" s="52"/>
      <c r="O327" s="52"/>
      <c r="P327" s="119"/>
    </row>
    <row r="328" spans="2:16" ht="42.75" outlineLevel="1" x14ac:dyDescent="0.2">
      <c r="B328" s="117" t="s">
        <v>731</v>
      </c>
      <c r="C328" s="117"/>
      <c r="D328" s="117" t="s">
        <v>704</v>
      </c>
      <c r="E328" s="117" t="s">
        <v>171</v>
      </c>
      <c r="F328" s="117" t="s">
        <v>732</v>
      </c>
      <c r="G328" s="117" t="s">
        <v>63</v>
      </c>
      <c r="H328" s="95" t="s">
        <v>3</v>
      </c>
      <c r="I328" s="94">
        <f t="shared" si="91"/>
        <v>6.1</v>
      </c>
      <c r="J328" s="94">
        <v>0</v>
      </c>
      <c r="K328" s="94">
        <f t="shared" ref="K328:O328" si="105">K329+K330+K331</f>
        <v>6.1</v>
      </c>
      <c r="L328" s="94">
        <f t="shared" si="105"/>
        <v>0</v>
      </c>
      <c r="M328" s="94">
        <f t="shared" si="105"/>
        <v>0</v>
      </c>
      <c r="N328" s="94">
        <f t="shared" si="105"/>
        <v>0</v>
      </c>
      <c r="O328" s="94">
        <f t="shared" si="105"/>
        <v>0</v>
      </c>
      <c r="P328" s="117"/>
    </row>
    <row r="329" spans="2:16" ht="17.25" outlineLevel="1" x14ac:dyDescent="0.2">
      <c r="B329" s="118"/>
      <c r="C329" s="132"/>
      <c r="D329" s="118"/>
      <c r="E329" s="118"/>
      <c r="F329" s="118"/>
      <c r="G329" s="118"/>
      <c r="H329" s="95" t="s">
        <v>4</v>
      </c>
      <c r="I329" s="94">
        <f t="shared" si="91"/>
        <v>6.0389999999999997</v>
      </c>
      <c r="J329" s="52"/>
      <c r="K329" s="17">
        <v>6.0389999999999997</v>
      </c>
      <c r="L329" s="52"/>
      <c r="M329" s="52"/>
      <c r="N329" s="52"/>
      <c r="O329" s="52"/>
      <c r="P329" s="118"/>
    </row>
    <row r="330" spans="2:16" ht="17.25" outlineLevel="1" x14ac:dyDescent="0.2">
      <c r="B330" s="118"/>
      <c r="C330" s="132"/>
      <c r="D330" s="118"/>
      <c r="E330" s="118"/>
      <c r="F330" s="118"/>
      <c r="G330" s="118"/>
      <c r="H330" s="95" t="s">
        <v>6</v>
      </c>
      <c r="I330" s="94">
        <f t="shared" si="91"/>
        <v>6.0999999999999999E-2</v>
      </c>
      <c r="J330" s="52"/>
      <c r="K330" s="17">
        <v>6.0999999999999999E-2</v>
      </c>
      <c r="L330" s="52"/>
      <c r="M330" s="52"/>
      <c r="N330" s="52"/>
      <c r="O330" s="52"/>
      <c r="P330" s="118"/>
    </row>
    <row r="331" spans="2:16" ht="17.25" outlineLevel="1" x14ac:dyDescent="0.2">
      <c r="B331" s="119"/>
      <c r="C331" s="133"/>
      <c r="D331" s="119"/>
      <c r="E331" s="119"/>
      <c r="F331" s="119"/>
      <c r="G331" s="119"/>
      <c r="H331" s="95" t="s">
        <v>5</v>
      </c>
      <c r="I331" s="94">
        <f t="shared" si="91"/>
        <v>0</v>
      </c>
      <c r="J331" s="52"/>
      <c r="K331" s="52"/>
      <c r="L331" s="52"/>
      <c r="M331" s="52"/>
      <c r="N331" s="52"/>
      <c r="O331" s="52"/>
      <c r="P331" s="119"/>
    </row>
    <row r="332" spans="2:16" ht="42.75" outlineLevel="1" x14ac:dyDescent="0.2">
      <c r="B332" s="117" t="s">
        <v>733</v>
      </c>
      <c r="C332" s="117"/>
      <c r="D332" s="117" t="s">
        <v>704</v>
      </c>
      <c r="E332" s="117" t="s">
        <v>171</v>
      </c>
      <c r="F332" s="117" t="s">
        <v>734</v>
      </c>
      <c r="G332" s="117" t="s">
        <v>63</v>
      </c>
      <c r="H332" s="95" t="s">
        <v>3</v>
      </c>
      <c r="I332" s="94">
        <f t="shared" si="91"/>
        <v>15</v>
      </c>
      <c r="J332" s="94">
        <v>0</v>
      </c>
      <c r="K332" s="94">
        <f t="shared" ref="K332:O332" si="106">K333+K334+K335</f>
        <v>15</v>
      </c>
      <c r="L332" s="94">
        <f t="shared" si="106"/>
        <v>0</v>
      </c>
      <c r="M332" s="94">
        <f t="shared" si="106"/>
        <v>0</v>
      </c>
      <c r="N332" s="94">
        <f t="shared" si="106"/>
        <v>0</v>
      </c>
      <c r="O332" s="94">
        <f t="shared" si="106"/>
        <v>0</v>
      </c>
      <c r="P332" s="117">
        <v>215</v>
      </c>
    </row>
    <row r="333" spans="2:16" ht="17.25" outlineLevel="1" x14ac:dyDescent="0.2">
      <c r="B333" s="118"/>
      <c r="C333" s="132"/>
      <c r="D333" s="118"/>
      <c r="E333" s="118"/>
      <c r="F333" s="118"/>
      <c r="G333" s="118"/>
      <c r="H333" s="95" t="s">
        <v>4</v>
      </c>
      <c r="I333" s="94">
        <f t="shared" si="91"/>
        <v>14.85</v>
      </c>
      <c r="J333" s="52"/>
      <c r="K333" s="94">
        <v>14.85</v>
      </c>
      <c r="L333" s="52"/>
      <c r="M333" s="52"/>
      <c r="N333" s="52"/>
      <c r="O333" s="52"/>
      <c r="P333" s="118"/>
    </row>
    <row r="334" spans="2:16" ht="17.25" outlineLevel="1" x14ac:dyDescent="0.2">
      <c r="B334" s="118"/>
      <c r="C334" s="132"/>
      <c r="D334" s="118"/>
      <c r="E334" s="118"/>
      <c r="F334" s="118"/>
      <c r="G334" s="118"/>
      <c r="H334" s="95" t="s">
        <v>6</v>
      </c>
      <c r="I334" s="94">
        <f t="shared" si="91"/>
        <v>0.15</v>
      </c>
      <c r="J334" s="52"/>
      <c r="K334" s="94">
        <v>0.15</v>
      </c>
      <c r="L334" s="52"/>
      <c r="M334" s="52"/>
      <c r="N334" s="52"/>
      <c r="O334" s="52"/>
      <c r="P334" s="118"/>
    </row>
    <row r="335" spans="2:16" ht="17.25" outlineLevel="1" x14ac:dyDescent="0.2">
      <c r="B335" s="119"/>
      <c r="C335" s="133"/>
      <c r="D335" s="119"/>
      <c r="E335" s="119"/>
      <c r="F335" s="119"/>
      <c r="G335" s="119"/>
      <c r="H335" s="95" t="s">
        <v>5</v>
      </c>
      <c r="I335" s="94">
        <f t="shared" si="91"/>
        <v>0</v>
      </c>
      <c r="J335" s="52"/>
      <c r="K335" s="52"/>
      <c r="L335" s="52"/>
      <c r="M335" s="52"/>
      <c r="N335" s="52"/>
      <c r="O335" s="52"/>
      <c r="P335" s="119"/>
    </row>
    <row r="336" spans="2:16" ht="42.75" outlineLevel="1" x14ac:dyDescent="0.2">
      <c r="B336" s="117" t="s">
        <v>735</v>
      </c>
      <c r="C336" s="117"/>
      <c r="D336" s="117" t="s">
        <v>704</v>
      </c>
      <c r="E336" s="117" t="s">
        <v>171</v>
      </c>
      <c r="F336" s="117" t="s">
        <v>736</v>
      </c>
      <c r="G336" s="117" t="s">
        <v>63</v>
      </c>
      <c r="H336" s="95" t="s">
        <v>3</v>
      </c>
      <c r="I336" s="94">
        <f t="shared" si="91"/>
        <v>3.3</v>
      </c>
      <c r="J336" s="94">
        <v>0</v>
      </c>
      <c r="K336" s="94">
        <f t="shared" ref="K336:O336" si="107">K337+K338+K339</f>
        <v>0</v>
      </c>
      <c r="L336" s="94">
        <f t="shared" si="107"/>
        <v>3.3</v>
      </c>
      <c r="M336" s="94">
        <f t="shared" si="107"/>
        <v>0</v>
      </c>
      <c r="N336" s="94">
        <f t="shared" si="107"/>
        <v>0</v>
      </c>
      <c r="O336" s="94">
        <f t="shared" si="107"/>
        <v>0</v>
      </c>
      <c r="P336" s="117">
        <v>215</v>
      </c>
    </row>
    <row r="337" spans="2:18" ht="17.25" outlineLevel="1" x14ac:dyDescent="0.2">
      <c r="B337" s="118"/>
      <c r="C337" s="132"/>
      <c r="D337" s="118"/>
      <c r="E337" s="118"/>
      <c r="F337" s="118"/>
      <c r="G337" s="118"/>
      <c r="H337" s="95" t="s">
        <v>4</v>
      </c>
      <c r="I337" s="94">
        <f t="shared" ref="I337:I347" si="108">SUM(J337:O337)</f>
        <v>3.2669999999999999</v>
      </c>
      <c r="J337" s="52"/>
      <c r="K337" s="52"/>
      <c r="L337" s="17">
        <v>3.2669999999999999</v>
      </c>
      <c r="M337" s="52"/>
      <c r="N337" s="52"/>
      <c r="O337" s="52"/>
      <c r="P337" s="118"/>
    </row>
    <row r="338" spans="2:18" ht="17.25" outlineLevel="1" x14ac:dyDescent="0.2">
      <c r="B338" s="118"/>
      <c r="C338" s="132"/>
      <c r="D338" s="118"/>
      <c r="E338" s="118"/>
      <c r="F338" s="118"/>
      <c r="G338" s="118"/>
      <c r="H338" s="95" t="s">
        <v>6</v>
      </c>
      <c r="I338" s="94">
        <f t="shared" si="108"/>
        <v>3.3000000000000002E-2</v>
      </c>
      <c r="J338" s="52"/>
      <c r="K338" s="52"/>
      <c r="L338" s="17">
        <v>3.3000000000000002E-2</v>
      </c>
      <c r="M338" s="52"/>
      <c r="N338" s="52"/>
      <c r="O338" s="52"/>
      <c r="P338" s="118"/>
    </row>
    <row r="339" spans="2:18" ht="17.25" outlineLevel="1" x14ac:dyDescent="0.2">
      <c r="B339" s="119"/>
      <c r="C339" s="133"/>
      <c r="D339" s="119"/>
      <c r="E339" s="119"/>
      <c r="F339" s="119"/>
      <c r="G339" s="119"/>
      <c r="H339" s="95" t="s">
        <v>5</v>
      </c>
      <c r="I339" s="94">
        <f t="shared" si="108"/>
        <v>0</v>
      </c>
      <c r="J339" s="52"/>
      <c r="K339" s="52"/>
      <c r="L339" s="52"/>
      <c r="M339" s="52"/>
      <c r="N339" s="52"/>
      <c r="O339" s="52"/>
      <c r="P339" s="119"/>
    </row>
    <row r="340" spans="2:18" ht="42.75" outlineLevel="1" x14ac:dyDescent="0.2">
      <c r="B340" s="117" t="s">
        <v>737</v>
      </c>
      <c r="C340" s="117"/>
      <c r="D340" s="117" t="s">
        <v>704</v>
      </c>
      <c r="E340" s="117" t="s">
        <v>171</v>
      </c>
      <c r="F340" s="117" t="s">
        <v>738</v>
      </c>
      <c r="G340" s="117" t="s">
        <v>63</v>
      </c>
      <c r="H340" s="95" t="s">
        <v>3</v>
      </c>
      <c r="I340" s="94">
        <f t="shared" si="108"/>
        <v>25.5</v>
      </c>
      <c r="J340" s="94">
        <v>0</v>
      </c>
      <c r="K340" s="94">
        <f t="shared" ref="K340:O340" si="109">K341+K342+K343</f>
        <v>0</v>
      </c>
      <c r="L340" s="94">
        <f t="shared" si="109"/>
        <v>25.5</v>
      </c>
      <c r="M340" s="94">
        <f t="shared" si="109"/>
        <v>0</v>
      </c>
      <c r="N340" s="94">
        <f t="shared" si="109"/>
        <v>0</v>
      </c>
      <c r="O340" s="94">
        <f t="shared" si="109"/>
        <v>0</v>
      </c>
      <c r="P340" s="117">
        <v>91</v>
      </c>
    </row>
    <row r="341" spans="2:18" ht="17.25" outlineLevel="1" x14ac:dyDescent="0.2">
      <c r="B341" s="118"/>
      <c r="C341" s="132"/>
      <c r="D341" s="118"/>
      <c r="E341" s="118"/>
      <c r="F341" s="118"/>
      <c r="G341" s="118"/>
      <c r="H341" s="95" t="s">
        <v>4</v>
      </c>
      <c r="I341" s="94">
        <f t="shared" si="108"/>
        <v>25.245000000000001</v>
      </c>
      <c r="J341" s="52"/>
      <c r="K341" s="52"/>
      <c r="L341" s="17">
        <v>25.245000000000001</v>
      </c>
      <c r="M341" s="52"/>
      <c r="N341" s="52"/>
      <c r="O341" s="52"/>
      <c r="P341" s="118"/>
    </row>
    <row r="342" spans="2:18" ht="17.25" outlineLevel="1" x14ac:dyDescent="0.2">
      <c r="B342" s="118"/>
      <c r="C342" s="132"/>
      <c r="D342" s="118"/>
      <c r="E342" s="118"/>
      <c r="F342" s="118"/>
      <c r="G342" s="118"/>
      <c r="H342" s="95" t="s">
        <v>6</v>
      </c>
      <c r="I342" s="94">
        <f t="shared" si="108"/>
        <v>0.255</v>
      </c>
      <c r="J342" s="52"/>
      <c r="K342" s="52"/>
      <c r="L342" s="17">
        <v>0.255</v>
      </c>
      <c r="M342" s="52"/>
      <c r="N342" s="52"/>
      <c r="O342" s="52"/>
      <c r="P342" s="118"/>
    </row>
    <row r="343" spans="2:18" ht="17.25" outlineLevel="1" x14ac:dyDescent="0.2">
      <c r="B343" s="119"/>
      <c r="C343" s="133"/>
      <c r="D343" s="119"/>
      <c r="E343" s="119"/>
      <c r="F343" s="119"/>
      <c r="G343" s="119"/>
      <c r="H343" s="95" t="s">
        <v>5</v>
      </c>
      <c r="I343" s="94">
        <f t="shared" si="108"/>
        <v>0</v>
      </c>
      <c r="J343" s="52"/>
      <c r="K343" s="52"/>
      <c r="L343" s="52"/>
      <c r="M343" s="52"/>
      <c r="N343" s="52"/>
      <c r="O343" s="52"/>
      <c r="P343" s="119"/>
    </row>
    <row r="344" spans="2:18" ht="42.75" outlineLevel="1" x14ac:dyDescent="0.2">
      <c r="B344" s="117" t="s">
        <v>739</v>
      </c>
      <c r="C344" s="117"/>
      <c r="D344" s="117" t="s">
        <v>704</v>
      </c>
      <c r="E344" s="117" t="s">
        <v>171</v>
      </c>
      <c r="F344" s="117" t="s">
        <v>740</v>
      </c>
      <c r="G344" s="117" t="s">
        <v>63</v>
      </c>
      <c r="H344" s="95" t="s">
        <v>3</v>
      </c>
      <c r="I344" s="94">
        <f t="shared" si="108"/>
        <v>62</v>
      </c>
      <c r="J344" s="94">
        <v>0</v>
      </c>
      <c r="K344" s="94">
        <f t="shared" ref="K344:O344" si="110">K345+K346+K347</f>
        <v>62</v>
      </c>
      <c r="L344" s="94">
        <f t="shared" si="110"/>
        <v>0</v>
      </c>
      <c r="M344" s="94">
        <f t="shared" si="110"/>
        <v>0</v>
      </c>
      <c r="N344" s="94">
        <f t="shared" si="110"/>
        <v>0</v>
      </c>
      <c r="O344" s="94">
        <f t="shared" si="110"/>
        <v>0</v>
      </c>
      <c r="P344" s="117">
        <v>1701</v>
      </c>
    </row>
    <row r="345" spans="2:18" ht="17.25" outlineLevel="1" x14ac:dyDescent="0.2">
      <c r="B345" s="118"/>
      <c r="C345" s="132"/>
      <c r="D345" s="118"/>
      <c r="E345" s="118"/>
      <c r="F345" s="118"/>
      <c r="G345" s="118"/>
      <c r="H345" s="95" t="s">
        <v>4</v>
      </c>
      <c r="I345" s="94">
        <f t="shared" si="108"/>
        <v>61.38</v>
      </c>
      <c r="J345" s="52"/>
      <c r="K345" s="94">
        <v>61.38</v>
      </c>
      <c r="L345" s="52"/>
      <c r="M345" s="52"/>
      <c r="N345" s="52"/>
      <c r="O345" s="52"/>
      <c r="P345" s="118"/>
    </row>
    <row r="346" spans="2:18" ht="17.25" outlineLevel="1" x14ac:dyDescent="0.2">
      <c r="B346" s="118"/>
      <c r="C346" s="132"/>
      <c r="D346" s="118"/>
      <c r="E346" s="118"/>
      <c r="F346" s="118"/>
      <c r="G346" s="118"/>
      <c r="H346" s="95" t="s">
        <v>6</v>
      </c>
      <c r="I346" s="94">
        <f t="shared" si="108"/>
        <v>0.62</v>
      </c>
      <c r="J346" s="52"/>
      <c r="K346" s="94">
        <v>0.62</v>
      </c>
      <c r="L346" s="52"/>
      <c r="M346" s="52"/>
      <c r="N346" s="52"/>
      <c r="O346" s="52"/>
      <c r="P346" s="118"/>
    </row>
    <row r="347" spans="2:18" ht="17.25" outlineLevel="1" x14ac:dyDescent="0.2">
      <c r="B347" s="119"/>
      <c r="C347" s="133"/>
      <c r="D347" s="119"/>
      <c r="E347" s="119"/>
      <c r="F347" s="119"/>
      <c r="G347" s="119"/>
      <c r="H347" s="95" t="s">
        <v>5</v>
      </c>
      <c r="I347" s="94">
        <f t="shared" si="108"/>
        <v>0</v>
      </c>
      <c r="J347" s="52"/>
      <c r="K347" s="52"/>
      <c r="L347" s="52"/>
      <c r="M347" s="52"/>
      <c r="N347" s="52"/>
      <c r="O347" s="52"/>
      <c r="P347" s="119"/>
    </row>
    <row r="348" spans="2:18" ht="42.75" x14ac:dyDescent="0.2">
      <c r="B348" s="128" t="s">
        <v>288</v>
      </c>
      <c r="C348" s="128" t="s">
        <v>38</v>
      </c>
      <c r="D348" s="128" t="s">
        <v>38</v>
      </c>
      <c r="E348" s="128" t="s">
        <v>38</v>
      </c>
      <c r="F348" s="128" t="s">
        <v>38</v>
      </c>
      <c r="G348" s="128" t="s">
        <v>38</v>
      </c>
      <c r="H348" s="95" t="s">
        <v>3</v>
      </c>
      <c r="I348" s="14">
        <f>SUMIF($H$272:$H$347,"Объем*",I$272:I$347)</f>
        <v>659.56</v>
      </c>
      <c r="J348" s="14">
        <f t="shared" ref="J348:O348" si="111">SUMIF($H$272:$H$347,"Объем*",J$272:J$347)</f>
        <v>9.6</v>
      </c>
      <c r="K348" s="14">
        <f t="shared" si="111"/>
        <v>188.39999999999998</v>
      </c>
      <c r="L348" s="14">
        <f t="shared" si="111"/>
        <v>80.66</v>
      </c>
      <c r="M348" s="14">
        <f t="shared" si="111"/>
        <v>105</v>
      </c>
      <c r="N348" s="14">
        <f t="shared" si="111"/>
        <v>249.9</v>
      </c>
      <c r="O348" s="14">
        <f t="shared" si="111"/>
        <v>26</v>
      </c>
      <c r="P348" s="128">
        <v>0</v>
      </c>
      <c r="Q348" s="7"/>
      <c r="R348" s="7"/>
    </row>
    <row r="349" spans="2:18" ht="15.75" x14ac:dyDescent="0.2">
      <c r="B349" s="129"/>
      <c r="C349" s="129"/>
      <c r="D349" s="129"/>
      <c r="E349" s="129"/>
      <c r="F349" s="129"/>
      <c r="G349" s="129"/>
      <c r="H349" s="95" t="s">
        <v>4</v>
      </c>
      <c r="I349" s="14">
        <f>SUMIF($H$272:$H$347,"фед*",I$272:I$347)</f>
        <v>643.46040000000005</v>
      </c>
      <c r="J349" s="14">
        <f t="shared" ref="J349:O349" si="112">SUMIF($H$272:$H$347,"фед*",J$272:J$347)</f>
        <v>0</v>
      </c>
      <c r="K349" s="14">
        <f t="shared" si="112"/>
        <v>186.51599999999999</v>
      </c>
      <c r="L349" s="14">
        <f t="shared" si="112"/>
        <v>79.853400000000008</v>
      </c>
      <c r="M349" s="14">
        <f t="shared" si="112"/>
        <v>103.95</v>
      </c>
      <c r="N349" s="14">
        <f t="shared" si="112"/>
        <v>247.40100000000001</v>
      </c>
      <c r="O349" s="14">
        <f t="shared" si="112"/>
        <v>25.74</v>
      </c>
      <c r="P349" s="129"/>
      <c r="Q349" s="7"/>
    </row>
    <row r="350" spans="2:18" ht="15.75" x14ac:dyDescent="0.2">
      <c r="B350" s="129"/>
      <c r="C350" s="129"/>
      <c r="D350" s="129"/>
      <c r="E350" s="129"/>
      <c r="F350" s="129"/>
      <c r="G350" s="129"/>
      <c r="H350" s="95" t="s">
        <v>6</v>
      </c>
      <c r="I350" s="14">
        <f>SUMIF($H$272:$H$347,"конс*",I$272:I$347)</f>
        <v>16.099599999999999</v>
      </c>
      <c r="J350" s="14">
        <f t="shared" ref="J350:O350" si="113">SUMIF($H$272:$H$347,"конс*",J$272:J$347)</f>
        <v>9.6</v>
      </c>
      <c r="K350" s="14">
        <f t="shared" si="113"/>
        <v>1.8839999999999999</v>
      </c>
      <c r="L350" s="14">
        <f t="shared" si="113"/>
        <v>0.80659999999999998</v>
      </c>
      <c r="M350" s="14">
        <f t="shared" si="113"/>
        <v>1.05</v>
      </c>
      <c r="N350" s="14">
        <f t="shared" si="113"/>
        <v>2.4990000000000001</v>
      </c>
      <c r="O350" s="14">
        <f t="shared" si="113"/>
        <v>0.26</v>
      </c>
      <c r="P350" s="129"/>
      <c r="Q350" s="7"/>
    </row>
    <row r="351" spans="2:18" ht="15.75" x14ac:dyDescent="0.2">
      <c r="B351" s="130"/>
      <c r="C351" s="130"/>
      <c r="D351" s="130"/>
      <c r="E351" s="130"/>
      <c r="F351" s="130"/>
      <c r="G351" s="130"/>
      <c r="H351" s="95" t="s">
        <v>5</v>
      </c>
      <c r="I351" s="14">
        <f>SUMIF($H$272:$H$347,"вне*",I$272:I$347)</f>
        <v>0</v>
      </c>
      <c r="J351" s="14">
        <f t="shared" ref="J351:O351" si="114">SUMIF($H$272:$H$347,"вне*",J$272:J$347)</f>
        <v>0</v>
      </c>
      <c r="K351" s="14">
        <f t="shared" si="114"/>
        <v>0</v>
      </c>
      <c r="L351" s="14">
        <f t="shared" si="114"/>
        <v>0</v>
      </c>
      <c r="M351" s="14">
        <f t="shared" si="114"/>
        <v>0</v>
      </c>
      <c r="N351" s="14">
        <f t="shared" si="114"/>
        <v>0</v>
      </c>
      <c r="O351" s="14">
        <f t="shared" si="114"/>
        <v>0</v>
      </c>
      <c r="P351" s="130"/>
      <c r="Q351" s="7"/>
    </row>
    <row r="352" spans="2:18" ht="25.5" customHeight="1" x14ac:dyDescent="0.2">
      <c r="B352" s="111" t="s">
        <v>289</v>
      </c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3"/>
    </row>
    <row r="353" spans="2:16" ht="42.75" outlineLevel="1" x14ac:dyDescent="0.2">
      <c r="B353" s="117" t="s">
        <v>741</v>
      </c>
      <c r="C353" s="117" t="s">
        <v>628</v>
      </c>
      <c r="D353" s="117" t="s">
        <v>289</v>
      </c>
      <c r="E353" s="117">
        <v>2022</v>
      </c>
      <c r="F353" s="117" t="s">
        <v>629</v>
      </c>
      <c r="G353" s="117" t="s">
        <v>138</v>
      </c>
      <c r="H353" s="95" t="s">
        <v>3</v>
      </c>
      <c r="I353" s="94">
        <f t="shared" ref="I353:I400" si="115">SUM(J353:O353)</f>
        <v>93.300000000000011</v>
      </c>
      <c r="J353" s="94">
        <f t="shared" ref="J353:O353" si="116">J354+J355+J356</f>
        <v>0</v>
      </c>
      <c r="K353" s="94">
        <f t="shared" si="116"/>
        <v>0</v>
      </c>
      <c r="L353" s="94">
        <f t="shared" si="116"/>
        <v>93.300000000000011</v>
      </c>
      <c r="M353" s="94">
        <f t="shared" si="116"/>
        <v>0</v>
      </c>
      <c r="N353" s="94">
        <f t="shared" si="116"/>
        <v>0</v>
      </c>
      <c r="O353" s="94">
        <f t="shared" si="116"/>
        <v>0</v>
      </c>
      <c r="P353" s="117"/>
    </row>
    <row r="354" spans="2:16" outlineLevel="1" x14ac:dyDescent="0.2">
      <c r="B354" s="118"/>
      <c r="C354" s="118"/>
      <c r="D354" s="118"/>
      <c r="E354" s="118"/>
      <c r="F354" s="118"/>
      <c r="G354" s="118"/>
      <c r="H354" s="95" t="s">
        <v>4</v>
      </c>
      <c r="I354" s="94">
        <f t="shared" si="115"/>
        <v>92.4</v>
      </c>
      <c r="J354" s="94"/>
      <c r="K354" s="94"/>
      <c r="L354" s="94">
        <v>92.4</v>
      </c>
      <c r="M354" s="94"/>
      <c r="N354" s="94"/>
      <c r="O354" s="94"/>
      <c r="P354" s="118"/>
    </row>
    <row r="355" spans="2:16" outlineLevel="1" x14ac:dyDescent="0.2">
      <c r="B355" s="118"/>
      <c r="C355" s="118"/>
      <c r="D355" s="118"/>
      <c r="E355" s="118"/>
      <c r="F355" s="118"/>
      <c r="G355" s="118"/>
      <c r="H355" s="95" t="s">
        <v>6</v>
      </c>
      <c r="I355" s="94">
        <f t="shared" si="115"/>
        <v>0.9</v>
      </c>
      <c r="J355" s="94"/>
      <c r="K355" s="94"/>
      <c r="L355" s="94">
        <v>0.9</v>
      </c>
      <c r="M355" s="94"/>
      <c r="N355" s="94"/>
      <c r="O355" s="94"/>
      <c r="P355" s="118"/>
    </row>
    <row r="356" spans="2:16" outlineLevel="1" x14ac:dyDescent="0.2">
      <c r="B356" s="119"/>
      <c r="C356" s="119"/>
      <c r="D356" s="119"/>
      <c r="E356" s="119"/>
      <c r="F356" s="119"/>
      <c r="G356" s="119"/>
      <c r="H356" s="95" t="s">
        <v>5</v>
      </c>
      <c r="I356" s="94">
        <f t="shared" si="115"/>
        <v>0</v>
      </c>
      <c r="J356" s="94"/>
      <c r="K356" s="94"/>
      <c r="L356" s="94"/>
      <c r="M356" s="94"/>
      <c r="N356" s="94"/>
      <c r="O356" s="94"/>
      <c r="P356" s="119"/>
    </row>
    <row r="357" spans="2:16" ht="42.75" outlineLevel="1" x14ac:dyDescent="0.2">
      <c r="B357" s="117" t="s">
        <v>742</v>
      </c>
      <c r="C357" s="117" t="s">
        <v>628</v>
      </c>
      <c r="D357" s="117" t="s">
        <v>289</v>
      </c>
      <c r="E357" s="117">
        <v>2023</v>
      </c>
      <c r="F357" s="117" t="s">
        <v>629</v>
      </c>
      <c r="G357" s="117" t="s">
        <v>138</v>
      </c>
      <c r="H357" s="95" t="s">
        <v>3</v>
      </c>
      <c r="I357" s="94">
        <f t="shared" si="115"/>
        <v>66.599999999999994</v>
      </c>
      <c r="J357" s="94">
        <f t="shared" ref="J357:O357" si="117">J358+J359+J360</f>
        <v>0</v>
      </c>
      <c r="K357" s="94">
        <f t="shared" si="117"/>
        <v>0</v>
      </c>
      <c r="L357" s="94">
        <f t="shared" si="117"/>
        <v>0</v>
      </c>
      <c r="M357" s="94">
        <f t="shared" si="117"/>
        <v>66.599999999999994</v>
      </c>
      <c r="N357" s="94">
        <f t="shared" si="117"/>
        <v>0</v>
      </c>
      <c r="O357" s="94">
        <f t="shared" si="117"/>
        <v>0</v>
      </c>
      <c r="P357" s="117"/>
    </row>
    <row r="358" spans="2:16" outlineLevel="1" x14ac:dyDescent="0.2">
      <c r="B358" s="118"/>
      <c r="C358" s="132"/>
      <c r="D358" s="118"/>
      <c r="E358" s="118"/>
      <c r="F358" s="118"/>
      <c r="G358" s="118"/>
      <c r="H358" s="95" t="s">
        <v>4</v>
      </c>
      <c r="I358" s="94">
        <f t="shared" si="115"/>
        <v>66</v>
      </c>
      <c r="J358" s="94"/>
      <c r="K358" s="94"/>
      <c r="L358" s="94"/>
      <c r="M358" s="94">
        <v>66</v>
      </c>
      <c r="N358" s="94"/>
      <c r="O358" s="94"/>
      <c r="P358" s="118"/>
    </row>
    <row r="359" spans="2:16" outlineLevel="1" x14ac:dyDescent="0.2">
      <c r="B359" s="118"/>
      <c r="C359" s="132"/>
      <c r="D359" s="118"/>
      <c r="E359" s="118"/>
      <c r="F359" s="118"/>
      <c r="G359" s="118"/>
      <c r="H359" s="95" t="s">
        <v>6</v>
      </c>
      <c r="I359" s="94">
        <f t="shared" si="115"/>
        <v>0.6</v>
      </c>
      <c r="J359" s="94"/>
      <c r="K359" s="94"/>
      <c r="L359" s="94"/>
      <c r="M359" s="94">
        <v>0.6</v>
      </c>
      <c r="N359" s="94"/>
      <c r="O359" s="94"/>
      <c r="P359" s="118"/>
    </row>
    <row r="360" spans="2:16" outlineLevel="1" x14ac:dyDescent="0.2">
      <c r="B360" s="119"/>
      <c r="C360" s="133"/>
      <c r="D360" s="119"/>
      <c r="E360" s="119"/>
      <c r="F360" s="119"/>
      <c r="G360" s="119"/>
      <c r="H360" s="95" t="s">
        <v>5</v>
      </c>
      <c r="I360" s="94">
        <f t="shared" si="115"/>
        <v>0</v>
      </c>
      <c r="J360" s="94"/>
      <c r="K360" s="94"/>
      <c r="L360" s="94"/>
      <c r="M360" s="94"/>
      <c r="N360" s="94"/>
      <c r="O360" s="94"/>
      <c r="P360" s="119"/>
    </row>
    <row r="361" spans="2:16" ht="42.75" outlineLevel="1" x14ac:dyDescent="0.2">
      <c r="B361" s="117" t="s">
        <v>743</v>
      </c>
      <c r="C361" s="117" t="s">
        <v>628</v>
      </c>
      <c r="D361" s="117" t="s">
        <v>289</v>
      </c>
      <c r="E361" s="117">
        <v>2023</v>
      </c>
      <c r="F361" s="117" t="s">
        <v>629</v>
      </c>
      <c r="G361" s="117" t="s">
        <v>138</v>
      </c>
      <c r="H361" s="95" t="s">
        <v>3</v>
      </c>
      <c r="I361" s="94">
        <f t="shared" si="115"/>
        <v>60.800000000000004</v>
      </c>
      <c r="J361" s="94">
        <f t="shared" ref="J361:O361" si="118">J362+J363+J364</f>
        <v>0</v>
      </c>
      <c r="K361" s="94">
        <f t="shared" si="118"/>
        <v>0</v>
      </c>
      <c r="L361" s="94">
        <f t="shared" si="118"/>
        <v>0</v>
      </c>
      <c r="M361" s="94">
        <f t="shared" si="118"/>
        <v>60.800000000000004</v>
      </c>
      <c r="N361" s="94">
        <f t="shared" si="118"/>
        <v>0</v>
      </c>
      <c r="O361" s="94">
        <f t="shared" si="118"/>
        <v>0</v>
      </c>
      <c r="P361" s="117"/>
    </row>
    <row r="362" spans="2:16" outlineLevel="1" x14ac:dyDescent="0.2">
      <c r="B362" s="118"/>
      <c r="C362" s="132"/>
      <c r="D362" s="118"/>
      <c r="E362" s="118"/>
      <c r="F362" s="118"/>
      <c r="G362" s="118"/>
      <c r="H362" s="95" t="s">
        <v>4</v>
      </c>
      <c r="I362" s="94">
        <f t="shared" si="115"/>
        <v>60.2</v>
      </c>
      <c r="J362" s="94"/>
      <c r="K362" s="94"/>
      <c r="L362" s="94"/>
      <c r="M362" s="94">
        <v>60.2</v>
      </c>
      <c r="N362" s="94"/>
      <c r="O362" s="94"/>
      <c r="P362" s="118"/>
    </row>
    <row r="363" spans="2:16" outlineLevel="1" x14ac:dyDescent="0.2">
      <c r="B363" s="118"/>
      <c r="C363" s="132"/>
      <c r="D363" s="118"/>
      <c r="E363" s="118"/>
      <c r="F363" s="118"/>
      <c r="G363" s="118"/>
      <c r="H363" s="95" t="s">
        <v>6</v>
      </c>
      <c r="I363" s="94">
        <f t="shared" si="115"/>
        <v>0.6</v>
      </c>
      <c r="J363" s="94"/>
      <c r="K363" s="94"/>
      <c r="L363" s="94"/>
      <c r="M363" s="94">
        <v>0.6</v>
      </c>
      <c r="N363" s="94"/>
      <c r="O363" s="94"/>
      <c r="P363" s="118"/>
    </row>
    <row r="364" spans="2:16" outlineLevel="1" x14ac:dyDescent="0.2">
      <c r="B364" s="119"/>
      <c r="C364" s="133"/>
      <c r="D364" s="119"/>
      <c r="E364" s="119"/>
      <c r="F364" s="119"/>
      <c r="G364" s="119"/>
      <c r="H364" s="95" t="s">
        <v>5</v>
      </c>
      <c r="I364" s="94">
        <f t="shared" si="115"/>
        <v>0</v>
      </c>
      <c r="J364" s="94"/>
      <c r="K364" s="94"/>
      <c r="L364" s="94"/>
      <c r="M364" s="94"/>
      <c r="N364" s="94"/>
      <c r="O364" s="94"/>
      <c r="P364" s="119"/>
    </row>
    <row r="365" spans="2:16" ht="42.75" outlineLevel="1" x14ac:dyDescent="0.2">
      <c r="B365" s="117" t="s">
        <v>744</v>
      </c>
      <c r="C365" s="117" t="s">
        <v>628</v>
      </c>
      <c r="D365" s="117" t="s">
        <v>289</v>
      </c>
      <c r="E365" s="117">
        <v>2024</v>
      </c>
      <c r="F365" s="117" t="s">
        <v>629</v>
      </c>
      <c r="G365" s="117" t="s">
        <v>138</v>
      </c>
      <c r="H365" s="95" t="s">
        <v>3</v>
      </c>
      <c r="I365" s="94">
        <f t="shared" si="115"/>
        <v>24.2</v>
      </c>
      <c r="J365" s="94">
        <f t="shared" ref="J365:O365" si="119">J366+J367+J368</f>
        <v>0</v>
      </c>
      <c r="K365" s="94">
        <f t="shared" si="119"/>
        <v>0</v>
      </c>
      <c r="L365" s="94">
        <f t="shared" si="119"/>
        <v>0</v>
      </c>
      <c r="M365" s="94">
        <f t="shared" si="119"/>
        <v>0</v>
      </c>
      <c r="N365" s="94">
        <f t="shared" si="119"/>
        <v>24.2</v>
      </c>
      <c r="O365" s="94">
        <f t="shared" si="119"/>
        <v>0</v>
      </c>
      <c r="P365" s="117"/>
    </row>
    <row r="366" spans="2:16" outlineLevel="1" x14ac:dyDescent="0.2">
      <c r="B366" s="118"/>
      <c r="C366" s="132"/>
      <c r="D366" s="118"/>
      <c r="E366" s="118"/>
      <c r="F366" s="118"/>
      <c r="G366" s="118"/>
      <c r="H366" s="95" t="s">
        <v>4</v>
      </c>
      <c r="I366" s="94">
        <f t="shared" si="115"/>
        <v>24</v>
      </c>
      <c r="J366" s="94"/>
      <c r="K366" s="94"/>
      <c r="L366" s="94"/>
      <c r="M366" s="94"/>
      <c r="N366" s="94">
        <v>24</v>
      </c>
      <c r="O366" s="94"/>
      <c r="P366" s="118"/>
    </row>
    <row r="367" spans="2:16" outlineLevel="1" x14ac:dyDescent="0.2">
      <c r="B367" s="118"/>
      <c r="C367" s="132"/>
      <c r="D367" s="118"/>
      <c r="E367" s="118"/>
      <c r="F367" s="118"/>
      <c r="G367" s="118"/>
      <c r="H367" s="95" t="s">
        <v>6</v>
      </c>
      <c r="I367" s="94">
        <f t="shared" si="115"/>
        <v>0.2</v>
      </c>
      <c r="J367" s="94"/>
      <c r="K367" s="94"/>
      <c r="L367" s="94"/>
      <c r="M367" s="94"/>
      <c r="N367" s="94">
        <v>0.2</v>
      </c>
      <c r="O367" s="94"/>
      <c r="P367" s="118"/>
    </row>
    <row r="368" spans="2:16" outlineLevel="1" x14ac:dyDescent="0.2">
      <c r="B368" s="119"/>
      <c r="C368" s="133"/>
      <c r="D368" s="119"/>
      <c r="E368" s="119"/>
      <c r="F368" s="119"/>
      <c r="G368" s="119"/>
      <c r="H368" s="95" t="s">
        <v>5</v>
      </c>
      <c r="I368" s="94">
        <f t="shared" si="115"/>
        <v>0</v>
      </c>
      <c r="J368" s="94"/>
      <c r="K368" s="94"/>
      <c r="L368" s="94"/>
      <c r="M368" s="94"/>
      <c r="N368" s="94"/>
      <c r="O368" s="94"/>
      <c r="P368" s="119"/>
    </row>
    <row r="369" spans="2:16" ht="42.75" outlineLevel="1" x14ac:dyDescent="0.2">
      <c r="B369" s="117" t="s">
        <v>745</v>
      </c>
      <c r="C369" s="117" t="s">
        <v>628</v>
      </c>
      <c r="D369" s="117" t="s">
        <v>289</v>
      </c>
      <c r="E369" s="117">
        <v>2024</v>
      </c>
      <c r="F369" s="117" t="s">
        <v>629</v>
      </c>
      <c r="G369" s="117" t="s">
        <v>138</v>
      </c>
      <c r="H369" s="95" t="s">
        <v>3</v>
      </c>
      <c r="I369" s="94">
        <f t="shared" si="115"/>
        <v>21.2</v>
      </c>
      <c r="J369" s="94">
        <f t="shared" ref="J369:O369" si="120">J370+J371+J372</f>
        <v>0</v>
      </c>
      <c r="K369" s="94">
        <f t="shared" si="120"/>
        <v>0</v>
      </c>
      <c r="L369" s="94">
        <f t="shared" si="120"/>
        <v>0</v>
      </c>
      <c r="M369" s="94">
        <f t="shared" si="120"/>
        <v>0</v>
      </c>
      <c r="N369" s="94">
        <f t="shared" si="120"/>
        <v>21.2</v>
      </c>
      <c r="O369" s="94">
        <f t="shared" si="120"/>
        <v>0</v>
      </c>
      <c r="P369" s="117"/>
    </row>
    <row r="370" spans="2:16" outlineLevel="1" x14ac:dyDescent="0.2">
      <c r="B370" s="118"/>
      <c r="C370" s="132"/>
      <c r="D370" s="118"/>
      <c r="E370" s="118"/>
      <c r="F370" s="118"/>
      <c r="G370" s="118"/>
      <c r="H370" s="95" t="s">
        <v>4</v>
      </c>
      <c r="I370" s="94">
        <f t="shared" si="115"/>
        <v>21</v>
      </c>
      <c r="J370" s="94"/>
      <c r="K370" s="94"/>
      <c r="L370" s="94"/>
      <c r="M370" s="94"/>
      <c r="N370" s="94">
        <v>21</v>
      </c>
      <c r="O370" s="94"/>
      <c r="P370" s="118"/>
    </row>
    <row r="371" spans="2:16" outlineLevel="1" x14ac:dyDescent="0.2">
      <c r="B371" s="118"/>
      <c r="C371" s="132"/>
      <c r="D371" s="118"/>
      <c r="E371" s="118"/>
      <c r="F371" s="118"/>
      <c r="G371" s="118"/>
      <c r="H371" s="95" t="s">
        <v>6</v>
      </c>
      <c r="I371" s="94">
        <f t="shared" si="115"/>
        <v>0.2</v>
      </c>
      <c r="J371" s="94"/>
      <c r="K371" s="94"/>
      <c r="L371" s="94"/>
      <c r="M371" s="94"/>
      <c r="N371" s="94">
        <v>0.2</v>
      </c>
      <c r="O371" s="94"/>
      <c r="P371" s="118"/>
    </row>
    <row r="372" spans="2:16" outlineLevel="1" x14ac:dyDescent="0.2">
      <c r="B372" s="119"/>
      <c r="C372" s="133"/>
      <c r="D372" s="119"/>
      <c r="E372" s="119"/>
      <c r="F372" s="119"/>
      <c r="G372" s="119"/>
      <c r="H372" s="95" t="s">
        <v>5</v>
      </c>
      <c r="I372" s="94">
        <f t="shared" si="115"/>
        <v>0</v>
      </c>
      <c r="J372" s="94"/>
      <c r="K372" s="94"/>
      <c r="L372" s="94"/>
      <c r="M372" s="94"/>
      <c r="N372" s="94"/>
      <c r="O372" s="94"/>
      <c r="P372" s="119"/>
    </row>
    <row r="373" spans="2:16" ht="42.75" outlineLevel="1" x14ac:dyDescent="0.2">
      <c r="B373" s="117" t="s">
        <v>746</v>
      </c>
      <c r="C373" s="117" t="s">
        <v>628</v>
      </c>
      <c r="D373" s="117" t="s">
        <v>289</v>
      </c>
      <c r="E373" s="117">
        <v>2024</v>
      </c>
      <c r="F373" s="117" t="s">
        <v>629</v>
      </c>
      <c r="G373" s="117" t="s">
        <v>138</v>
      </c>
      <c r="H373" s="95" t="s">
        <v>3</v>
      </c>
      <c r="I373" s="94">
        <f t="shared" si="115"/>
        <v>36.5</v>
      </c>
      <c r="J373" s="94">
        <f t="shared" ref="J373:O373" si="121">J374+J375+J376</f>
        <v>0</v>
      </c>
      <c r="K373" s="94">
        <f t="shared" si="121"/>
        <v>0</v>
      </c>
      <c r="L373" s="94">
        <f t="shared" si="121"/>
        <v>0</v>
      </c>
      <c r="M373" s="94">
        <f t="shared" si="121"/>
        <v>0</v>
      </c>
      <c r="N373" s="94">
        <f t="shared" si="121"/>
        <v>36.5</v>
      </c>
      <c r="O373" s="94">
        <f t="shared" si="121"/>
        <v>0</v>
      </c>
      <c r="P373" s="117"/>
    </row>
    <row r="374" spans="2:16" outlineLevel="1" x14ac:dyDescent="0.2">
      <c r="B374" s="118"/>
      <c r="C374" s="132"/>
      <c r="D374" s="118"/>
      <c r="E374" s="118"/>
      <c r="F374" s="118"/>
      <c r="G374" s="118"/>
      <c r="H374" s="95" t="s">
        <v>4</v>
      </c>
      <c r="I374" s="94">
        <f t="shared" si="115"/>
        <v>36.200000000000003</v>
      </c>
      <c r="J374" s="94"/>
      <c r="K374" s="94"/>
      <c r="L374" s="94"/>
      <c r="M374" s="94"/>
      <c r="N374" s="94">
        <v>36.200000000000003</v>
      </c>
      <c r="O374" s="94"/>
      <c r="P374" s="118"/>
    </row>
    <row r="375" spans="2:16" outlineLevel="1" x14ac:dyDescent="0.2">
      <c r="B375" s="118"/>
      <c r="C375" s="132"/>
      <c r="D375" s="118"/>
      <c r="E375" s="118"/>
      <c r="F375" s="118"/>
      <c r="G375" s="118"/>
      <c r="H375" s="95" t="s">
        <v>6</v>
      </c>
      <c r="I375" s="94">
        <f t="shared" si="115"/>
        <v>0.3</v>
      </c>
      <c r="J375" s="94"/>
      <c r="K375" s="94"/>
      <c r="L375" s="94"/>
      <c r="M375" s="94"/>
      <c r="N375" s="94">
        <v>0.3</v>
      </c>
      <c r="O375" s="94"/>
      <c r="P375" s="118"/>
    </row>
    <row r="376" spans="2:16" outlineLevel="1" x14ac:dyDescent="0.2">
      <c r="B376" s="119"/>
      <c r="C376" s="133"/>
      <c r="D376" s="119"/>
      <c r="E376" s="119"/>
      <c r="F376" s="119"/>
      <c r="G376" s="119"/>
      <c r="H376" s="95" t="s">
        <v>5</v>
      </c>
      <c r="I376" s="94">
        <f t="shared" si="115"/>
        <v>0</v>
      </c>
      <c r="J376" s="94"/>
      <c r="K376" s="94"/>
      <c r="L376" s="94"/>
      <c r="M376" s="94"/>
      <c r="N376" s="94"/>
      <c r="O376" s="94"/>
      <c r="P376" s="119"/>
    </row>
    <row r="377" spans="2:16" ht="42.75" outlineLevel="1" x14ac:dyDescent="0.2">
      <c r="B377" s="117" t="s">
        <v>747</v>
      </c>
      <c r="C377" s="117"/>
      <c r="D377" s="117" t="s">
        <v>289</v>
      </c>
      <c r="E377" s="117" t="s">
        <v>203</v>
      </c>
      <c r="F377" s="117" t="s">
        <v>748</v>
      </c>
      <c r="G377" s="117" t="s">
        <v>101</v>
      </c>
      <c r="H377" s="95" t="s">
        <v>3</v>
      </c>
      <c r="I377" s="94">
        <f t="shared" si="115"/>
        <v>112.8</v>
      </c>
      <c r="J377" s="94">
        <f t="shared" ref="J377:O377" si="122">J378+J379+J380</f>
        <v>2.7</v>
      </c>
      <c r="K377" s="94">
        <f t="shared" si="122"/>
        <v>110.1</v>
      </c>
      <c r="L377" s="94">
        <f t="shared" si="122"/>
        <v>0</v>
      </c>
      <c r="M377" s="94">
        <f t="shared" si="122"/>
        <v>0</v>
      </c>
      <c r="N377" s="94">
        <v>0</v>
      </c>
      <c r="O377" s="94">
        <f t="shared" si="122"/>
        <v>0</v>
      </c>
      <c r="P377" s="117">
        <v>5600</v>
      </c>
    </row>
    <row r="378" spans="2:16" outlineLevel="1" x14ac:dyDescent="0.2">
      <c r="B378" s="118"/>
      <c r="C378" s="132"/>
      <c r="D378" s="118"/>
      <c r="E378" s="118"/>
      <c r="F378" s="118"/>
      <c r="G378" s="118"/>
      <c r="H378" s="95" t="s">
        <v>4</v>
      </c>
      <c r="I378" s="94">
        <f t="shared" si="115"/>
        <v>0</v>
      </c>
      <c r="J378" s="94"/>
      <c r="K378" s="94"/>
      <c r="L378" s="94"/>
      <c r="M378" s="94"/>
      <c r="N378" s="94"/>
      <c r="O378" s="94"/>
      <c r="P378" s="118"/>
    </row>
    <row r="379" spans="2:16" outlineLevel="1" x14ac:dyDescent="0.2">
      <c r="B379" s="118"/>
      <c r="C379" s="132"/>
      <c r="D379" s="118"/>
      <c r="E379" s="118"/>
      <c r="F379" s="118"/>
      <c r="G379" s="118"/>
      <c r="H379" s="95" t="s">
        <v>6</v>
      </c>
      <c r="I379" s="94">
        <f t="shared" si="115"/>
        <v>112.8</v>
      </c>
      <c r="J379" s="94">
        <v>2.7</v>
      </c>
      <c r="K379" s="94">
        <v>110.1</v>
      </c>
      <c r="L379" s="94"/>
      <c r="M379" s="94"/>
      <c r="N379" s="94"/>
      <c r="O379" s="94"/>
      <c r="P379" s="118"/>
    </row>
    <row r="380" spans="2:16" outlineLevel="1" x14ac:dyDescent="0.2">
      <c r="B380" s="119"/>
      <c r="C380" s="133"/>
      <c r="D380" s="119"/>
      <c r="E380" s="119"/>
      <c r="F380" s="119"/>
      <c r="G380" s="119"/>
      <c r="H380" s="95" t="s">
        <v>5</v>
      </c>
      <c r="I380" s="94">
        <f t="shared" si="115"/>
        <v>0</v>
      </c>
      <c r="J380" s="94"/>
      <c r="K380" s="94"/>
      <c r="L380" s="94"/>
      <c r="M380" s="94"/>
      <c r="N380" s="94"/>
      <c r="O380" s="94"/>
      <c r="P380" s="119"/>
    </row>
    <row r="381" spans="2:16" ht="42.75" outlineLevel="1" x14ac:dyDescent="0.2">
      <c r="B381" s="117" t="s">
        <v>749</v>
      </c>
      <c r="C381" s="117"/>
      <c r="D381" s="117" t="s">
        <v>289</v>
      </c>
      <c r="E381" s="117" t="s">
        <v>50</v>
      </c>
      <c r="F381" s="117" t="s">
        <v>750</v>
      </c>
      <c r="G381" s="117" t="s">
        <v>101</v>
      </c>
      <c r="H381" s="95" t="s">
        <v>3</v>
      </c>
      <c r="I381" s="94">
        <f t="shared" si="115"/>
        <v>49.5</v>
      </c>
      <c r="J381" s="94">
        <f t="shared" ref="J381:O381" si="123">J382+J383+J384</f>
        <v>0</v>
      </c>
      <c r="K381" s="94">
        <f t="shared" si="123"/>
        <v>29.5</v>
      </c>
      <c r="L381" s="94">
        <f t="shared" si="123"/>
        <v>20</v>
      </c>
      <c r="M381" s="94">
        <f t="shared" si="123"/>
        <v>0</v>
      </c>
      <c r="N381" s="94">
        <v>0</v>
      </c>
      <c r="O381" s="94">
        <f t="shared" si="123"/>
        <v>0</v>
      </c>
      <c r="P381" s="117">
        <v>5600</v>
      </c>
    </row>
    <row r="382" spans="2:16" outlineLevel="1" x14ac:dyDescent="0.2">
      <c r="B382" s="118"/>
      <c r="C382" s="132"/>
      <c r="D382" s="118"/>
      <c r="E382" s="118"/>
      <c r="F382" s="118"/>
      <c r="G382" s="118"/>
      <c r="H382" s="95" t="s">
        <v>4</v>
      </c>
      <c r="I382" s="94">
        <f t="shared" si="115"/>
        <v>0</v>
      </c>
      <c r="J382" s="94"/>
      <c r="K382" s="94"/>
      <c r="L382" s="94"/>
      <c r="M382" s="94"/>
      <c r="N382" s="94"/>
      <c r="O382" s="94"/>
      <c r="P382" s="118"/>
    </row>
    <row r="383" spans="2:16" outlineLevel="1" x14ac:dyDescent="0.2">
      <c r="B383" s="118"/>
      <c r="C383" s="132"/>
      <c r="D383" s="118"/>
      <c r="E383" s="118"/>
      <c r="F383" s="118"/>
      <c r="G383" s="118"/>
      <c r="H383" s="95" t="s">
        <v>6</v>
      </c>
      <c r="I383" s="94">
        <f t="shared" si="115"/>
        <v>49.5</v>
      </c>
      <c r="J383" s="94"/>
      <c r="K383" s="94">
        <v>29.5</v>
      </c>
      <c r="L383" s="94">
        <v>20</v>
      </c>
      <c r="M383" s="94"/>
      <c r="N383" s="94"/>
      <c r="O383" s="94"/>
      <c r="P383" s="118"/>
    </row>
    <row r="384" spans="2:16" outlineLevel="1" x14ac:dyDescent="0.2">
      <c r="B384" s="119"/>
      <c r="C384" s="133"/>
      <c r="D384" s="119"/>
      <c r="E384" s="119"/>
      <c r="F384" s="119"/>
      <c r="G384" s="119"/>
      <c r="H384" s="95" t="s">
        <v>5</v>
      </c>
      <c r="I384" s="94">
        <f t="shared" si="115"/>
        <v>0</v>
      </c>
      <c r="J384" s="94"/>
      <c r="K384" s="94"/>
      <c r="L384" s="94"/>
      <c r="M384" s="94"/>
      <c r="N384" s="94"/>
      <c r="O384" s="94"/>
      <c r="P384" s="119"/>
    </row>
    <row r="385" spans="2:16" ht="42.75" outlineLevel="1" x14ac:dyDescent="0.2">
      <c r="B385" s="117" t="s">
        <v>751</v>
      </c>
      <c r="C385" s="117"/>
      <c r="D385" s="117" t="s">
        <v>289</v>
      </c>
      <c r="E385" s="117" t="s">
        <v>203</v>
      </c>
      <c r="F385" s="117" t="s">
        <v>752</v>
      </c>
      <c r="G385" s="117" t="s">
        <v>101</v>
      </c>
      <c r="H385" s="95" t="s">
        <v>3</v>
      </c>
      <c r="I385" s="94">
        <f t="shared" si="115"/>
        <v>44.5</v>
      </c>
      <c r="J385" s="94">
        <f t="shared" ref="J385:O385" si="124">J386+J387+J388</f>
        <v>20</v>
      </c>
      <c r="K385" s="94">
        <f t="shared" si="124"/>
        <v>24.5</v>
      </c>
      <c r="L385" s="94">
        <f t="shared" si="124"/>
        <v>0</v>
      </c>
      <c r="M385" s="94">
        <f t="shared" si="124"/>
        <v>0</v>
      </c>
      <c r="N385" s="94">
        <v>0</v>
      </c>
      <c r="O385" s="94">
        <f t="shared" si="124"/>
        <v>0</v>
      </c>
      <c r="P385" s="117">
        <v>743</v>
      </c>
    </row>
    <row r="386" spans="2:16" outlineLevel="1" x14ac:dyDescent="0.2">
      <c r="B386" s="118"/>
      <c r="C386" s="132"/>
      <c r="D386" s="118"/>
      <c r="E386" s="118"/>
      <c r="F386" s="118"/>
      <c r="G386" s="118"/>
      <c r="H386" s="95" t="s">
        <v>4</v>
      </c>
      <c r="I386" s="94">
        <f t="shared" si="115"/>
        <v>0</v>
      </c>
      <c r="J386" s="94"/>
      <c r="K386" s="94"/>
      <c r="L386" s="94"/>
      <c r="M386" s="94"/>
      <c r="N386" s="94"/>
      <c r="O386" s="94"/>
      <c r="P386" s="118"/>
    </row>
    <row r="387" spans="2:16" outlineLevel="1" x14ac:dyDescent="0.2">
      <c r="B387" s="118"/>
      <c r="C387" s="132"/>
      <c r="D387" s="118"/>
      <c r="E387" s="118"/>
      <c r="F387" s="118"/>
      <c r="G387" s="118"/>
      <c r="H387" s="95" t="s">
        <v>6</v>
      </c>
      <c r="I387" s="94">
        <f t="shared" si="115"/>
        <v>44.5</v>
      </c>
      <c r="J387" s="94">
        <v>20</v>
      </c>
      <c r="K387" s="94">
        <v>24.5</v>
      </c>
      <c r="L387" s="94"/>
      <c r="M387" s="94"/>
      <c r="N387" s="94"/>
      <c r="O387" s="94"/>
      <c r="P387" s="118"/>
    </row>
    <row r="388" spans="2:16" outlineLevel="1" x14ac:dyDescent="0.2">
      <c r="B388" s="119"/>
      <c r="C388" s="133"/>
      <c r="D388" s="119"/>
      <c r="E388" s="119"/>
      <c r="F388" s="119"/>
      <c r="G388" s="119"/>
      <c r="H388" s="95" t="s">
        <v>5</v>
      </c>
      <c r="I388" s="94">
        <f t="shared" si="115"/>
        <v>0</v>
      </c>
      <c r="J388" s="94"/>
      <c r="K388" s="94"/>
      <c r="L388" s="94"/>
      <c r="M388" s="94"/>
      <c r="N388" s="94"/>
      <c r="O388" s="94"/>
      <c r="P388" s="119"/>
    </row>
    <row r="389" spans="2:16" ht="42.75" outlineLevel="1" x14ac:dyDescent="0.2">
      <c r="B389" s="117" t="s">
        <v>753</v>
      </c>
      <c r="C389" s="117"/>
      <c r="D389" s="117" t="s">
        <v>289</v>
      </c>
      <c r="E389" s="117" t="s">
        <v>61</v>
      </c>
      <c r="F389" s="117" t="s">
        <v>754</v>
      </c>
      <c r="G389" s="117" t="s">
        <v>101</v>
      </c>
      <c r="H389" s="95" t="s">
        <v>3</v>
      </c>
      <c r="I389" s="94">
        <f t="shared" si="115"/>
        <v>5.7</v>
      </c>
      <c r="J389" s="94">
        <f t="shared" ref="J389:M389" si="125">J390+J391+J392</f>
        <v>0</v>
      </c>
      <c r="K389" s="94">
        <f t="shared" si="125"/>
        <v>0</v>
      </c>
      <c r="L389" s="94">
        <f t="shared" si="125"/>
        <v>2</v>
      </c>
      <c r="M389" s="94">
        <f t="shared" si="125"/>
        <v>3.7</v>
      </c>
      <c r="N389" s="94">
        <v>0</v>
      </c>
      <c r="O389" s="94">
        <f t="shared" ref="O389" si="126">O390+O391+O392</f>
        <v>0</v>
      </c>
      <c r="P389" s="117">
        <v>72</v>
      </c>
    </row>
    <row r="390" spans="2:16" outlineLevel="1" x14ac:dyDescent="0.2">
      <c r="B390" s="118"/>
      <c r="C390" s="132"/>
      <c r="D390" s="118"/>
      <c r="E390" s="118"/>
      <c r="F390" s="118"/>
      <c r="G390" s="118"/>
      <c r="H390" s="95" t="s">
        <v>4</v>
      </c>
      <c r="I390" s="94">
        <f t="shared" si="115"/>
        <v>0</v>
      </c>
      <c r="J390" s="94"/>
      <c r="K390" s="94"/>
      <c r="L390" s="94"/>
      <c r="M390" s="94"/>
      <c r="N390" s="94"/>
      <c r="O390" s="94"/>
      <c r="P390" s="118"/>
    </row>
    <row r="391" spans="2:16" outlineLevel="1" x14ac:dyDescent="0.2">
      <c r="B391" s="118"/>
      <c r="C391" s="132"/>
      <c r="D391" s="118"/>
      <c r="E391" s="118"/>
      <c r="F391" s="118"/>
      <c r="G391" s="118"/>
      <c r="H391" s="95" t="s">
        <v>6</v>
      </c>
      <c r="I391" s="94">
        <f t="shared" si="115"/>
        <v>5.7</v>
      </c>
      <c r="J391" s="94"/>
      <c r="K391" s="94"/>
      <c r="L391" s="94">
        <v>2</v>
      </c>
      <c r="M391" s="94">
        <v>3.7</v>
      </c>
      <c r="N391" s="94"/>
      <c r="O391" s="94"/>
      <c r="P391" s="118"/>
    </row>
    <row r="392" spans="2:16" outlineLevel="1" x14ac:dyDescent="0.2">
      <c r="B392" s="119"/>
      <c r="C392" s="133"/>
      <c r="D392" s="119"/>
      <c r="E392" s="119"/>
      <c r="F392" s="119"/>
      <c r="G392" s="119"/>
      <c r="H392" s="95" t="s">
        <v>5</v>
      </c>
      <c r="I392" s="94">
        <f t="shared" si="115"/>
        <v>0</v>
      </c>
      <c r="J392" s="94"/>
      <c r="K392" s="94"/>
      <c r="L392" s="94"/>
      <c r="M392" s="94"/>
      <c r="N392" s="94"/>
      <c r="O392" s="94"/>
      <c r="P392" s="119"/>
    </row>
    <row r="393" spans="2:16" ht="42.75" outlineLevel="1" x14ac:dyDescent="0.2">
      <c r="B393" s="117" t="s">
        <v>755</v>
      </c>
      <c r="C393" s="117"/>
      <c r="D393" s="117" t="s">
        <v>289</v>
      </c>
      <c r="E393" s="117" t="s">
        <v>61</v>
      </c>
      <c r="F393" s="117" t="s">
        <v>756</v>
      </c>
      <c r="G393" s="117" t="s">
        <v>101</v>
      </c>
      <c r="H393" s="95" t="s">
        <v>3</v>
      </c>
      <c r="I393" s="94">
        <f t="shared" si="115"/>
        <v>5.7</v>
      </c>
      <c r="J393" s="94">
        <f t="shared" ref="J393:M393" si="127">J394+J395+J396</f>
        <v>0</v>
      </c>
      <c r="K393" s="94">
        <f t="shared" si="127"/>
        <v>0</v>
      </c>
      <c r="L393" s="94">
        <f t="shared" si="127"/>
        <v>2</v>
      </c>
      <c r="M393" s="94">
        <f t="shared" si="127"/>
        <v>3.7</v>
      </c>
      <c r="N393" s="94">
        <v>0</v>
      </c>
      <c r="O393" s="94">
        <f t="shared" ref="O393" si="128">O394+O395+O396</f>
        <v>0</v>
      </c>
      <c r="P393" s="117">
        <v>50</v>
      </c>
    </row>
    <row r="394" spans="2:16" outlineLevel="1" x14ac:dyDescent="0.2">
      <c r="B394" s="118"/>
      <c r="C394" s="132"/>
      <c r="D394" s="118"/>
      <c r="E394" s="118"/>
      <c r="F394" s="118"/>
      <c r="G394" s="118"/>
      <c r="H394" s="95" t="s">
        <v>4</v>
      </c>
      <c r="I394" s="94">
        <f t="shared" si="115"/>
        <v>0</v>
      </c>
      <c r="J394" s="94"/>
      <c r="K394" s="94"/>
      <c r="L394" s="94"/>
      <c r="M394" s="94"/>
      <c r="N394" s="94"/>
      <c r="O394" s="94"/>
      <c r="P394" s="118"/>
    </row>
    <row r="395" spans="2:16" outlineLevel="1" x14ac:dyDescent="0.2">
      <c r="B395" s="118"/>
      <c r="C395" s="132"/>
      <c r="D395" s="118"/>
      <c r="E395" s="118"/>
      <c r="F395" s="118"/>
      <c r="G395" s="118"/>
      <c r="H395" s="95" t="s">
        <v>6</v>
      </c>
      <c r="I395" s="94">
        <f t="shared" si="115"/>
        <v>5.7</v>
      </c>
      <c r="J395" s="94"/>
      <c r="K395" s="94"/>
      <c r="L395" s="94">
        <v>2</v>
      </c>
      <c r="M395" s="94">
        <v>3.7</v>
      </c>
      <c r="N395" s="94"/>
      <c r="O395" s="94"/>
      <c r="P395" s="118"/>
    </row>
    <row r="396" spans="2:16" outlineLevel="1" x14ac:dyDescent="0.2">
      <c r="B396" s="119"/>
      <c r="C396" s="133"/>
      <c r="D396" s="119"/>
      <c r="E396" s="119"/>
      <c r="F396" s="119"/>
      <c r="G396" s="119"/>
      <c r="H396" s="95" t="s">
        <v>5</v>
      </c>
      <c r="I396" s="94">
        <f t="shared" si="115"/>
        <v>0</v>
      </c>
      <c r="J396" s="94"/>
      <c r="K396" s="94"/>
      <c r="L396" s="94"/>
      <c r="M396" s="94"/>
      <c r="N396" s="94"/>
      <c r="O396" s="94"/>
      <c r="P396" s="119"/>
    </row>
    <row r="397" spans="2:16" ht="42.75" outlineLevel="1" x14ac:dyDescent="0.2">
      <c r="B397" s="117" t="s">
        <v>757</v>
      </c>
      <c r="C397" s="117"/>
      <c r="D397" s="117" t="s">
        <v>289</v>
      </c>
      <c r="E397" s="117" t="s">
        <v>209</v>
      </c>
      <c r="F397" s="117" t="s">
        <v>758</v>
      </c>
      <c r="G397" s="117" t="s">
        <v>101</v>
      </c>
      <c r="H397" s="95" t="s">
        <v>3</v>
      </c>
      <c r="I397" s="94">
        <f t="shared" si="115"/>
        <v>21.4</v>
      </c>
      <c r="J397" s="94">
        <f t="shared" ref="J397:O397" si="129">J398+J399+J400</f>
        <v>0</v>
      </c>
      <c r="K397" s="94">
        <f t="shared" si="129"/>
        <v>0</v>
      </c>
      <c r="L397" s="94">
        <f t="shared" si="129"/>
        <v>0</v>
      </c>
      <c r="M397" s="94">
        <f t="shared" si="129"/>
        <v>10</v>
      </c>
      <c r="N397" s="94">
        <f t="shared" si="129"/>
        <v>11.4</v>
      </c>
      <c r="O397" s="94">
        <f t="shared" si="129"/>
        <v>0</v>
      </c>
      <c r="P397" s="117">
        <v>307</v>
      </c>
    </row>
    <row r="398" spans="2:16" outlineLevel="1" x14ac:dyDescent="0.2">
      <c r="B398" s="118"/>
      <c r="C398" s="132"/>
      <c r="D398" s="118"/>
      <c r="E398" s="118"/>
      <c r="F398" s="118"/>
      <c r="G398" s="118"/>
      <c r="H398" s="95" t="s">
        <v>4</v>
      </c>
      <c r="I398" s="94">
        <f t="shared" si="115"/>
        <v>0</v>
      </c>
      <c r="J398" s="94"/>
      <c r="K398" s="94"/>
      <c r="L398" s="94"/>
      <c r="M398" s="94"/>
      <c r="N398" s="94"/>
      <c r="O398" s="94"/>
      <c r="P398" s="118"/>
    </row>
    <row r="399" spans="2:16" outlineLevel="1" x14ac:dyDescent="0.2">
      <c r="B399" s="118"/>
      <c r="C399" s="132"/>
      <c r="D399" s="118"/>
      <c r="E399" s="118"/>
      <c r="F399" s="118"/>
      <c r="G399" s="118"/>
      <c r="H399" s="95" t="s">
        <v>6</v>
      </c>
      <c r="I399" s="94">
        <f t="shared" si="115"/>
        <v>21.4</v>
      </c>
      <c r="J399" s="94"/>
      <c r="K399" s="94"/>
      <c r="L399" s="94"/>
      <c r="M399" s="94">
        <v>10</v>
      </c>
      <c r="N399" s="94">
        <v>11.4</v>
      </c>
      <c r="O399" s="94"/>
      <c r="P399" s="118"/>
    </row>
    <row r="400" spans="2:16" outlineLevel="1" x14ac:dyDescent="0.2">
      <c r="B400" s="119"/>
      <c r="C400" s="133"/>
      <c r="D400" s="119"/>
      <c r="E400" s="119"/>
      <c r="F400" s="119"/>
      <c r="G400" s="119"/>
      <c r="H400" s="95" t="s">
        <v>5</v>
      </c>
      <c r="I400" s="94">
        <f t="shared" si="115"/>
        <v>0</v>
      </c>
      <c r="J400" s="94"/>
      <c r="K400" s="94"/>
      <c r="L400" s="94"/>
      <c r="M400" s="94"/>
      <c r="N400" s="94"/>
      <c r="O400" s="94"/>
      <c r="P400" s="119"/>
    </row>
    <row r="401" spans="2:18" ht="42.75" x14ac:dyDescent="0.2">
      <c r="B401" s="128" t="s">
        <v>320</v>
      </c>
      <c r="C401" s="128" t="s">
        <v>38</v>
      </c>
      <c r="D401" s="128" t="s">
        <v>38</v>
      </c>
      <c r="E401" s="128" t="s">
        <v>38</v>
      </c>
      <c r="F401" s="128" t="s">
        <v>38</v>
      </c>
      <c r="G401" s="128" t="s">
        <v>38</v>
      </c>
      <c r="H401" s="95" t="s">
        <v>3</v>
      </c>
      <c r="I401" s="14">
        <f>SUMIF($H$353:$H$400,"Объем*",I$353:I$400)</f>
        <v>542.20000000000005</v>
      </c>
      <c r="J401" s="14">
        <f t="shared" ref="J401:O401" si="130">SUMIF($H$353:$H$400,"Объем*",J$353:J$400)</f>
        <v>22.7</v>
      </c>
      <c r="K401" s="14">
        <f t="shared" si="130"/>
        <v>164.1</v>
      </c>
      <c r="L401" s="14">
        <f t="shared" si="130"/>
        <v>117.30000000000001</v>
      </c>
      <c r="M401" s="14">
        <f t="shared" si="130"/>
        <v>144.79999999999998</v>
      </c>
      <c r="N401" s="14">
        <f t="shared" si="130"/>
        <v>93.300000000000011</v>
      </c>
      <c r="O401" s="14">
        <f t="shared" si="130"/>
        <v>0</v>
      </c>
      <c r="P401" s="128"/>
      <c r="Q401" s="7"/>
      <c r="R401" s="7"/>
    </row>
    <row r="402" spans="2:18" ht="15.75" x14ac:dyDescent="0.2">
      <c r="B402" s="129"/>
      <c r="C402" s="129"/>
      <c r="D402" s="129"/>
      <c r="E402" s="129"/>
      <c r="F402" s="129"/>
      <c r="G402" s="129"/>
      <c r="H402" s="95" t="s">
        <v>4</v>
      </c>
      <c r="I402" s="14">
        <f>SUMIF($H$353:$H$400,"фед*",I$353:I$400)</f>
        <v>299.8</v>
      </c>
      <c r="J402" s="14">
        <f t="shared" ref="J402:O402" si="131">SUMIF($H$353:$H$400,"фед*",J$353:J$400)</f>
        <v>0</v>
      </c>
      <c r="K402" s="14">
        <f t="shared" si="131"/>
        <v>0</v>
      </c>
      <c r="L402" s="14">
        <f t="shared" si="131"/>
        <v>92.4</v>
      </c>
      <c r="M402" s="14">
        <f t="shared" si="131"/>
        <v>126.2</v>
      </c>
      <c r="N402" s="14">
        <f t="shared" si="131"/>
        <v>81.2</v>
      </c>
      <c r="O402" s="14">
        <f t="shared" si="131"/>
        <v>0</v>
      </c>
      <c r="P402" s="129"/>
      <c r="Q402" s="7"/>
    </row>
    <row r="403" spans="2:18" ht="15.75" x14ac:dyDescent="0.2">
      <c r="B403" s="129"/>
      <c r="C403" s="129"/>
      <c r="D403" s="129"/>
      <c r="E403" s="129"/>
      <c r="F403" s="129"/>
      <c r="G403" s="129"/>
      <c r="H403" s="95" t="s">
        <v>6</v>
      </c>
      <c r="I403" s="14">
        <f>SUMIF($H$353:$H$400,"конс*",I$353:I$400)</f>
        <v>242.39999999999998</v>
      </c>
      <c r="J403" s="14">
        <f t="shared" ref="J403:O403" si="132">SUMIF($H$353:$H$400,"конс*",J$353:J$400)</f>
        <v>22.7</v>
      </c>
      <c r="K403" s="14">
        <f t="shared" si="132"/>
        <v>164.1</v>
      </c>
      <c r="L403" s="14">
        <f t="shared" si="132"/>
        <v>24.9</v>
      </c>
      <c r="M403" s="14">
        <f t="shared" si="132"/>
        <v>18.600000000000001</v>
      </c>
      <c r="N403" s="14">
        <f t="shared" si="132"/>
        <v>12.1</v>
      </c>
      <c r="O403" s="14">
        <f t="shared" si="132"/>
        <v>0</v>
      </c>
      <c r="P403" s="129"/>
      <c r="Q403" s="7"/>
    </row>
    <row r="404" spans="2:18" ht="15.75" x14ac:dyDescent="0.2">
      <c r="B404" s="130"/>
      <c r="C404" s="130"/>
      <c r="D404" s="130"/>
      <c r="E404" s="130"/>
      <c r="F404" s="130"/>
      <c r="G404" s="130"/>
      <c r="H404" s="95" t="s">
        <v>5</v>
      </c>
      <c r="I404" s="14">
        <f>SUMIF($H$353:$H$400,"вне*",I$353:I$400)</f>
        <v>0</v>
      </c>
      <c r="J404" s="14">
        <f t="shared" ref="J404:O404" si="133">SUMIF($H$353:$H$400,"вне*",J$353:J$400)</f>
        <v>0</v>
      </c>
      <c r="K404" s="14">
        <f t="shared" si="133"/>
        <v>0</v>
      </c>
      <c r="L404" s="14">
        <f t="shared" si="133"/>
        <v>0</v>
      </c>
      <c r="M404" s="14">
        <f t="shared" si="133"/>
        <v>0</v>
      </c>
      <c r="N404" s="14">
        <f t="shared" si="133"/>
        <v>0</v>
      </c>
      <c r="O404" s="14">
        <f t="shared" si="133"/>
        <v>0</v>
      </c>
      <c r="P404" s="130"/>
      <c r="Q404" s="7"/>
    </row>
    <row r="405" spans="2:18" ht="25.5" customHeight="1" x14ac:dyDescent="0.2">
      <c r="B405" s="111" t="s">
        <v>321</v>
      </c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3"/>
    </row>
    <row r="406" spans="2:18" ht="42.75" outlineLevel="1" x14ac:dyDescent="0.2">
      <c r="B406" s="117" t="s">
        <v>759</v>
      </c>
      <c r="C406" s="117"/>
      <c r="D406" s="117" t="s">
        <v>760</v>
      </c>
      <c r="E406" s="117">
        <v>2020</v>
      </c>
      <c r="F406" s="117"/>
      <c r="G406" s="117" t="s">
        <v>101</v>
      </c>
      <c r="H406" s="95" t="s">
        <v>3</v>
      </c>
      <c r="I406" s="94">
        <f>SUM(J406:O406)</f>
        <v>3.6</v>
      </c>
      <c r="J406" s="94">
        <f t="shared" ref="J406:O406" si="134">J407+J408+J409</f>
        <v>3.6</v>
      </c>
      <c r="K406" s="94">
        <f t="shared" si="134"/>
        <v>0</v>
      </c>
      <c r="L406" s="94">
        <f t="shared" si="134"/>
        <v>0</v>
      </c>
      <c r="M406" s="94">
        <f t="shared" si="134"/>
        <v>0</v>
      </c>
      <c r="N406" s="94">
        <f t="shared" si="134"/>
        <v>0</v>
      </c>
      <c r="O406" s="94">
        <f t="shared" si="134"/>
        <v>0</v>
      </c>
      <c r="P406" s="117">
        <v>1000</v>
      </c>
    </row>
    <row r="407" spans="2:18" outlineLevel="1" x14ac:dyDescent="0.2">
      <c r="B407" s="118"/>
      <c r="C407" s="132"/>
      <c r="D407" s="118"/>
      <c r="E407" s="118"/>
      <c r="F407" s="118"/>
      <c r="G407" s="118"/>
      <c r="H407" s="95" t="s">
        <v>4</v>
      </c>
      <c r="I407" s="94">
        <f t="shared" ref="I407:I437" si="135">SUM(J407:O407)</f>
        <v>0</v>
      </c>
      <c r="J407" s="94"/>
      <c r="K407" s="94"/>
      <c r="L407" s="94"/>
      <c r="M407" s="94"/>
      <c r="N407" s="94"/>
      <c r="O407" s="94"/>
      <c r="P407" s="118"/>
    </row>
    <row r="408" spans="2:18" outlineLevel="1" x14ac:dyDescent="0.2">
      <c r="B408" s="118"/>
      <c r="C408" s="132"/>
      <c r="D408" s="118"/>
      <c r="E408" s="118"/>
      <c r="F408" s="118"/>
      <c r="G408" s="118"/>
      <c r="H408" s="95" t="s">
        <v>6</v>
      </c>
      <c r="I408" s="94">
        <f t="shared" si="135"/>
        <v>3.6</v>
      </c>
      <c r="J408" s="94">
        <v>3.6</v>
      </c>
      <c r="K408" s="94"/>
      <c r="L408" s="94"/>
      <c r="M408" s="94"/>
      <c r="N408" s="94"/>
      <c r="O408" s="94"/>
      <c r="P408" s="118"/>
    </row>
    <row r="409" spans="2:18" outlineLevel="1" x14ac:dyDescent="0.2">
      <c r="B409" s="119"/>
      <c r="C409" s="133"/>
      <c r="D409" s="119"/>
      <c r="E409" s="119"/>
      <c r="F409" s="119"/>
      <c r="G409" s="119"/>
      <c r="H409" s="95" t="s">
        <v>5</v>
      </c>
      <c r="I409" s="94">
        <f t="shared" si="135"/>
        <v>0</v>
      </c>
      <c r="J409" s="94"/>
      <c r="K409" s="94"/>
      <c r="L409" s="94"/>
      <c r="M409" s="94"/>
      <c r="N409" s="94"/>
      <c r="O409" s="94"/>
      <c r="P409" s="119"/>
    </row>
    <row r="410" spans="2:18" ht="21.75" customHeight="1" outlineLevel="1" x14ac:dyDescent="0.2">
      <c r="B410" s="117" t="s">
        <v>761</v>
      </c>
      <c r="C410" s="117"/>
      <c r="D410" s="117" t="s">
        <v>760</v>
      </c>
      <c r="E410" s="117" t="s">
        <v>50</v>
      </c>
      <c r="F410" s="117"/>
      <c r="G410" s="117" t="s">
        <v>101</v>
      </c>
      <c r="H410" s="95" t="s">
        <v>3</v>
      </c>
      <c r="I410" s="94">
        <f t="shared" si="135"/>
        <v>3.5</v>
      </c>
      <c r="J410" s="94">
        <f t="shared" ref="J410:O410" si="136">J411+J412+J413</f>
        <v>0</v>
      </c>
      <c r="K410" s="94">
        <f t="shared" si="136"/>
        <v>3.5</v>
      </c>
      <c r="L410" s="94">
        <f t="shared" si="136"/>
        <v>0</v>
      </c>
      <c r="M410" s="94">
        <f t="shared" si="136"/>
        <v>0</v>
      </c>
      <c r="N410" s="94">
        <f t="shared" si="136"/>
        <v>0</v>
      </c>
      <c r="O410" s="94">
        <f t="shared" si="136"/>
        <v>0</v>
      </c>
      <c r="P410" s="117">
        <v>5600</v>
      </c>
    </row>
    <row r="411" spans="2:18" ht="21.75" customHeight="1" outlineLevel="1" x14ac:dyDescent="0.2">
      <c r="B411" s="118"/>
      <c r="C411" s="132"/>
      <c r="D411" s="118"/>
      <c r="E411" s="118"/>
      <c r="F411" s="118"/>
      <c r="G411" s="118"/>
      <c r="H411" s="95" t="s">
        <v>4</v>
      </c>
      <c r="I411" s="94">
        <f t="shared" si="135"/>
        <v>0</v>
      </c>
      <c r="J411" s="94"/>
      <c r="K411" s="94"/>
      <c r="L411" s="94"/>
      <c r="M411" s="94"/>
      <c r="N411" s="94"/>
      <c r="O411" s="94"/>
      <c r="P411" s="118"/>
    </row>
    <row r="412" spans="2:18" ht="21.75" customHeight="1" outlineLevel="1" x14ac:dyDescent="0.2">
      <c r="B412" s="118"/>
      <c r="C412" s="132"/>
      <c r="D412" s="118"/>
      <c r="E412" s="118"/>
      <c r="F412" s="118"/>
      <c r="G412" s="118"/>
      <c r="H412" s="95" t="s">
        <v>6</v>
      </c>
      <c r="I412" s="94">
        <f t="shared" si="135"/>
        <v>3.5</v>
      </c>
      <c r="J412" s="94"/>
      <c r="K412" s="94">
        <v>3.5</v>
      </c>
      <c r="L412" s="94"/>
      <c r="M412" s="94"/>
      <c r="N412" s="94"/>
      <c r="O412" s="94"/>
      <c r="P412" s="118"/>
    </row>
    <row r="413" spans="2:18" ht="21.75" customHeight="1" outlineLevel="1" x14ac:dyDescent="0.2">
      <c r="B413" s="119"/>
      <c r="C413" s="133"/>
      <c r="D413" s="119"/>
      <c r="E413" s="119"/>
      <c r="F413" s="119"/>
      <c r="G413" s="119"/>
      <c r="H413" s="95" t="s">
        <v>5</v>
      </c>
      <c r="I413" s="94">
        <f t="shared" si="135"/>
        <v>0</v>
      </c>
      <c r="J413" s="94"/>
      <c r="K413" s="94"/>
      <c r="L413" s="94"/>
      <c r="M413" s="94"/>
      <c r="N413" s="94"/>
      <c r="O413" s="94"/>
      <c r="P413" s="119"/>
    </row>
    <row r="414" spans="2:18" ht="21.75" customHeight="1" outlineLevel="1" x14ac:dyDescent="0.2">
      <c r="B414" s="117" t="s">
        <v>762</v>
      </c>
      <c r="C414" s="117"/>
      <c r="D414" s="117" t="s">
        <v>760</v>
      </c>
      <c r="E414" s="117" t="s">
        <v>50</v>
      </c>
      <c r="F414" s="173" t="s">
        <v>763</v>
      </c>
      <c r="G414" s="117" t="s">
        <v>101</v>
      </c>
      <c r="H414" s="95" t="s">
        <v>3</v>
      </c>
      <c r="I414" s="94">
        <f t="shared" si="135"/>
        <v>31.5</v>
      </c>
      <c r="J414" s="94">
        <f t="shared" ref="J414:O414" si="137">J415+J416+J417</f>
        <v>0</v>
      </c>
      <c r="K414" s="94">
        <f t="shared" si="137"/>
        <v>3.5</v>
      </c>
      <c r="L414" s="94">
        <f t="shared" si="137"/>
        <v>28</v>
      </c>
      <c r="M414" s="94">
        <f t="shared" si="137"/>
        <v>0</v>
      </c>
      <c r="N414" s="94">
        <f t="shared" si="137"/>
        <v>0</v>
      </c>
      <c r="O414" s="94">
        <f t="shared" si="137"/>
        <v>0</v>
      </c>
      <c r="P414" s="117">
        <v>5600</v>
      </c>
    </row>
    <row r="415" spans="2:18" ht="21.75" customHeight="1" outlineLevel="1" x14ac:dyDescent="0.2">
      <c r="B415" s="118"/>
      <c r="C415" s="132"/>
      <c r="D415" s="118"/>
      <c r="E415" s="118"/>
      <c r="F415" s="174"/>
      <c r="G415" s="118"/>
      <c r="H415" s="95" t="s">
        <v>4</v>
      </c>
      <c r="I415" s="94">
        <f t="shared" si="135"/>
        <v>0</v>
      </c>
      <c r="J415" s="94"/>
      <c r="K415" s="94"/>
      <c r="L415" s="94"/>
      <c r="M415" s="94"/>
      <c r="N415" s="94"/>
      <c r="O415" s="94"/>
      <c r="P415" s="118"/>
    </row>
    <row r="416" spans="2:18" ht="21.75" customHeight="1" outlineLevel="1" x14ac:dyDescent="0.2">
      <c r="B416" s="118"/>
      <c r="C416" s="132"/>
      <c r="D416" s="118"/>
      <c r="E416" s="118"/>
      <c r="F416" s="174"/>
      <c r="G416" s="118"/>
      <c r="H416" s="95" t="s">
        <v>6</v>
      </c>
      <c r="I416" s="94">
        <f t="shared" si="135"/>
        <v>31.5</v>
      </c>
      <c r="J416" s="94"/>
      <c r="K416" s="94">
        <v>3.5</v>
      </c>
      <c r="L416" s="94">
        <v>28</v>
      </c>
      <c r="M416" s="94"/>
      <c r="N416" s="94"/>
      <c r="O416" s="94"/>
      <c r="P416" s="118"/>
    </row>
    <row r="417" spans="2:16" ht="21.75" customHeight="1" outlineLevel="1" x14ac:dyDescent="0.2">
      <c r="B417" s="119"/>
      <c r="C417" s="133"/>
      <c r="D417" s="119"/>
      <c r="E417" s="119"/>
      <c r="F417" s="175"/>
      <c r="G417" s="119"/>
      <c r="H417" s="95" t="s">
        <v>5</v>
      </c>
      <c r="I417" s="94">
        <f t="shared" si="135"/>
        <v>0</v>
      </c>
      <c r="J417" s="94"/>
      <c r="K417" s="94"/>
      <c r="L417" s="94"/>
      <c r="M417" s="94"/>
      <c r="N417" s="94"/>
      <c r="O417" s="94"/>
      <c r="P417" s="119"/>
    </row>
    <row r="418" spans="2:16" ht="21.75" customHeight="1" outlineLevel="1" x14ac:dyDescent="0.2">
      <c r="B418" s="117" t="s">
        <v>764</v>
      </c>
      <c r="C418" s="117"/>
      <c r="D418" s="117" t="s">
        <v>760</v>
      </c>
      <c r="E418" s="117" t="s">
        <v>50</v>
      </c>
      <c r="F418" s="173"/>
      <c r="G418" s="117" t="s">
        <v>101</v>
      </c>
      <c r="H418" s="95" t="s">
        <v>3</v>
      </c>
      <c r="I418" s="94">
        <f t="shared" si="135"/>
        <v>12</v>
      </c>
      <c r="J418" s="94">
        <f t="shared" ref="J418:O418" si="138">J419+J420+J421</f>
        <v>0</v>
      </c>
      <c r="K418" s="94">
        <f t="shared" si="138"/>
        <v>12</v>
      </c>
      <c r="L418" s="94">
        <f t="shared" si="138"/>
        <v>0</v>
      </c>
      <c r="M418" s="94">
        <f t="shared" si="138"/>
        <v>0</v>
      </c>
      <c r="N418" s="94">
        <f t="shared" si="138"/>
        <v>0</v>
      </c>
      <c r="O418" s="94">
        <f t="shared" si="138"/>
        <v>0</v>
      </c>
      <c r="P418" s="117">
        <v>5600</v>
      </c>
    </row>
    <row r="419" spans="2:16" ht="21.75" customHeight="1" outlineLevel="1" x14ac:dyDescent="0.2">
      <c r="B419" s="118"/>
      <c r="C419" s="132"/>
      <c r="D419" s="118"/>
      <c r="E419" s="118"/>
      <c r="F419" s="174"/>
      <c r="G419" s="118"/>
      <c r="H419" s="95" t="s">
        <v>4</v>
      </c>
      <c r="I419" s="94">
        <f t="shared" si="135"/>
        <v>0</v>
      </c>
      <c r="J419" s="94"/>
      <c r="K419" s="94"/>
      <c r="L419" s="94"/>
      <c r="M419" s="94"/>
      <c r="N419" s="94"/>
      <c r="O419" s="94"/>
      <c r="P419" s="118"/>
    </row>
    <row r="420" spans="2:16" ht="21.75" customHeight="1" outlineLevel="1" x14ac:dyDescent="0.2">
      <c r="B420" s="118"/>
      <c r="C420" s="132"/>
      <c r="D420" s="118"/>
      <c r="E420" s="118"/>
      <c r="F420" s="174"/>
      <c r="G420" s="118"/>
      <c r="H420" s="95" t="s">
        <v>6</v>
      </c>
      <c r="I420" s="94">
        <f t="shared" si="135"/>
        <v>12</v>
      </c>
      <c r="J420" s="94"/>
      <c r="K420" s="94">
        <v>12</v>
      </c>
      <c r="L420" s="94"/>
      <c r="M420" s="94"/>
      <c r="N420" s="94"/>
      <c r="O420" s="94"/>
      <c r="P420" s="118"/>
    </row>
    <row r="421" spans="2:16" ht="21.75" customHeight="1" outlineLevel="1" x14ac:dyDescent="0.2">
      <c r="B421" s="119"/>
      <c r="C421" s="133"/>
      <c r="D421" s="119"/>
      <c r="E421" s="119"/>
      <c r="F421" s="175"/>
      <c r="G421" s="119"/>
      <c r="H421" s="95" t="s">
        <v>5</v>
      </c>
      <c r="I421" s="94">
        <f t="shared" si="135"/>
        <v>0</v>
      </c>
      <c r="J421" s="94"/>
      <c r="K421" s="94"/>
      <c r="L421" s="94"/>
      <c r="M421" s="94"/>
      <c r="N421" s="94"/>
      <c r="O421" s="94"/>
      <c r="P421" s="119"/>
    </row>
    <row r="422" spans="2:16" ht="42.75" outlineLevel="1" x14ac:dyDescent="0.2">
      <c r="B422" s="117" t="s">
        <v>765</v>
      </c>
      <c r="C422" s="117"/>
      <c r="D422" s="117" t="s">
        <v>760</v>
      </c>
      <c r="E422" s="117">
        <v>2021</v>
      </c>
      <c r="F422" s="117" t="s">
        <v>766</v>
      </c>
      <c r="G422" s="117" t="s">
        <v>101</v>
      </c>
      <c r="H422" s="95" t="s">
        <v>3</v>
      </c>
      <c r="I422" s="94">
        <f t="shared" si="135"/>
        <v>35.1</v>
      </c>
      <c r="J422" s="94">
        <f t="shared" ref="J422:O422" si="139">J423+J424+J425</f>
        <v>3.9</v>
      </c>
      <c r="K422" s="94">
        <f t="shared" si="139"/>
        <v>31.2</v>
      </c>
      <c r="L422" s="94">
        <f t="shared" si="139"/>
        <v>0</v>
      </c>
      <c r="M422" s="94">
        <f t="shared" si="139"/>
        <v>0</v>
      </c>
      <c r="N422" s="94">
        <f t="shared" si="139"/>
        <v>0</v>
      </c>
      <c r="O422" s="94">
        <f t="shared" si="139"/>
        <v>0</v>
      </c>
      <c r="P422" s="117">
        <v>5600</v>
      </c>
    </row>
    <row r="423" spans="2:16" outlineLevel="1" x14ac:dyDescent="0.2">
      <c r="B423" s="118"/>
      <c r="C423" s="132"/>
      <c r="D423" s="118"/>
      <c r="E423" s="118"/>
      <c r="F423" s="118"/>
      <c r="G423" s="118"/>
      <c r="H423" s="95" t="s">
        <v>4</v>
      </c>
      <c r="I423" s="94">
        <f t="shared" si="135"/>
        <v>0</v>
      </c>
      <c r="J423" s="94"/>
      <c r="K423" s="94"/>
      <c r="L423" s="94"/>
      <c r="M423" s="94"/>
      <c r="N423" s="94"/>
      <c r="O423" s="94"/>
      <c r="P423" s="118"/>
    </row>
    <row r="424" spans="2:16" outlineLevel="1" x14ac:dyDescent="0.2">
      <c r="B424" s="118"/>
      <c r="C424" s="132"/>
      <c r="D424" s="118"/>
      <c r="E424" s="118"/>
      <c r="F424" s="118"/>
      <c r="G424" s="118"/>
      <c r="H424" s="95" t="s">
        <v>6</v>
      </c>
      <c r="I424" s="94">
        <f t="shared" si="135"/>
        <v>35.1</v>
      </c>
      <c r="J424" s="94">
        <v>3.9</v>
      </c>
      <c r="K424" s="94">
        <v>31.2</v>
      </c>
      <c r="L424" s="94"/>
      <c r="M424" s="94"/>
      <c r="N424" s="94"/>
      <c r="O424" s="94"/>
      <c r="P424" s="118"/>
    </row>
    <row r="425" spans="2:16" outlineLevel="1" x14ac:dyDescent="0.2">
      <c r="B425" s="119"/>
      <c r="C425" s="133"/>
      <c r="D425" s="119"/>
      <c r="E425" s="119"/>
      <c r="F425" s="119"/>
      <c r="G425" s="119"/>
      <c r="H425" s="95" t="s">
        <v>5</v>
      </c>
      <c r="I425" s="94">
        <f t="shared" si="135"/>
        <v>0</v>
      </c>
      <c r="J425" s="94"/>
      <c r="K425" s="94"/>
      <c r="L425" s="94"/>
      <c r="M425" s="94"/>
      <c r="N425" s="94"/>
      <c r="O425" s="94"/>
      <c r="P425" s="119"/>
    </row>
    <row r="426" spans="2:16" ht="42.75" outlineLevel="1" x14ac:dyDescent="0.2">
      <c r="B426" s="117" t="s">
        <v>767</v>
      </c>
      <c r="C426" s="117"/>
      <c r="D426" s="117" t="s">
        <v>321</v>
      </c>
      <c r="E426" s="117" t="s">
        <v>61</v>
      </c>
      <c r="F426" s="117"/>
      <c r="G426" s="117" t="s">
        <v>101</v>
      </c>
      <c r="H426" s="95" t="s">
        <v>3</v>
      </c>
      <c r="I426" s="94">
        <f t="shared" si="135"/>
        <v>25.1</v>
      </c>
      <c r="J426" s="94">
        <f t="shared" ref="J426:O426" si="140">J427+J428+J429</f>
        <v>25.1</v>
      </c>
      <c r="K426" s="94">
        <f t="shared" si="140"/>
        <v>0</v>
      </c>
      <c r="L426" s="94">
        <f t="shared" si="140"/>
        <v>0</v>
      </c>
      <c r="M426" s="94">
        <f t="shared" si="140"/>
        <v>0</v>
      </c>
      <c r="N426" s="94">
        <f t="shared" si="140"/>
        <v>0</v>
      </c>
      <c r="O426" s="94">
        <f t="shared" si="140"/>
        <v>0</v>
      </c>
      <c r="P426" s="117">
        <v>13900</v>
      </c>
    </row>
    <row r="427" spans="2:16" outlineLevel="1" x14ac:dyDescent="0.2">
      <c r="B427" s="118"/>
      <c r="C427" s="132"/>
      <c r="D427" s="118"/>
      <c r="E427" s="118"/>
      <c r="F427" s="118"/>
      <c r="G427" s="118"/>
      <c r="H427" s="95" t="s">
        <v>4</v>
      </c>
      <c r="I427" s="94">
        <f t="shared" si="135"/>
        <v>0</v>
      </c>
      <c r="J427" s="94"/>
      <c r="K427" s="94"/>
      <c r="L427" s="94"/>
      <c r="M427" s="94"/>
      <c r="N427" s="94"/>
      <c r="O427" s="94"/>
      <c r="P427" s="118"/>
    </row>
    <row r="428" spans="2:16" outlineLevel="1" x14ac:dyDescent="0.2">
      <c r="B428" s="118"/>
      <c r="C428" s="132"/>
      <c r="D428" s="118"/>
      <c r="E428" s="118"/>
      <c r="F428" s="118"/>
      <c r="G428" s="118"/>
      <c r="H428" s="95" t="s">
        <v>6</v>
      </c>
      <c r="I428" s="94">
        <f t="shared" si="135"/>
        <v>25.1</v>
      </c>
      <c r="J428" s="94">
        <v>25.1</v>
      </c>
      <c r="K428" s="94"/>
      <c r="L428" s="94"/>
      <c r="M428" s="94"/>
      <c r="N428" s="94"/>
      <c r="O428" s="94"/>
      <c r="P428" s="118"/>
    </row>
    <row r="429" spans="2:16" outlineLevel="1" x14ac:dyDescent="0.2">
      <c r="B429" s="119"/>
      <c r="C429" s="133"/>
      <c r="D429" s="119"/>
      <c r="E429" s="119"/>
      <c r="F429" s="119"/>
      <c r="G429" s="119"/>
      <c r="H429" s="95" t="s">
        <v>5</v>
      </c>
      <c r="I429" s="94">
        <f t="shared" si="135"/>
        <v>0</v>
      </c>
      <c r="J429" s="94"/>
      <c r="K429" s="94"/>
      <c r="L429" s="94"/>
      <c r="M429" s="94"/>
      <c r="N429" s="94"/>
      <c r="O429" s="94"/>
      <c r="P429" s="119"/>
    </row>
    <row r="430" spans="2:16" ht="42.75" customHeight="1" outlineLevel="1" x14ac:dyDescent="0.2">
      <c r="B430" s="117" t="s">
        <v>768</v>
      </c>
      <c r="C430" s="117"/>
      <c r="D430" s="117" t="s">
        <v>321</v>
      </c>
      <c r="E430" s="117" t="s">
        <v>50</v>
      </c>
      <c r="F430" s="117"/>
      <c r="G430" s="117" t="s">
        <v>101</v>
      </c>
      <c r="H430" s="95" t="s">
        <v>3</v>
      </c>
      <c r="I430" s="94">
        <f t="shared" si="135"/>
        <v>58.5</v>
      </c>
      <c r="J430" s="94">
        <v>0</v>
      </c>
      <c r="K430" s="94">
        <f t="shared" ref="K430:O430" si="141">K431+K432+K433</f>
        <v>6.5</v>
      </c>
      <c r="L430" s="94">
        <f t="shared" si="141"/>
        <v>52</v>
      </c>
      <c r="M430" s="94">
        <f t="shared" si="141"/>
        <v>0</v>
      </c>
      <c r="N430" s="94">
        <f t="shared" si="141"/>
        <v>0</v>
      </c>
      <c r="O430" s="94">
        <f t="shared" si="141"/>
        <v>0</v>
      </c>
      <c r="P430" s="117">
        <v>5600</v>
      </c>
    </row>
    <row r="431" spans="2:16" outlineLevel="1" x14ac:dyDescent="0.2">
      <c r="B431" s="118"/>
      <c r="C431" s="132"/>
      <c r="D431" s="118"/>
      <c r="E431" s="118"/>
      <c r="F431" s="118"/>
      <c r="G431" s="118"/>
      <c r="H431" s="95" t="s">
        <v>4</v>
      </c>
      <c r="I431" s="94">
        <f t="shared" si="135"/>
        <v>0</v>
      </c>
      <c r="J431" s="94"/>
      <c r="K431" s="94"/>
      <c r="L431" s="94"/>
      <c r="M431" s="94"/>
      <c r="N431" s="94"/>
      <c r="O431" s="94"/>
      <c r="P431" s="118"/>
    </row>
    <row r="432" spans="2:16" outlineLevel="1" x14ac:dyDescent="0.2">
      <c r="B432" s="118"/>
      <c r="C432" s="132"/>
      <c r="D432" s="118"/>
      <c r="E432" s="118"/>
      <c r="F432" s="118"/>
      <c r="G432" s="118"/>
      <c r="H432" s="95" t="s">
        <v>6</v>
      </c>
      <c r="I432" s="94">
        <f t="shared" si="135"/>
        <v>58.5</v>
      </c>
      <c r="J432" s="94"/>
      <c r="K432" s="94">
        <v>6.5</v>
      </c>
      <c r="L432" s="94">
        <v>52</v>
      </c>
      <c r="M432" s="94"/>
      <c r="N432" s="94"/>
      <c r="O432" s="94"/>
      <c r="P432" s="118"/>
    </row>
    <row r="433" spans="2:18" outlineLevel="1" x14ac:dyDescent="0.2">
      <c r="B433" s="119"/>
      <c r="C433" s="133"/>
      <c r="D433" s="119"/>
      <c r="E433" s="119"/>
      <c r="F433" s="119"/>
      <c r="G433" s="119"/>
      <c r="H433" s="95" t="s">
        <v>5</v>
      </c>
      <c r="I433" s="94">
        <f t="shared" si="135"/>
        <v>0</v>
      </c>
      <c r="J433" s="94"/>
      <c r="K433" s="94"/>
      <c r="L433" s="94"/>
      <c r="M433" s="94"/>
      <c r="N433" s="94"/>
      <c r="O433" s="94"/>
      <c r="P433" s="119"/>
    </row>
    <row r="434" spans="2:18" ht="42.75" outlineLevel="1" x14ac:dyDescent="0.2">
      <c r="B434" s="117" t="s">
        <v>769</v>
      </c>
      <c r="C434" s="117"/>
      <c r="D434" s="117" t="s">
        <v>321</v>
      </c>
      <c r="E434" s="117">
        <v>2021</v>
      </c>
      <c r="F434" s="117"/>
      <c r="G434" s="117" t="s">
        <v>101</v>
      </c>
      <c r="H434" s="95" t="s">
        <v>3</v>
      </c>
      <c r="I434" s="94">
        <f t="shared" si="135"/>
        <v>25.5</v>
      </c>
      <c r="J434" s="94">
        <v>0</v>
      </c>
      <c r="K434" s="94">
        <f t="shared" ref="K434:O434" si="142">K435+K436+K437</f>
        <v>25.5</v>
      </c>
      <c r="L434" s="94">
        <f t="shared" si="142"/>
        <v>0</v>
      </c>
      <c r="M434" s="94">
        <f t="shared" si="142"/>
        <v>0</v>
      </c>
      <c r="N434" s="94">
        <f t="shared" si="142"/>
        <v>0</v>
      </c>
      <c r="O434" s="94">
        <f t="shared" si="142"/>
        <v>0</v>
      </c>
      <c r="P434" s="117">
        <v>1000</v>
      </c>
    </row>
    <row r="435" spans="2:18" outlineLevel="1" x14ac:dyDescent="0.2">
      <c r="B435" s="118"/>
      <c r="C435" s="132"/>
      <c r="D435" s="118"/>
      <c r="E435" s="118"/>
      <c r="F435" s="118"/>
      <c r="G435" s="118"/>
      <c r="H435" s="95" t="s">
        <v>4</v>
      </c>
      <c r="I435" s="94">
        <f t="shared" si="135"/>
        <v>0</v>
      </c>
      <c r="J435" s="94"/>
      <c r="K435" s="94"/>
      <c r="L435" s="94"/>
      <c r="M435" s="94"/>
      <c r="N435" s="94"/>
      <c r="O435" s="94"/>
      <c r="P435" s="118"/>
    </row>
    <row r="436" spans="2:18" outlineLevel="1" x14ac:dyDescent="0.2">
      <c r="B436" s="118"/>
      <c r="C436" s="132"/>
      <c r="D436" s="118"/>
      <c r="E436" s="118"/>
      <c r="F436" s="118"/>
      <c r="G436" s="118"/>
      <c r="H436" s="95" t="s">
        <v>6</v>
      </c>
      <c r="I436" s="94">
        <f t="shared" si="135"/>
        <v>25.5</v>
      </c>
      <c r="J436" s="94"/>
      <c r="K436" s="94">
        <v>25.5</v>
      </c>
      <c r="L436" s="94"/>
      <c r="M436" s="94"/>
      <c r="N436" s="94"/>
      <c r="O436" s="94"/>
      <c r="P436" s="118"/>
    </row>
    <row r="437" spans="2:18" outlineLevel="1" x14ac:dyDescent="0.2">
      <c r="B437" s="119"/>
      <c r="C437" s="133"/>
      <c r="D437" s="119"/>
      <c r="E437" s="119"/>
      <c r="F437" s="119"/>
      <c r="G437" s="119"/>
      <c r="H437" s="95" t="s">
        <v>5</v>
      </c>
      <c r="I437" s="94">
        <f t="shared" si="135"/>
        <v>0</v>
      </c>
      <c r="J437" s="94"/>
      <c r="K437" s="94"/>
      <c r="L437" s="94"/>
      <c r="M437" s="94"/>
      <c r="N437" s="94"/>
      <c r="O437" s="94"/>
      <c r="P437" s="119"/>
    </row>
    <row r="438" spans="2:18" ht="42.75" x14ac:dyDescent="0.2">
      <c r="B438" s="128" t="s">
        <v>337</v>
      </c>
      <c r="C438" s="128" t="s">
        <v>38</v>
      </c>
      <c r="D438" s="128" t="s">
        <v>38</v>
      </c>
      <c r="E438" s="128" t="s">
        <v>38</v>
      </c>
      <c r="F438" s="128" t="s">
        <v>38</v>
      </c>
      <c r="G438" s="128" t="s">
        <v>38</v>
      </c>
      <c r="H438" s="95" t="s">
        <v>3</v>
      </c>
      <c r="I438" s="14">
        <f t="shared" ref="I438:O438" si="143">SUMIF($H$406:$H$437,"Объем*",I$406:I$437)</f>
        <v>194.8</v>
      </c>
      <c r="J438" s="14">
        <f t="shared" si="143"/>
        <v>32.6</v>
      </c>
      <c r="K438" s="14">
        <f t="shared" si="143"/>
        <v>82.2</v>
      </c>
      <c r="L438" s="14">
        <f t="shared" si="143"/>
        <v>80</v>
      </c>
      <c r="M438" s="14">
        <f t="shared" si="143"/>
        <v>0</v>
      </c>
      <c r="N438" s="14">
        <f t="shared" si="143"/>
        <v>0</v>
      </c>
      <c r="O438" s="14">
        <f t="shared" si="143"/>
        <v>0</v>
      </c>
      <c r="P438" s="128"/>
      <c r="Q438" s="7"/>
      <c r="R438" s="7"/>
    </row>
    <row r="439" spans="2:18" ht="15.75" x14ac:dyDescent="0.2">
      <c r="B439" s="129"/>
      <c r="C439" s="129"/>
      <c r="D439" s="129"/>
      <c r="E439" s="129"/>
      <c r="F439" s="129"/>
      <c r="G439" s="129"/>
      <c r="H439" s="95" t="s">
        <v>4</v>
      </c>
      <c r="I439" s="14">
        <f t="shared" ref="I439:O439" si="144">SUMIF($H$406:$H$437,"фед*",I$406:I$437)</f>
        <v>0</v>
      </c>
      <c r="J439" s="14">
        <f t="shared" si="144"/>
        <v>0</v>
      </c>
      <c r="K439" s="14">
        <f t="shared" si="144"/>
        <v>0</v>
      </c>
      <c r="L439" s="14">
        <f t="shared" si="144"/>
        <v>0</v>
      </c>
      <c r="M439" s="14">
        <f t="shared" si="144"/>
        <v>0</v>
      </c>
      <c r="N439" s="14">
        <f t="shared" si="144"/>
        <v>0</v>
      </c>
      <c r="O439" s="14">
        <f t="shared" si="144"/>
        <v>0</v>
      </c>
      <c r="P439" s="129"/>
      <c r="Q439" s="7"/>
    </row>
    <row r="440" spans="2:18" ht="15.75" x14ac:dyDescent="0.2">
      <c r="B440" s="129"/>
      <c r="C440" s="129"/>
      <c r="D440" s="129"/>
      <c r="E440" s="129"/>
      <c r="F440" s="129"/>
      <c r="G440" s="129"/>
      <c r="H440" s="95" t="s">
        <v>6</v>
      </c>
      <c r="I440" s="14">
        <f t="shared" ref="I440:O440" si="145">SUMIF($H$406:$H$437,"конс*",I$406:I$437)</f>
        <v>194.8</v>
      </c>
      <c r="J440" s="14">
        <f t="shared" si="145"/>
        <v>32.6</v>
      </c>
      <c r="K440" s="14">
        <f t="shared" si="145"/>
        <v>82.2</v>
      </c>
      <c r="L440" s="14">
        <f t="shared" si="145"/>
        <v>80</v>
      </c>
      <c r="M440" s="14">
        <f t="shared" si="145"/>
        <v>0</v>
      </c>
      <c r="N440" s="14">
        <f t="shared" si="145"/>
        <v>0</v>
      </c>
      <c r="O440" s="14">
        <f t="shared" si="145"/>
        <v>0</v>
      </c>
      <c r="P440" s="129"/>
      <c r="Q440" s="7"/>
    </row>
    <row r="441" spans="2:18" ht="15.75" x14ac:dyDescent="0.2">
      <c r="B441" s="130"/>
      <c r="C441" s="130"/>
      <c r="D441" s="130"/>
      <c r="E441" s="130"/>
      <c r="F441" s="130"/>
      <c r="G441" s="130"/>
      <c r="H441" s="95" t="s">
        <v>5</v>
      </c>
      <c r="I441" s="14">
        <f t="shared" ref="I441:O441" si="146">SUMIF($H$406:$H$437,"вне*",I$406:I$437)</f>
        <v>0</v>
      </c>
      <c r="J441" s="14">
        <f t="shared" si="146"/>
        <v>0</v>
      </c>
      <c r="K441" s="14">
        <f t="shared" si="146"/>
        <v>0</v>
      </c>
      <c r="L441" s="14">
        <f t="shared" si="146"/>
        <v>0</v>
      </c>
      <c r="M441" s="14">
        <f t="shared" si="146"/>
        <v>0</v>
      </c>
      <c r="N441" s="14">
        <f t="shared" si="146"/>
        <v>0</v>
      </c>
      <c r="O441" s="14">
        <f t="shared" si="146"/>
        <v>0</v>
      </c>
      <c r="P441" s="130"/>
      <c r="Q441" s="7"/>
    </row>
    <row r="442" spans="2:18" ht="25.5" customHeight="1" x14ac:dyDescent="0.2">
      <c r="B442" s="111" t="s">
        <v>338</v>
      </c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3"/>
    </row>
    <row r="443" spans="2:18" ht="42.75" outlineLevel="1" x14ac:dyDescent="0.2">
      <c r="B443" s="117" t="s">
        <v>770</v>
      </c>
      <c r="C443" s="117" t="s">
        <v>628</v>
      </c>
      <c r="D443" s="117" t="s">
        <v>338</v>
      </c>
      <c r="E443" s="117">
        <v>2024</v>
      </c>
      <c r="F443" s="117" t="s">
        <v>629</v>
      </c>
      <c r="G443" s="117" t="s">
        <v>138</v>
      </c>
      <c r="H443" s="95" t="s">
        <v>3</v>
      </c>
      <c r="I443" s="94">
        <f t="shared" ref="I443:I462" si="147">SUM(J443:O443)</f>
        <v>21.4</v>
      </c>
      <c r="J443" s="94">
        <f t="shared" ref="J443:O443" si="148">J444+J445+J446</f>
        <v>0</v>
      </c>
      <c r="K443" s="94">
        <f t="shared" si="148"/>
        <v>0</v>
      </c>
      <c r="L443" s="94">
        <f t="shared" si="148"/>
        <v>0</v>
      </c>
      <c r="M443" s="94">
        <f t="shared" si="148"/>
        <v>0</v>
      </c>
      <c r="N443" s="94">
        <f t="shared" si="148"/>
        <v>21.4</v>
      </c>
      <c r="O443" s="94">
        <f t="shared" si="148"/>
        <v>0</v>
      </c>
      <c r="P443" s="117">
        <v>1489</v>
      </c>
    </row>
    <row r="444" spans="2:18" outlineLevel="1" x14ac:dyDescent="0.2">
      <c r="B444" s="118"/>
      <c r="C444" s="132"/>
      <c r="D444" s="118"/>
      <c r="E444" s="118"/>
      <c r="F444" s="118"/>
      <c r="G444" s="118"/>
      <c r="H444" s="95" t="s">
        <v>4</v>
      </c>
      <c r="I444" s="94">
        <f t="shared" si="147"/>
        <v>21.2</v>
      </c>
      <c r="J444" s="94"/>
      <c r="K444" s="94"/>
      <c r="L444" s="94"/>
      <c r="M444" s="94"/>
      <c r="N444" s="94">
        <v>21.2</v>
      </c>
      <c r="O444" s="94"/>
      <c r="P444" s="118"/>
    </row>
    <row r="445" spans="2:18" outlineLevel="1" x14ac:dyDescent="0.2">
      <c r="B445" s="118"/>
      <c r="C445" s="132"/>
      <c r="D445" s="118"/>
      <c r="E445" s="118"/>
      <c r="F445" s="118"/>
      <c r="G445" s="118"/>
      <c r="H445" s="95" t="s">
        <v>6</v>
      </c>
      <c r="I445" s="94">
        <f t="shared" si="147"/>
        <v>0.2</v>
      </c>
      <c r="J445" s="94"/>
      <c r="K445" s="94"/>
      <c r="L445" s="94"/>
      <c r="M445" s="94"/>
      <c r="N445" s="94">
        <v>0.2</v>
      </c>
      <c r="O445" s="94"/>
      <c r="P445" s="118"/>
    </row>
    <row r="446" spans="2:18" outlineLevel="1" x14ac:dyDescent="0.2">
      <c r="B446" s="119"/>
      <c r="C446" s="133"/>
      <c r="D446" s="119"/>
      <c r="E446" s="119"/>
      <c r="F446" s="119"/>
      <c r="G446" s="119"/>
      <c r="H446" s="95" t="s">
        <v>5</v>
      </c>
      <c r="I446" s="94">
        <f t="shared" si="147"/>
        <v>0</v>
      </c>
      <c r="J446" s="94"/>
      <c r="K446" s="94"/>
      <c r="L446" s="94"/>
      <c r="M446" s="94"/>
      <c r="N446" s="94"/>
      <c r="O446" s="94"/>
      <c r="P446" s="119"/>
    </row>
    <row r="447" spans="2:18" ht="42.75" outlineLevel="1" x14ac:dyDescent="0.2">
      <c r="B447" s="117" t="s">
        <v>771</v>
      </c>
      <c r="C447" s="117" t="s">
        <v>628</v>
      </c>
      <c r="D447" s="117" t="s">
        <v>338</v>
      </c>
      <c r="E447" s="117">
        <v>2024</v>
      </c>
      <c r="F447" s="117" t="s">
        <v>629</v>
      </c>
      <c r="G447" s="117" t="s">
        <v>138</v>
      </c>
      <c r="H447" s="95" t="s">
        <v>3</v>
      </c>
      <c r="I447" s="94">
        <f t="shared" si="147"/>
        <v>21.099999999999998</v>
      </c>
      <c r="J447" s="94">
        <f t="shared" ref="J447:O447" si="149">J448+J449+J450</f>
        <v>0</v>
      </c>
      <c r="K447" s="94">
        <f t="shared" si="149"/>
        <v>0</v>
      </c>
      <c r="L447" s="94">
        <f t="shared" si="149"/>
        <v>0</v>
      </c>
      <c r="M447" s="94">
        <f t="shared" si="149"/>
        <v>0</v>
      </c>
      <c r="N447" s="94">
        <f t="shared" si="149"/>
        <v>21.099999999999998</v>
      </c>
      <c r="O447" s="94">
        <f t="shared" si="149"/>
        <v>0</v>
      </c>
      <c r="P447" s="117">
        <v>1805</v>
      </c>
    </row>
    <row r="448" spans="2:18" outlineLevel="1" x14ac:dyDescent="0.2">
      <c r="B448" s="118"/>
      <c r="C448" s="132"/>
      <c r="D448" s="118"/>
      <c r="E448" s="118"/>
      <c r="F448" s="118"/>
      <c r="G448" s="118"/>
      <c r="H448" s="95" t="s">
        <v>4</v>
      </c>
      <c r="I448" s="94">
        <f t="shared" si="147"/>
        <v>20.9</v>
      </c>
      <c r="J448" s="94"/>
      <c r="K448" s="94"/>
      <c r="L448" s="94"/>
      <c r="M448" s="94"/>
      <c r="N448" s="94">
        <v>20.9</v>
      </c>
      <c r="O448" s="94"/>
      <c r="P448" s="118"/>
    </row>
    <row r="449" spans="2:18" outlineLevel="1" x14ac:dyDescent="0.2">
      <c r="B449" s="118"/>
      <c r="C449" s="132"/>
      <c r="D449" s="118"/>
      <c r="E449" s="118"/>
      <c r="F449" s="118"/>
      <c r="G449" s="118"/>
      <c r="H449" s="95" t="s">
        <v>6</v>
      </c>
      <c r="I449" s="94">
        <f t="shared" si="147"/>
        <v>0.2</v>
      </c>
      <c r="J449" s="94"/>
      <c r="K449" s="94"/>
      <c r="L449" s="94"/>
      <c r="M449" s="94"/>
      <c r="N449" s="94">
        <v>0.2</v>
      </c>
      <c r="O449" s="94"/>
      <c r="P449" s="118"/>
    </row>
    <row r="450" spans="2:18" outlineLevel="1" x14ac:dyDescent="0.2">
      <c r="B450" s="119"/>
      <c r="C450" s="133"/>
      <c r="D450" s="119"/>
      <c r="E450" s="119"/>
      <c r="F450" s="119"/>
      <c r="G450" s="119"/>
      <c r="H450" s="95" t="s">
        <v>5</v>
      </c>
      <c r="I450" s="94">
        <f t="shared" si="147"/>
        <v>0</v>
      </c>
      <c r="J450" s="94"/>
      <c r="K450" s="94"/>
      <c r="L450" s="94"/>
      <c r="M450" s="94"/>
      <c r="N450" s="94"/>
      <c r="O450" s="94"/>
      <c r="P450" s="119"/>
    </row>
    <row r="451" spans="2:18" ht="42.75" outlineLevel="1" x14ac:dyDescent="0.2">
      <c r="B451" s="117" t="s">
        <v>772</v>
      </c>
      <c r="C451" s="117"/>
      <c r="D451" s="117" t="s">
        <v>773</v>
      </c>
      <c r="E451" s="117">
        <v>2021</v>
      </c>
      <c r="F451" s="117"/>
      <c r="G451" s="117" t="s">
        <v>138</v>
      </c>
      <c r="H451" s="95" t="s">
        <v>3</v>
      </c>
      <c r="I451" s="94">
        <f t="shared" si="147"/>
        <v>7.6</v>
      </c>
      <c r="J451" s="94">
        <f t="shared" ref="J451:O451" si="150">J452+J453+J454</f>
        <v>0</v>
      </c>
      <c r="K451" s="94">
        <f t="shared" si="150"/>
        <v>7.6</v>
      </c>
      <c r="L451" s="94">
        <f t="shared" si="150"/>
        <v>0</v>
      </c>
      <c r="M451" s="94">
        <f t="shared" si="150"/>
        <v>0</v>
      </c>
      <c r="N451" s="94">
        <f t="shared" si="150"/>
        <v>0</v>
      </c>
      <c r="O451" s="94">
        <f t="shared" si="150"/>
        <v>0</v>
      </c>
      <c r="P451" s="170"/>
    </row>
    <row r="452" spans="2:18" outlineLevel="1" x14ac:dyDescent="0.2">
      <c r="B452" s="118"/>
      <c r="C452" s="132"/>
      <c r="D452" s="118"/>
      <c r="E452" s="118"/>
      <c r="F452" s="118"/>
      <c r="G452" s="118"/>
      <c r="H452" s="95" t="s">
        <v>4</v>
      </c>
      <c r="I452" s="94">
        <f t="shared" si="147"/>
        <v>6.5</v>
      </c>
      <c r="J452" s="94"/>
      <c r="K452" s="94">
        <v>6.5</v>
      </c>
      <c r="L452" s="94"/>
      <c r="M452" s="94"/>
      <c r="N452" s="94"/>
      <c r="O452" s="94"/>
      <c r="P452" s="171"/>
    </row>
    <row r="453" spans="2:18" outlineLevel="1" x14ac:dyDescent="0.2">
      <c r="B453" s="118"/>
      <c r="C453" s="132"/>
      <c r="D453" s="118"/>
      <c r="E453" s="118"/>
      <c r="F453" s="118"/>
      <c r="G453" s="118"/>
      <c r="H453" s="95" t="s">
        <v>6</v>
      </c>
      <c r="I453" s="94">
        <f t="shared" si="147"/>
        <v>1.1000000000000001</v>
      </c>
      <c r="J453" s="94"/>
      <c r="K453" s="94">
        <v>1.1000000000000001</v>
      </c>
      <c r="L453" s="94"/>
      <c r="M453" s="94"/>
      <c r="N453" s="94"/>
      <c r="O453" s="94"/>
      <c r="P453" s="171"/>
    </row>
    <row r="454" spans="2:18" outlineLevel="1" x14ac:dyDescent="0.2">
      <c r="B454" s="119"/>
      <c r="C454" s="133"/>
      <c r="D454" s="119"/>
      <c r="E454" s="119"/>
      <c r="F454" s="119"/>
      <c r="G454" s="119"/>
      <c r="H454" s="95" t="s">
        <v>5</v>
      </c>
      <c r="I454" s="94">
        <f t="shared" si="147"/>
        <v>0</v>
      </c>
      <c r="J454" s="94"/>
      <c r="K454" s="94"/>
      <c r="L454" s="94"/>
      <c r="M454" s="94"/>
      <c r="N454" s="94"/>
      <c r="O454" s="94"/>
      <c r="P454" s="172"/>
    </row>
    <row r="455" spans="2:18" ht="42.75" customHeight="1" outlineLevel="1" x14ac:dyDescent="0.2">
      <c r="B455" s="117" t="s">
        <v>774</v>
      </c>
      <c r="C455" s="117"/>
      <c r="D455" s="117" t="s">
        <v>773</v>
      </c>
      <c r="E455" s="117">
        <v>2021</v>
      </c>
      <c r="F455" s="117"/>
      <c r="G455" s="117" t="s">
        <v>138</v>
      </c>
      <c r="H455" s="95" t="s">
        <v>3</v>
      </c>
      <c r="I455" s="94">
        <f t="shared" si="147"/>
        <v>7.9</v>
      </c>
      <c r="J455" s="94">
        <f t="shared" ref="J455:O455" si="151">J456+J457+J458</f>
        <v>0</v>
      </c>
      <c r="K455" s="94">
        <f t="shared" si="151"/>
        <v>7.9</v>
      </c>
      <c r="L455" s="94">
        <f t="shared" si="151"/>
        <v>0</v>
      </c>
      <c r="M455" s="94">
        <f t="shared" si="151"/>
        <v>0</v>
      </c>
      <c r="N455" s="94">
        <f t="shared" si="151"/>
        <v>0</v>
      </c>
      <c r="O455" s="94">
        <f t="shared" si="151"/>
        <v>0</v>
      </c>
      <c r="P455" s="170"/>
    </row>
    <row r="456" spans="2:18" ht="15" customHeight="1" outlineLevel="1" x14ac:dyDescent="0.2">
      <c r="B456" s="118"/>
      <c r="C456" s="132"/>
      <c r="D456" s="118"/>
      <c r="E456" s="118"/>
      <c r="F456" s="118"/>
      <c r="G456" s="118"/>
      <c r="H456" s="95" t="s">
        <v>4</v>
      </c>
      <c r="I456" s="94">
        <f t="shared" si="147"/>
        <v>6.7</v>
      </c>
      <c r="J456" s="94"/>
      <c r="K456" s="94">
        <v>6.7</v>
      </c>
      <c r="L456" s="94"/>
      <c r="M456" s="94"/>
      <c r="N456" s="94"/>
      <c r="O456" s="94"/>
      <c r="P456" s="171"/>
    </row>
    <row r="457" spans="2:18" ht="15" customHeight="1" outlineLevel="1" x14ac:dyDescent="0.2">
      <c r="B457" s="118"/>
      <c r="C457" s="132"/>
      <c r="D457" s="118"/>
      <c r="E457" s="118"/>
      <c r="F457" s="118"/>
      <c r="G457" s="118"/>
      <c r="H457" s="95" t="s">
        <v>6</v>
      </c>
      <c r="I457" s="94">
        <f t="shared" si="147"/>
        <v>1.2</v>
      </c>
      <c r="J457" s="94"/>
      <c r="K457" s="94">
        <v>1.2</v>
      </c>
      <c r="L457" s="94"/>
      <c r="M457" s="94"/>
      <c r="N457" s="94"/>
      <c r="O457" s="94"/>
      <c r="P457" s="171"/>
    </row>
    <row r="458" spans="2:18" ht="15" customHeight="1" outlineLevel="1" x14ac:dyDescent="0.2">
      <c r="B458" s="119"/>
      <c r="C458" s="133"/>
      <c r="D458" s="119"/>
      <c r="E458" s="119"/>
      <c r="F458" s="119"/>
      <c r="G458" s="119"/>
      <c r="H458" s="95" t="s">
        <v>5</v>
      </c>
      <c r="I458" s="94">
        <f t="shared" si="147"/>
        <v>0</v>
      </c>
      <c r="J458" s="94"/>
      <c r="K458" s="94"/>
      <c r="L458" s="94"/>
      <c r="M458" s="94"/>
      <c r="N458" s="94"/>
      <c r="O458" s="94"/>
      <c r="P458" s="172"/>
    </row>
    <row r="459" spans="2:18" ht="42.75" customHeight="1" outlineLevel="1" x14ac:dyDescent="0.2">
      <c r="B459" s="117" t="s">
        <v>775</v>
      </c>
      <c r="C459" s="117"/>
      <c r="D459" s="117" t="s">
        <v>773</v>
      </c>
      <c r="E459" s="117">
        <v>2021</v>
      </c>
      <c r="F459" s="117"/>
      <c r="G459" s="117" t="s">
        <v>138</v>
      </c>
      <c r="H459" s="95" t="s">
        <v>3</v>
      </c>
      <c r="I459" s="94">
        <f t="shared" si="147"/>
        <v>16</v>
      </c>
      <c r="J459" s="94">
        <f t="shared" ref="J459:O459" si="152">J460+J461+J462</f>
        <v>0</v>
      </c>
      <c r="K459" s="94">
        <f t="shared" si="152"/>
        <v>16</v>
      </c>
      <c r="L459" s="94">
        <f t="shared" si="152"/>
        <v>0</v>
      </c>
      <c r="M459" s="94">
        <f t="shared" si="152"/>
        <v>0</v>
      </c>
      <c r="N459" s="94">
        <f t="shared" si="152"/>
        <v>0</v>
      </c>
      <c r="O459" s="94">
        <f t="shared" si="152"/>
        <v>0</v>
      </c>
      <c r="P459" s="170"/>
    </row>
    <row r="460" spans="2:18" outlineLevel="1" x14ac:dyDescent="0.2">
      <c r="B460" s="118"/>
      <c r="C460" s="132"/>
      <c r="D460" s="118"/>
      <c r="E460" s="118"/>
      <c r="F460" s="118"/>
      <c r="G460" s="118"/>
      <c r="H460" s="95" t="s">
        <v>4</v>
      </c>
      <c r="I460" s="94">
        <f t="shared" si="147"/>
        <v>13.6</v>
      </c>
      <c r="J460" s="94"/>
      <c r="K460" s="94">
        <v>13.6</v>
      </c>
      <c r="L460" s="94"/>
      <c r="M460" s="94"/>
      <c r="N460" s="94"/>
      <c r="O460" s="94"/>
      <c r="P460" s="171"/>
    </row>
    <row r="461" spans="2:18" outlineLevel="1" x14ac:dyDescent="0.2">
      <c r="B461" s="118"/>
      <c r="C461" s="132"/>
      <c r="D461" s="118"/>
      <c r="E461" s="118"/>
      <c r="F461" s="118"/>
      <c r="G461" s="118"/>
      <c r="H461" s="95" t="s">
        <v>6</v>
      </c>
      <c r="I461" s="94">
        <f t="shared" si="147"/>
        <v>2.4</v>
      </c>
      <c r="J461" s="94"/>
      <c r="K461" s="94">
        <v>2.4</v>
      </c>
      <c r="L461" s="94"/>
      <c r="M461" s="94"/>
      <c r="N461" s="94"/>
      <c r="O461" s="94"/>
      <c r="P461" s="171"/>
    </row>
    <row r="462" spans="2:18" outlineLevel="1" x14ac:dyDescent="0.2">
      <c r="B462" s="119"/>
      <c r="C462" s="133"/>
      <c r="D462" s="119"/>
      <c r="E462" s="119"/>
      <c r="F462" s="119"/>
      <c r="G462" s="119"/>
      <c r="H462" s="95" t="s">
        <v>5</v>
      </c>
      <c r="I462" s="94">
        <f t="shared" si="147"/>
        <v>0</v>
      </c>
      <c r="J462" s="94"/>
      <c r="K462" s="94"/>
      <c r="L462" s="94"/>
      <c r="M462" s="94"/>
      <c r="N462" s="94"/>
      <c r="O462" s="94"/>
      <c r="P462" s="172"/>
    </row>
    <row r="463" spans="2:18" ht="42.75" x14ac:dyDescent="0.2">
      <c r="B463" s="128" t="s">
        <v>343</v>
      </c>
      <c r="C463" s="128" t="s">
        <v>38</v>
      </c>
      <c r="D463" s="128" t="s">
        <v>38</v>
      </c>
      <c r="E463" s="128" t="s">
        <v>38</v>
      </c>
      <c r="F463" s="128" t="s">
        <v>38</v>
      </c>
      <c r="G463" s="128" t="s">
        <v>38</v>
      </c>
      <c r="H463" s="95" t="s">
        <v>3</v>
      </c>
      <c r="I463" s="14">
        <f>SUMIF($H$443:$H$462,"Объем*",I$443:I$462)</f>
        <v>74</v>
      </c>
      <c r="J463" s="14">
        <f t="shared" ref="J463:O463" si="153">SUMIF($H$443:$H$462,"Объем*",J$443:J$462)</f>
        <v>0</v>
      </c>
      <c r="K463" s="14">
        <f t="shared" si="153"/>
        <v>31.5</v>
      </c>
      <c r="L463" s="14">
        <f t="shared" si="153"/>
        <v>0</v>
      </c>
      <c r="M463" s="14">
        <f t="shared" si="153"/>
        <v>0</v>
      </c>
      <c r="N463" s="14">
        <f t="shared" si="153"/>
        <v>42.5</v>
      </c>
      <c r="O463" s="14">
        <f t="shared" si="153"/>
        <v>0</v>
      </c>
      <c r="P463" s="128"/>
      <c r="Q463" s="7"/>
      <c r="R463" s="7"/>
    </row>
    <row r="464" spans="2:18" ht="15.75" x14ac:dyDescent="0.2">
      <c r="B464" s="129"/>
      <c r="C464" s="129"/>
      <c r="D464" s="129"/>
      <c r="E464" s="129"/>
      <c r="F464" s="129"/>
      <c r="G464" s="129"/>
      <c r="H464" s="95" t="s">
        <v>4</v>
      </c>
      <c r="I464" s="14">
        <f>SUMIF($H$443:$H$462,"фед*",I$443:I$462)</f>
        <v>68.899999999999991</v>
      </c>
      <c r="J464" s="14">
        <f t="shared" ref="J464:O464" si="154">SUMIF($H$443:$H$462,"фед*",J$443:J$462)</f>
        <v>0</v>
      </c>
      <c r="K464" s="14">
        <f t="shared" si="154"/>
        <v>26.799999999999997</v>
      </c>
      <c r="L464" s="14">
        <f t="shared" si="154"/>
        <v>0</v>
      </c>
      <c r="M464" s="14">
        <f t="shared" si="154"/>
        <v>0</v>
      </c>
      <c r="N464" s="14">
        <f t="shared" si="154"/>
        <v>42.099999999999994</v>
      </c>
      <c r="O464" s="14">
        <f t="shared" si="154"/>
        <v>0</v>
      </c>
      <c r="P464" s="129"/>
      <c r="Q464" s="7"/>
    </row>
    <row r="465" spans="2:18" ht="15.75" x14ac:dyDescent="0.2">
      <c r="B465" s="129"/>
      <c r="C465" s="129"/>
      <c r="D465" s="129"/>
      <c r="E465" s="129"/>
      <c r="F465" s="129"/>
      <c r="G465" s="129"/>
      <c r="H465" s="95" t="s">
        <v>6</v>
      </c>
      <c r="I465" s="14">
        <f>SUMIF($H$443:$H$462,"конс*",I$443:I$462)</f>
        <v>5.0999999999999996</v>
      </c>
      <c r="J465" s="14">
        <f t="shared" ref="J465:O465" si="155">SUMIF($H$443:$H$462,"конс*",J$443:J$462)</f>
        <v>0</v>
      </c>
      <c r="K465" s="14">
        <f t="shared" si="155"/>
        <v>4.6999999999999993</v>
      </c>
      <c r="L465" s="14">
        <f t="shared" si="155"/>
        <v>0</v>
      </c>
      <c r="M465" s="14">
        <f t="shared" si="155"/>
        <v>0</v>
      </c>
      <c r="N465" s="14">
        <f t="shared" si="155"/>
        <v>0.4</v>
      </c>
      <c r="O465" s="14">
        <f t="shared" si="155"/>
        <v>0</v>
      </c>
      <c r="P465" s="129"/>
      <c r="Q465" s="7"/>
    </row>
    <row r="466" spans="2:18" ht="15.75" x14ac:dyDescent="0.2">
      <c r="B466" s="130"/>
      <c r="C466" s="130"/>
      <c r="D466" s="130"/>
      <c r="E466" s="130"/>
      <c r="F466" s="130"/>
      <c r="G466" s="130"/>
      <c r="H466" s="95" t="s">
        <v>5</v>
      </c>
      <c r="I466" s="14">
        <f>SUMIF($H$443:$H$462,"вне*",I$443:I$462)</f>
        <v>0</v>
      </c>
      <c r="J466" s="14">
        <f t="shared" ref="J466:O466" si="156">SUMIF($H$443:$H$462,"вне*",J$443:J$462)</f>
        <v>0</v>
      </c>
      <c r="K466" s="14">
        <f t="shared" si="156"/>
        <v>0</v>
      </c>
      <c r="L466" s="14">
        <f t="shared" si="156"/>
        <v>0</v>
      </c>
      <c r="M466" s="14">
        <f t="shared" si="156"/>
        <v>0</v>
      </c>
      <c r="N466" s="14">
        <f t="shared" si="156"/>
        <v>0</v>
      </c>
      <c r="O466" s="14">
        <f t="shared" si="156"/>
        <v>0</v>
      </c>
      <c r="P466" s="130"/>
      <c r="Q466" s="7"/>
    </row>
    <row r="467" spans="2:18" ht="25.5" customHeight="1" x14ac:dyDescent="0.2">
      <c r="B467" s="111" t="s">
        <v>344</v>
      </c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3"/>
    </row>
    <row r="468" spans="2:18" ht="41.25" customHeight="1" outlineLevel="1" x14ac:dyDescent="0.2">
      <c r="B468" s="117" t="s">
        <v>776</v>
      </c>
      <c r="C468" s="117"/>
      <c r="D468" s="117" t="s">
        <v>777</v>
      </c>
      <c r="E468" s="117" t="s">
        <v>319</v>
      </c>
      <c r="F468" s="117"/>
      <c r="G468" s="117" t="s">
        <v>138</v>
      </c>
      <c r="H468" s="95" t="s">
        <v>3</v>
      </c>
      <c r="I468" s="94">
        <f>SUM(J468:O468)</f>
        <v>14.3</v>
      </c>
      <c r="J468" s="94">
        <f t="shared" ref="J468:O468" si="157">J469+J470+J471</f>
        <v>14.3</v>
      </c>
      <c r="K468" s="94">
        <f t="shared" si="157"/>
        <v>0</v>
      </c>
      <c r="L468" s="94">
        <f t="shared" si="157"/>
        <v>0</v>
      </c>
      <c r="M468" s="94">
        <f t="shared" si="157"/>
        <v>0</v>
      </c>
      <c r="N468" s="94">
        <f t="shared" si="157"/>
        <v>0</v>
      </c>
      <c r="O468" s="94">
        <f t="shared" si="157"/>
        <v>0</v>
      </c>
      <c r="P468" s="117"/>
    </row>
    <row r="469" spans="2:18" ht="17.25" outlineLevel="1" x14ac:dyDescent="0.2">
      <c r="B469" s="118"/>
      <c r="C469" s="132"/>
      <c r="D469" s="118"/>
      <c r="E469" s="118"/>
      <c r="F469" s="118"/>
      <c r="G469" s="118"/>
      <c r="H469" s="95" t="s">
        <v>4</v>
      </c>
      <c r="I469" s="94"/>
      <c r="J469" s="52"/>
      <c r="K469" s="52"/>
      <c r="L469" s="52"/>
      <c r="M469" s="52"/>
      <c r="N469" s="52"/>
      <c r="O469" s="52"/>
      <c r="P469" s="118"/>
    </row>
    <row r="470" spans="2:18" ht="17.25" outlineLevel="1" x14ac:dyDescent="0.2">
      <c r="B470" s="118"/>
      <c r="C470" s="132"/>
      <c r="D470" s="118"/>
      <c r="E470" s="118"/>
      <c r="F470" s="118"/>
      <c r="G470" s="118"/>
      <c r="H470" s="95" t="s">
        <v>6</v>
      </c>
      <c r="I470" s="94">
        <f>SUM(J470:O470)</f>
        <v>14.3</v>
      </c>
      <c r="J470" s="52">
        <v>14.3</v>
      </c>
      <c r="K470" s="52"/>
      <c r="L470" s="52"/>
      <c r="M470" s="52"/>
      <c r="N470" s="52"/>
      <c r="O470" s="52"/>
      <c r="P470" s="118"/>
    </row>
    <row r="471" spans="2:18" ht="17.25" outlineLevel="1" x14ac:dyDescent="0.2">
      <c r="B471" s="119"/>
      <c r="C471" s="133"/>
      <c r="D471" s="119"/>
      <c r="E471" s="119"/>
      <c r="F471" s="119"/>
      <c r="G471" s="119"/>
      <c r="H471" s="95" t="s">
        <v>5</v>
      </c>
      <c r="I471" s="52"/>
      <c r="J471" s="52"/>
      <c r="K471" s="52"/>
      <c r="L471" s="52"/>
      <c r="M471" s="52"/>
      <c r="N471" s="52"/>
      <c r="O471" s="52"/>
      <c r="P471" s="119"/>
    </row>
    <row r="472" spans="2:18" ht="41.25" customHeight="1" outlineLevel="1" x14ac:dyDescent="0.2">
      <c r="B472" s="117" t="s">
        <v>778</v>
      </c>
      <c r="C472" s="117"/>
      <c r="D472" s="117" t="s">
        <v>777</v>
      </c>
      <c r="E472" s="117" t="s">
        <v>171</v>
      </c>
      <c r="F472" s="117"/>
      <c r="G472" s="117" t="s">
        <v>779</v>
      </c>
      <c r="H472" s="95" t="s">
        <v>3</v>
      </c>
      <c r="I472" s="94">
        <f>SUM(J472:O472)</f>
        <v>880</v>
      </c>
      <c r="J472" s="94">
        <v>0</v>
      </c>
      <c r="K472" s="94">
        <f t="shared" ref="K472:O472" si="158">K473+K474+K475</f>
        <v>880</v>
      </c>
      <c r="L472" s="94">
        <f t="shared" si="158"/>
        <v>0</v>
      </c>
      <c r="M472" s="94">
        <f t="shared" si="158"/>
        <v>0</v>
      </c>
      <c r="N472" s="94">
        <f t="shared" si="158"/>
        <v>0</v>
      </c>
      <c r="O472" s="94">
        <f t="shared" si="158"/>
        <v>0</v>
      </c>
      <c r="P472" s="117">
        <v>10158</v>
      </c>
    </row>
    <row r="473" spans="2:18" ht="17.25" outlineLevel="1" x14ac:dyDescent="0.2">
      <c r="B473" s="118"/>
      <c r="C473" s="132"/>
      <c r="D473" s="118"/>
      <c r="E473" s="118"/>
      <c r="F473" s="118"/>
      <c r="G473" s="118"/>
      <c r="H473" s="95" t="s">
        <v>4</v>
      </c>
      <c r="I473" s="52"/>
      <c r="J473" s="52"/>
      <c r="K473" s="52"/>
      <c r="L473" s="52"/>
      <c r="M473" s="52"/>
      <c r="N473" s="52"/>
      <c r="O473" s="52"/>
      <c r="P473" s="118"/>
    </row>
    <row r="474" spans="2:18" ht="17.25" outlineLevel="1" x14ac:dyDescent="0.2">
      <c r="B474" s="118"/>
      <c r="C474" s="132"/>
      <c r="D474" s="118"/>
      <c r="E474" s="118"/>
      <c r="F474" s="118"/>
      <c r="G474" s="118"/>
      <c r="H474" s="95" t="s">
        <v>6</v>
      </c>
      <c r="I474" s="94">
        <f>SUM(J474:O474)</f>
        <v>880</v>
      </c>
      <c r="J474" s="52"/>
      <c r="K474" s="52">
        <v>880</v>
      </c>
      <c r="L474" s="52"/>
      <c r="M474" s="52"/>
      <c r="N474" s="52"/>
      <c r="O474" s="52"/>
      <c r="P474" s="118"/>
    </row>
    <row r="475" spans="2:18" ht="17.25" outlineLevel="1" x14ac:dyDescent="0.2">
      <c r="B475" s="119"/>
      <c r="C475" s="133"/>
      <c r="D475" s="119"/>
      <c r="E475" s="119"/>
      <c r="F475" s="119"/>
      <c r="G475" s="119"/>
      <c r="H475" s="95" t="s">
        <v>5</v>
      </c>
      <c r="I475" s="52"/>
      <c r="J475" s="52"/>
      <c r="K475" s="52"/>
      <c r="L475" s="52"/>
      <c r="M475" s="52"/>
      <c r="N475" s="52"/>
      <c r="O475" s="52"/>
      <c r="P475" s="119"/>
    </row>
    <row r="476" spans="2:18" ht="42.75" x14ac:dyDescent="0.2">
      <c r="B476" s="128" t="s">
        <v>349</v>
      </c>
      <c r="C476" s="128" t="s">
        <v>38</v>
      </c>
      <c r="D476" s="128" t="s">
        <v>38</v>
      </c>
      <c r="E476" s="128" t="s">
        <v>38</v>
      </c>
      <c r="F476" s="128" t="s">
        <v>38</v>
      </c>
      <c r="G476" s="128" t="s">
        <v>38</v>
      </c>
      <c r="H476" s="95" t="s">
        <v>3</v>
      </c>
      <c r="I476" s="14">
        <f>SUMIF($H$468:$H$475,"Объем*",I$468:I$475)</f>
        <v>894.3</v>
      </c>
      <c r="J476" s="14">
        <f t="shared" ref="J476:O476" si="159">SUMIF($H$468:$H$475,"Объем*",J$468:J$475)</f>
        <v>14.3</v>
      </c>
      <c r="K476" s="14">
        <f t="shared" si="159"/>
        <v>880</v>
      </c>
      <c r="L476" s="14">
        <f t="shared" si="159"/>
        <v>0</v>
      </c>
      <c r="M476" s="14">
        <f t="shared" si="159"/>
        <v>0</v>
      </c>
      <c r="N476" s="14">
        <f t="shared" si="159"/>
        <v>0</v>
      </c>
      <c r="O476" s="14">
        <f t="shared" si="159"/>
        <v>0</v>
      </c>
      <c r="P476" s="128"/>
      <c r="Q476" s="7"/>
      <c r="R476" s="7"/>
    </row>
    <row r="477" spans="2:18" ht="15.75" x14ac:dyDescent="0.2">
      <c r="B477" s="129"/>
      <c r="C477" s="129"/>
      <c r="D477" s="129"/>
      <c r="E477" s="129"/>
      <c r="F477" s="129"/>
      <c r="G477" s="129"/>
      <c r="H477" s="95" t="s">
        <v>4</v>
      </c>
      <c r="I477" s="14">
        <f>SUMIF($H$468:$H$475,"фед*",I$468:I$475)</f>
        <v>0</v>
      </c>
      <c r="J477" s="14">
        <f t="shared" ref="J477:O477" si="160">SUMIF($H$468:$H$475,"фед*",J$468:J$475)</f>
        <v>0</v>
      </c>
      <c r="K477" s="14">
        <f t="shared" si="160"/>
        <v>0</v>
      </c>
      <c r="L477" s="14">
        <f t="shared" si="160"/>
        <v>0</v>
      </c>
      <c r="M477" s="14">
        <f t="shared" si="160"/>
        <v>0</v>
      </c>
      <c r="N477" s="14">
        <f t="shared" si="160"/>
        <v>0</v>
      </c>
      <c r="O477" s="14">
        <f t="shared" si="160"/>
        <v>0</v>
      </c>
      <c r="P477" s="129"/>
      <c r="Q477" s="7"/>
    </row>
    <row r="478" spans="2:18" ht="15.75" x14ac:dyDescent="0.2">
      <c r="B478" s="129"/>
      <c r="C478" s="129"/>
      <c r="D478" s="129"/>
      <c r="E478" s="129"/>
      <c r="F478" s="129"/>
      <c r="G478" s="129"/>
      <c r="H478" s="95" t="s">
        <v>6</v>
      </c>
      <c r="I478" s="14">
        <f>SUMIF($H$468:$H$475,"конс*",I$468:I$475)</f>
        <v>894.3</v>
      </c>
      <c r="J478" s="14">
        <f t="shared" ref="J478:O478" si="161">SUMIF($H$468:$H$475,"конс*",J$468:J$475)</f>
        <v>14.3</v>
      </c>
      <c r="K478" s="14">
        <f t="shared" si="161"/>
        <v>880</v>
      </c>
      <c r="L478" s="14">
        <f t="shared" si="161"/>
        <v>0</v>
      </c>
      <c r="M478" s="14">
        <f t="shared" si="161"/>
        <v>0</v>
      </c>
      <c r="N478" s="14">
        <f t="shared" si="161"/>
        <v>0</v>
      </c>
      <c r="O478" s="14">
        <f t="shared" si="161"/>
        <v>0</v>
      </c>
      <c r="P478" s="129"/>
      <c r="Q478" s="7"/>
    </row>
    <row r="479" spans="2:18" ht="15.75" x14ac:dyDescent="0.2">
      <c r="B479" s="130"/>
      <c r="C479" s="130"/>
      <c r="D479" s="130"/>
      <c r="E479" s="130"/>
      <c r="F479" s="130"/>
      <c r="G479" s="130"/>
      <c r="H479" s="95" t="s">
        <v>5</v>
      </c>
      <c r="I479" s="14">
        <f>SUMIF($H$468:$H$475,"вне*",I$468:I$475)</f>
        <v>0</v>
      </c>
      <c r="J479" s="14">
        <f t="shared" ref="J479:O479" si="162">SUMIF($H$468:$H$475,"вне*",J$468:J$475)</f>
        <v>0</v>
      </c>
      <c r="K479" s="14">
        <f t="shared" si="162"/>
        <v>0</v>
      </c>
      <c r="L479" s="14">
        <f t="shared" si="162"/>
        <v>0</v>
      </c>
      <c r="M479" s="14">
        <f t="shared" si="162"/>
        <v>0</v>
      </c>
      <c r="N479" s="14">
        <f t="shared" si="162"/>
        <v>0</v>
      </c>
      <c r="O479" s="14">
        <f t="shared" si="162"/>
        <v>0</v>
      </c>
      <c r="P479" s="130"/>
      <c r="Q479" s="7"/>
    </row>
    <row r="480" spans="2:18" ht="25.5" customHeight="1" x14ac:dyDescent="0.2">
      <c r="B480" s="111" t="s">
        <v>350</v>
      </c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3"/>
    </row>
    <row r="481" spans="2:16" ht="48.75" customHeight="1" outlineLevel="1" x14ac:dyDescent="0.2">
      <c r="B481" s="117" t="s">
        <v>780</v>
      </c>
      <c r="C481" s="117"/>
      <c r="D481" s="117" t="s">
        <v>781</v>
      </c>
      <c r="E481" s="117">
        <v>2020</v>
      </c>
      <c r="F481" s="117"/>
      <c r="G481" s="117" t="s">
        <v>138</v>
      </c>
      <c r="H481" s="95" t="s">
        <v>3</v>
      </c>
      <c r="I481" s="94">
        <f t="shared" ref="I481:I496" si="163">SUM(J481:O481)</f>
        <v>5.0999999999999996</v>
      </c>
      <c r="J481" s="94">
        <f t="shared" ref="J481:O481" si="164">J482+J483+J484</f>
        <v>5.0999999999999996</v>
      </c>
      <c r="K481" s="94">
        <f t="shared" si="164"/>
        <v>0</v>
      </c>
      <c r="L481" s="94">
        <f t="shared" si="164"/>
        <v>0</v>
      </c>
      <c r="M481" s="94">
        <f t="shared" si="164"/>
        <v>0</v>
      </c>
      <c r="N481" s="94">
        <f t="shared" si="164"/>
        <v>0</v>
      </c>
      <c r="O481" s="94">
        <f t="shared" si="164"/>
        <v>0</v>
      </c>
      <c r="P481" s="117"/>
    </row>
    <row r="482" spans="2:16" ht="22.5" customHeight="1" outlineLevel="1" x14ac:dyDescent="0.2">
      <c r="B482" s="118"/>
      <c r="C482" s="132"/>
      <c r="D482" s="118"/>
      <c r="E482" s="118"/>
      <c r="F482" s="118"/>
      <c r="G482" s="118"/>
      <c r="H482" s="95" t="s">
        <v>4</v>
      </c>
      <c r="I482" s="94">
        <f t="shared" si="163"/>
        <v>0</v>
      </c>
      <c r="J482" s="94"/>
      <c r="K482" s="94"/>
      <c r="L482" s="94"/>
      <c r="M482" s="94"/>
      <c r="N482" s="94"/>
      <c r="O482" s="94"/>
      <c r="P482" s="118"/>
    </row>
    <row r="483" spans="2:16" ht="21" customHeight="1" outlineLevel="1" x14ac:dyDescent="0.2">
      <c r="B483" s="118"/>
      <c r="C483" s="132"/>
      <c r="D483" s="118"/>
      <c r="E483" s="118"/>
      <c r="F483" s="118"/>
      <c r="G483" s="118"/>
      <c r="H483" s="95" t="s">
        <v>6</v>
      </c>
      <c r="I483" s="94">
        <f t="shared" si="163"/>
        <v>5.0999999999999996</v>
      </c>
      <c r="J483" s="94">
        <v>5.0999999999999996</v>
      </c>
      <c r="K483" s="94"/>
      <c r="L483" s="94"/>
      <c r="M483" s="94"/>
      <c r="N483" s="94"/>
      <c r="O483" s="94"/>
      <c r="P483" s="118"/>
    </row>
    <row r="484" spans="2:16" outlineLevel="1" x14ac:dyDescent="0.2">
      <c r="B484" s="119"/>
      <c r="C484" s="133"/>
      <c r="D484" s="119"/>
      <c r="E484" s="119"/>
      <c r="F484" s="119"/>
      <c r="G484" s="119"/>
      <c r="H484" s="95" t="s">
        <v>5</v>
      </c>
      <c r="I484" s="94">
        <f t="shared" si="163"/>
        <v>0</v>
      </c>
      <c r="J484" s="94"/>
      <c r="K484" s="94"/>
      <c r="L484" s="94"/>
      <c r="M484" s="94"/>
      <c r="N484" s="94"/>
      <c r="O484" s="94"/>
      <c r="P484" s="119"/>
    </row>
    <row r="485" spans="2:16" ht="42.75" customHeight="1" outlineLevel="1" x14ac:dyDescent="0.2">
      <c r="B485" s="117" t="s">
        <v>782</v>
      </c>
      <c r="C485" s="117"/>
      <c r="D485" s="117" t="s">
        <v>781</v>
      </c>
      <c r="E485" s="117">
        <v>2020</v>
      </c>
      <c r="F485" s="117"/>
      <c r="G485" s="117" t="s">
        <v>138</v>
      </c>
      <c r="H485" s="95" t="s">
        <v>3</v>
      </c>
      <c r="I485" s="94">
        <f t="shared" si="163"/>
        <v>2.6</v>
      </c>
      <c r="J485" s="94">
        <f t="shared" ref="J485:O485" si="165">J486+J487+J488</f>
        <v>2.6</v>
      </c>
      <c r="K485" s="94">
        <f t="shared" si="165"/>
        <v>0</v>
      </c>
      <c r="L485" s="94">
        <f t="shared" si="165"/>
        <v>0</v>
      </c>
      <c r="M485" s="94">
        <f t="shared" si="165"/>
        <v>0</v>
      </c>
      <c r="N485" s="94">
        <f t="shared" si="165"/>
        <v>0</v>
      </c>
      <c r="O485" s="94">
        <f t="shared" si="165"/>
        <v>0</v>
      </c>
      <c r="P485" s="117"/>
    </row>
    <row r="486" spans="2:16" ht="25.5" customHeight="1" outlineLevel="1" x14ac:dyDescent="0.2">
      <c r="B486" s="118"/>
      <c r="C486" s="132"/>
      <c r="D486" s="118"/>
      <c r="E486" s="118"/>
      <c r="F486" s="118"/>
      <c r="G486" s="118"/>
      <c r="H486" s="95" t="s">
        <v>4</v>
      </c>
      <c r="I486" s="94">
        <f t="shared" si="163"/>
        <v>0</v>
      </c>
      <c r="J486" s="94"/>
      <c r="K486" s="94"/>
      <c r="L486" s="94"/>
      <c r="M486" s="94"/>
      <c r="N486" s="94"/>
      <c r="O486" s="94"/>
      <c r="P486" s="118"/>
    </row>
    <row r="487" spans="2:16" ht="24" customHeight="1" outlineLevel="1" x14ac:dyDescent="0.2">
      <c r="B487" s="118"/>
      <c r="C487" s="132"/>
      <c r="D487" s="118"/>
      <c r="E487" s="118"/>
      <c r="F487" s="118"/>
      <c r="G487" s="118"/>
      <c r="H487" s="95" t="s">
        <v>6</v>
      </c>
      <c r="I487" s="94">
        <f t="shared" si="163"/>
        <v>2.6</v>
      </c>
      <c r="J487" s="94">
        <v>2.6</v>
      </c>
      <c r="K487" s="94"/>
      <c r="L487" s="94"/>
      <c r="M487" s="94"/>
      <c r="N487" s="94"/>
      <c r="O487" s="94"/>
      <c r="P487" s="118"/>
    </row>
    <row r="488" spans="2:16" outlineLevel="1" x14ac:dyDescent="0.2">
      <c r="B488" s="119"/>
      <c r="C488" s="133"/>
      <c r="D488" s="119"/>
      <c r="E488" s="119"/>
      <c r="F488" s="119"/>
      <c r="G488" s="119"/>
      <c r="H488" s="95" t="s">
        <v>5</v>
      </c>
      <c r="I488" s="94">
        <f t="shared" si="163"/>
        <v>0</v>
      </c>
      <c r="J488" s="94"/>
      <c r="K488" s="94"/>
      <c r="L488" s="94"/>
      <c r="M488" s="94"/>
      <c r="N488" s="94"/>
      <c r="O488" s="94"/>
      <c r="P488" s="119"/>
    </row>
    <row r="489" spans="2:16" ht="42.75" outlineLevel="1" x14ac:dyDescent="0.2">
      <c r="B489" s="117" t="s">
        <v>783</v>
      </c>
      <c r="C489" s="117" t="s">
        <v>784</v>
      </c>
      <c r="D489" s="117" t="s">
        <v>785</v>
      </c>
      <c r="E489" s="117">
        <v>2022</v>
      </c>
      <c r="F489" s="117"/>
      <c r="G489" s="117" t="s">
        <v>566</v>
      </c>
      <c r="H489" s="95" t="s">
        <v>3</v>
      </c>
      <c r="I489" s="94">
        <f t="shared" si="163"/>
        <v>10.5</v>
      </c>
      <c r="J489" s="94">
        <f t="shared" ref="J489:O489" si="166">J490+J491+J492</f>
        <v>0</v>
      </c>
      <c r="K489" s="94">
        <f t="shared" si="166"/>
        <v>0</v>
      </c>
      <c r="L489" s="94">
        <f t="shared" si="166"/>
        <v>10.5</v>
      </c>
      <c r="M489" s="94">
        <f t="shared" si="166"/>
        <v>0</v>
      </c>
      <c r="N489" s="94">
        <f t="shared" si="166"/>
        <v>0</v>
      </c>
      <c r="O489" s="94">
        <f t="shared" si="166"/>
        <v>0</v>
      </c>
      <c r="P489" s="117"/>
    </row>
    <row r="490" spans="2:16" outlineLevel="1" x14ac:dyDescent="0.2">
      <c r="B490" s="118"/>
      <c r="C490" s="132"/>
      <c r="D490" s="118"/>
      <c r="E490" s="118"/>
      <c r="F490" s="118"/>
      <c r="G490" s="118"/>
      <c r="H490" s="95" t="s">
        <v>4</v>
      </c>
      <c r="I490" s="94">
        <f t="shared" si="163"/>
        <v>0</v>
      </c>
      <c r="J490" s="94"/>
      <c r="K490" s="94"/>
      <c r="L490" s="94"/>
      <c r="M490" s="94"/>
      <c r="N490" s="94"/>
      <c r="O490" s="94"/>
      <c r="P490" s="118"/>
    </row>
    <row r="491" spans="2:16" outlineLevel="1" x14ac:dyDescent="0.2">
      <c r="B491" s="118"/>
      <c r="C491" s="132"/>
      <c r="D491" s="118"/>
      <c r="E491" s="118"/>
      <c r="F491" s="118"/>
      <c r="G491" s="118"/>
      <c r="H491" s="95" t="s">
        <v>6</v>
      </c>
      <c r="I491" s="94">
        <f t="shared" si="163"/>
        <v>10.5</v>
      </c>
      <c r="J491" s="94"/>
      <c r="K491" s="94"/>
      <c r="L491" s="94">
        <v>10.5</v>
      </c>
      <c r="M491" s="94"/>
      <c r="N491" s="94"/>
      <c r="O491" s="94"/>
      <c r="P491" s="118"/>
    </row>
    <row r="492" spans="2:16" outlineLevel="1" x14ac:dyDescent="0.2">
      <c r="B492" s="119"/>
      <c r="C492" s="133"/>
      <c r="D492" s="119"/>
      <c r="E492" s="119"/>
      <c r="F492" s="119"/>
      <c r="G492" s="119"/>
      <c r="H492" s="95" t="s">
        <v>5</v>
      </c>
      <c r="I492" s="94">
        <f t="shared" si="163"/>
        <v>0</v>
      </c>
      <c r="J492" s="94"/>
      <c r="K492" s="94"/>
      <c r="L492" s="94"/>
      <c r="M492" s="94"/>
      <c r="N492" s="94"/>
      <c r="O492" s="94"/>
      <c r="P492" s="119"/>
    </row>
    <row r="493" spans="2:16" ht="42.75" outlineLevel="1" x14ac:dyDescent="0.2">
      <c r="B493" s="117" t="s">
        <v>786</v>
      </c>
      <c r="C493" s="117"/>
      <c r="D493" s="117" t="s">
        <v>787</v>
      </c>
      <c r="E493" s="117">
        <v>2021</v>
      </c>
      <c r="F493" s="117" t="s">
        <v>788</v>
      </c>
      <c r="G493" s="117" t="s">
        <v>138</v>
      </c>
      <c r="H493" s="95" t="s">
        <v>3</v>
      </c>
      <c r="I493" s="94">
        <f t="shared" si="163"/>
        <v>13</v>
      </c>
      <c r="J493" s="94">
        <f t="shared" ref="J493:O493" si="167">J494+J495+J496</f>
        <v>0</v>
      </c>
      <c r="K493" s="94">
        <f t="shared" si="167"/>
        <v>13</v>
      </c>
      <c r="L493" s="94">
        <f t="shared" si="167"/>
        <v>0</v>
      </c>
      <c r="M493" s="94">
        <f t="shared" si="167"/>
        <v>0</v>
      </c>
      <c r="N493" s="94">
        <f t="shared" si="167"/>
        <v>0</v>
      </c>
      <c r="O493" s="94">
        <f t="shared" si="167"/>
        <v>0</v>
      </c>
      <c r="P493" s="117">
        <v>328</v>
      </c>
    </row>
    <row r="494" spans="2:16" outlineLevel="1" x14ac:dyDescent="0.2">
      <c r="B494" s="118"/>
      <c r="C494" s="132"/>
      <c r="D494" s="118"/>
      <c r="E494" s="118"/>
      <c r="F494" s="118"/>
      <c r="G494" s="118"/>
      <c r="H494" s="95" t="s">
        <v>4</v>
      </c>
      <c r="I494" s="94">
        <f t="shared" si="163"/>
        <v>12.9</v>
      </c>
      <c r="J494" s="94"/>
      <c r="K494" s="94">
        <v>12.9</v>
      </c>
      <c r="L494" s="94"/>
      <c r="M494" s="94"/>
      <c r="N494" s="94"/>
      <c r="O494" s="94"/>
      <c r="P494" s="118"/>
    </row>
    <row r="495" spans="2:16" outlineLevel="1" x14ac:dyDescent="0.2">
      <c r="B495" s="118"/>
      <c r="C495" s="132"/>
      <c r="D495" s="118"/>
      <c r="E495" s="118"/>
      <c r="F495" s="118"/>
      <c r="G495" s="118"/>
      <c r="H495" s="95" t="s">
        <v>6</v>
      </c>
      <c r="I495" s="94">
        <f t="shared" si="163"/>
        <v>0.1</v>
      </c>
      <c r="J495" s="94"/>
      <c r="K495" s="94">
        <v>0.1</v>
      </c>
      <c r="L495" s="94"/>
      <c r="M495" s="94"/>
      <c r="N495" s="94"/>
      <c r="O495" s="94"/>
      <c r="P495" s="118"/>
    </row>
    <row r="496" spans="2:16" outlineLevel="1" x14ac:dyDescent="0.2">
      <c r="B496" s="119"/>
      <c r="C496" s="133"/>
      <c r="D496" s="119"/>
      <c r="E496" s="119"/>
      <c r="F496" s="119"/>
      <c r="G496" s="119"/>
      <c r="H496" s="95" t="s">
        <v>5</v>
      </c>
      <c r="I496" s="94">
        <f t="shared" si="163"/>
        <v>0</v>
      </c>
      <c r="J496" s="94"/>
      <c r="K496" s="94"/>
      <c r="L496" s="94"/>
      <c r="M496" s="94"/>
      <c r="N496" s="94"/>
      <c r="O496" s="94"/>
      <c r="P496" s="119"/>
    </row>
    <row r="497" spans="2:18" ht="42.75" x14ac:dyDescent="0.2">
      <c r="B497" s="128" t="s">
        <v>357</v>
      </c>
      <c r="C497" s="128" t="s">
        <v>38</v>
      </c>
      <c r="D497" s="128" t="s">
        <v>38</v>
      </c>
      <c r="E497" s="128" t="s">
        <v>38</v>
      </c>
      <c r="F497" s="128" t="s">
        <v>38</v>
      </c>
      <c r="G497" s="128" t="s">
        <v>38</v>
      </c>
      <c r="H497" s="95" t="s">
        <v>3</v>
      </c>
      <c r="I497" s="14">
        <f>SUMIF($H$481:$H$496,"Объем*",I$481:I$496)</f>
        <v>31.2</v>
      </c>
      <c r="J497" s="14">
        <f t="shared" ref="J497:O497" si="168">SUMIF($H$481:$H$496,"Объем*",J$481:J$496)</f>
        <v>7.6999999999999993</v>
      </c>
      <c r="K497" s="14">
        <f t="shared" si="168"/>
        <v>13</v>
      </c>
      <c r="L497" s="14">
        <f t="shared" si="168"/>
        <v>10.5</v>
      </c>
      <c r="M497" s="14">
        <f t="shared" si="168"/>
        <v>0</v>
      </c>
      <c r="N497" s="14">
        <f t="shared" si="168"/>
        <v>0</v>
      </c>
      <c r="O497" s="14">
        <f t="shared" si="168"/>
        <v>0</v>
      </c>
      <c r="P497" s="128"/>
      <c r="Q497" s="7"/>
      <c r="R497" s="7"/>
    </row>
    <row r="498" spans="2:18" ht="15.75" x14ac:dyDescent="0.2">
      <c r="B498" s="129"/>
      <c r="C498" s="129"/>
      <c r="D498" s="129"/>
      <c r="E498" s="129"/>
      <c r="F498" s="129"/>
      <c r="G498" s="129"/>
      <c r="H498" s="95" t="s">
        <v>4</v>
      </c>
      <c r="I498" s="14">
        <f>SUMIF($H$481:$H$496,"фед*",I$481:I$496)</f>
        <v>12.9</v>
      </c>
      <c r="J498" s="14">
        <f t="shared" ref="J498:O498" si="169">SUMIF($H$481:$H$496,"фед*",J$481:J$496)</f>
        <v>0</v>
      </c>
      <c r="K498" s="14">
        <f t="shared" si="169"/>
        <v>12.9</v>
      </c>
      <c r="L498" s="14">
        <f t="shared" si="169"/>
        <v>0</v>
      </c>
      <c r="M498" s="14">
        <f t="shared" si="169"/>
        <v>0</v>
      </c>
      <c r="N498" s="14">
        <f t="shared" si="169"/>
        <v>0</v>
      </c>
      <c r="O498" s="14">
        <f t="shared" si="169"/>
        <v>0</v>
      </c>
      <c r="P498" s="129"/>
      <c r="Q498" s="7"/>
    </row>
    <row r="499" spans="2:18" ht="15.75" x14ac:dyDescent="0.2">
      <c r="B499" s="129"/>
      <c r="C499" s="129"/>
      <c r="D499" s="129"/>
      <c r="E499" s="129"/>
      <c r="F499" s="129"/>
      <c r="G499" s="129"/>
      <c r="H499" s="95" t="s">
        <v>6</v>
      </c>
      <c r="I499" s="14">
        <f>SUMIF($H$481:$H$496,"конс*",I$481:I$496)</f>
        <v>18.3</v>
      </c>
      <c r="J499" s="14">
        <f t="shared" ref="J499:O499" si="170">SUMIF($H$481:$H$496,"конс*",J$481:J$496)</f>
        <v>7.6999999999999993</v>
      </c>
      <c r="K499" s="14">
        <f t="shared" si="170"/>
        <v>0.1</v>
      </c>
      <c r="L499" s="14">
        <f t="shared" si="170"/>
        <v>10.5</v>
      </c>
      <c r="M499" s="14">
        <f t="shared" si="170"/>
        <v>0</v>
      </c>
      <c r="N499" s="14">
        <f t="shared" si="170"/>
        <v>0</v>
      </c>
      <c r="O499" s="14">
        <f t="shared" si="170"/>
        <v>0</v>
      </c>
      <c r="P499" s="129"/>
      <c r="Q499" s="7"/>
    </row>
    <row r="500" spans="2:18" ht="15.75" x14ac:dyDescent="0.2">
      <c r="B500" s="130"/>
      <c r="C500" s="130"/>
      <c r="D500" s="130"/>
      <c r="E500" s="130"/>
      <c r="F500" s="130"/>
      <c r="G500" s="130"/>
      <c r="H500" s="95" t="s">
        <v>5</v>
      </c>
      <c r="I500" s="14">
        <f>SUMIF($H$481:$H$496,"вне*",I$481:I$496)</f>
        <v>0</v>
      </c>
      <c r="J500" s="14">
        <f t="shared" ref="J500:O500" si="171">SUMIF($H$481:$H$496,"вне*",J$481:J$496)</f>
        <v>0</v>
      </c>
      <c r="K500" s="14">
        <f t="shared" si="171"/>
        <v>0</v>
      </c>
      <c r="L500" s="14">
        <f t="shared" si="171"/>
        <v>0</v>
      </c>
      <c r="M500" s="14">
        <f t="shared" si="171"/>
        <v>0</v>
      </c>
      <c r="N500" s="14">
        <f t="shared" si="171"/>
        <v>0</v>
      </c>
      <c r="O500" s="14">
        <f t="shared" si="171"/>
        <v>0</v>
      </c>
      <c r="P500" s="130"/>
      <c r="Q500" s="7"/>
    </row>
    <row r="501" spans="2:18" ht="25.5" customHeight="1" x14ac:dyDescent="0.2">
      <c r="B501" s="111" t="s">
        <v>47</v>
      </c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3"/>
    </row>
    <row r="502" spans="2:18" ht="42.75" customHeight="1" outlineLevel="1" x14ac:dyDescent="0.2">
      <c r="B502" s="117" t="s">
        <v>789</v>
      </c>
      <c r="C502" s="117" t="s">
        <v>628</v>
      </c>
      <c r="D502" s="117" t="s">
        <v>790</v>
      </c>
      <c r="E502" s="117" t="s">
        <v>791</v>
      </c>
      <c r="F502" s="117"/>
      <c r="G502" s="117" t="s">
        <v>83</v>
      </c>
      <c r="H502" s="95" t="s">
        <v>3</v>
      </c>
      <c r="I502" s="94">
        <f t="shared" ref="I502:I557" si="172">SUM(J502:O502)</f>
        <v>25.831000000000003</v>
      </c>
      <c r="J502" s="17">
        <f t="shared" ref="J502:O502" si="173">J503+J504+J505</f>
        <v>4.9249999999999998</v>
      </c>
      <c r="K502" s="17">
        <f t="shared" si="173"/>
        <v>20.906000000000002</v>
      </c>
      <c r="L502" s="94">
        <f t="shared" si="173"/>
        <v>0</v>
      </c>
      <c r="M502" s="94">
        <f t="shared" si="173"/>
        <v>0</v>
      </c>
      <c r="N502" s="94">
        <f t="shared" si="173"/>
        <v>0</v>
      </c>
      <c r="O502" s="94">
        <f t="shared" si="173"/>
        <v>0</v>
      </c>
      <c r="P502" s="117">
        <v>5191</v>
      </c>
    </row>
    <row r="503" spans="2:18" outlineLevel="1" x14ac:dyDescent="0.2">
      <c r="B503" s="118"/>
      <c r="C503" s="132"/>
      <c r="D503" s="118"/>
      <c r="E503" s="118"/>
      <c r="F503" s="118"/>
      <c r="G503" s="118"/>
      <c r="H503" s="95" t="s">
        <v>4</v>
      </c>
      <c r="I503" s="94">
        <f t="shared" si="172"/>
        <v>25.571000000000002</v>
      </c>
      <c r="J503" s="17">
        <v>4.875</v>
      </c>
      <c r="K503" s="17">
        <v>20.696000000000002</v>
      </c>
      <c r="L503" s="94"/>
      <c r="M503" s="94"/>
      <c r="N503" s="94"/>
      <c r="O503" s="94"/>
      <c r="P503" s="118"/>
    </row>
    <row r="504" spans="2:18" outlineLevel="1" x14ac:dyDescent="0.2">
      <c r="B504" s="118"/>
      <c r="C504" s="132"/>
      <c r="D504" s="118"/>
      <c r="E504" s="118"/>
      <c r="F504" s="118"/>
      <c r="G504" s="118"/>
      <c r="H504" s="95" t="s">
        <v>6</v>
      </c>
      <c r="I504" s="94">
        <f t="shared" si="172"/>
        <v>0.26</v>
      </c>
      <c r="J504" s="17">
        <v>0.05</v>
      </c>
      <c r="K504" s="17">
        <v>0.21</v>
      </c>
      <c r="L504" s="94"/>
      <c r="M504" s="94"/>
      <c r="N504" s="94"/>
      <c r="O504" s="94"/>
      <c r="P504" s="118"/>
    </row>
    <row r="505" spans="2:18" outlineLevel="1" x14ac:dyDescent="0.2">
      <c r="B505" s="119"/>
      <c r="C505" s="133"/>
      <c r="D505" s="119"/>
      <c r="E505" s="119"/>
      <c r="F505" s="119"/>
      <c r="G505" s="119"/>
      <c r="H505" s="95" t="s">
        <v>5</v>
      </c>
      <c r="I505" s="94">
        <f t="shared" si="172"/>
        <v>0</v>
      </c>
      <c r="J505" s="94"/>
      <c r="K505" s="94"/>
      <c r="L505" s="94"/>
      <c r="M505" s="94"/>
      <c r="N505" s="94"/>
      <c r="O505" s="94"/>
      <c r="P505" s="119"/>
    </row>
    <row r="506" spans="2:18" ht="42.75" outlineLevel="1" x14ac:dyDescent="0.2">
      <c r="B506" s="117" t="s">
        <v>792</v>
      </c>
      <c r="C506" s="117"/>
      <c r="D506" s="117" t="s">
        <v>47</v>
      </c>
      <c r="E506" s="117">
        <v>2021</v>
      </c>
      <c r="F506" s="117"/>
      <c r="G506" s="117" t="s">
        <v>107</v>
      </c>
      <c r="H506" s="95" t="s">
        <v>3</v>
      </c>
      <c r="I506" s="94">
        <f t="shared" si="172"/>
        <v>2.5</v>
      </c>
      <c r="J506" s="94">
        <f t="shared" ref="J506:O506" si="174">J507+J508+J509</f>
        <v>0</v>
      </c>
      <c r="K506" s="94">
        <f t="shared" si="174"/>
        <v>2.5</v>
      </c>
      <c r="L506" s="94">
        <f t="shared" si="174"/>
        <v>0</v>
      </c>
      <c r="M506" s="94">
        <f t="shared" si="174"/>
        <v>0</v>
      </c>
      <c r="N506" s="94">
        <f t="shared" si="174"/>
        <v>0</v>
      </c>
      <c r="O506" s="94">
        <f t="shared" si="174"/>
        <v>0</v>
      </c>
      <c r="P506" s="117">
        <v>824</v>
      </c>
    </row>
    <row r="507" spans="2:18" outlineLevel="1" x14ac:dyDescent="0.2">
      <c r="B507" s="118"/>
      <c r="C507" s="132"/>
      <c r="D507" s="118"/>
      <c r="E507" s="118"/>
      <c r="F507" s="118"/>
      <c r="G507" s="118"/>
      <c r="H507" s="95" t="s">
        <v>4</v>
      </c>
      <c r="I507" s="94">
        <f t="shared" si="172"/>
        <v>2.4700000000000002</v>
      </c>
      <c r="J507" s="94"/>
      <c r="K507" s="94">
        <v>2.4700000000000002</v>
      </c>
      <c r="L507" s="94"/>
      <c r="M507" s="94"/>
      <c r="N507" s="94"/>
      <c r="O507" s="94"/>
      <c r="P507" s="118"/>
    </row>
    <row r="508" spans="2:18" outlineLevel="1" x14ac:dyDescent="0.2">
      <c r="B508" s="118"/>
      <c r="C508" s="132"/>
      <c r="D508" s="118"/>
      <c r="E508" s="118"/>
      <c r="F508" s="118"/>
      <c r="G508" s="118"/>
      <c r="H508" s="95" t="s">
        <v>6</v>
      </c>
      <c r="I508" s="94">
        <f t="shared" si="172"/>
        <v>0.03</v>
      </c>
      <c r="J508" s="94"/>
      <c r="K508" s="94">
        <v>0.03</v>
      </c>
      <c r="L508" s="94"/>
      <c r="M508" s="94"/>
      <c r="N508" s="94"/>
      <c r="O508" s="94"/>
      <c r="P508" s="118"/>
    </row>
    <row r="509" spans="2:18" outlineLevel="1" x14ac:dyDescent="0.2">
      <c r="B509" s="119"/>
      <c r="C509" s="133"/>
      <c r="D509" s="119"/>
      <c r="E509" s="119"/>
      <c r="F509" s="119"/>
      <c r="G509" s="119"/>
      <c r="H509" s="95" t="s">
        <v>5</v>
      </c>
      <c r="I509" s="94">
        <f t="shared" si="172"/>
        <v>0</v>
      </c>
      <c r="J509" s="94"/>
      <c r="K509" s="94"/>
      <c r="L509" s="94"/>
      <c r="M509" s="94"/>
      <c r="N509" s="94"/>
      <c r="O509" s="94"/>
      <c r="P509" s="119"/>
    </row>
    <row r="510" spans="2:18" ht="42.75" outlineLevel="1" x14ac:dyDescent="0.2">
      <c r="B510" s="117" t="s">
        <v>793</v>
      </c>
      <c r="C510" s="117"/>
      <c r="D510" s="117" t="s">
        <v>47</v>
      </c>
      <c r="E510" s="117">
        <v>2020</v>
      </c>
      <c r="F510" s="117"/>
      <c r="G510" s="117" t="s">
        <v>107</v>
      </c>
      <c r="H510" s="95" t="s">
        <v>3</v>
      </c>
      <c r="I510" s="94">
        <f t="shared" si="172"/>
        <v>5</v>
      </c>
      <c r="J510" s="94">
        <f t="shared" ref="J510:O510" si="175">J511+J512+J513</f>
        <v>5</v>
      </c>
      <c r="K510" s="94">
        <f t="shared" si="175"/>
        <v>0</v>
      </c>
      <c r="L510" s="94">
        <f t="shared" si="175"/>
        <v>0</v>
      </c>
      <c r="M510" s="94">
        <f t="shared" si="175"/>
        <v>0</v>
      </c>
      <c r="N510" s="94">
        <f t="shared" si="175"/>
        <v>0</v>
      </c>
      <c r="O510" s="94">
        <f t="shared" si="175"/>
        <v>0</v>
      </c>
      <c r="P510" s="117">
        <v>1139</v>
      </c>
    </row>
    <row r="511" spans="2:18" outlineLevel="1" x14ac:dyDescent="0.2">
      <c r="B511" s="118"/>
      <c r="C511" s="132"/>
      <c r="D511" s="118"/>
      <c r="E511" s="118"/>
      <c r="F511" s="118"/>
      <c r="G511" s="118"/>
      <c r="H511" s="95" t="s">
        <v>4</v>
      </c>
      <c r="I511" s="94">
        <f t="shared" si="172"/>
        <v>4.95</v>
      </c>
      <c r="J511" s="94">
        <v>4.95</v>
      </c>
      <c r="K511" s="94"/>
      <c r="L511" s="94"/>
      <c r="M511" s="94"/>
      <c r="N511" s="94"/>
      <c r="O511" s="94"/>
      <c r="P511" s="118"/>
    </row>
    <row r="512" spans="2:18" outlineLevel="1" x14ac:dyDescent="0.2">
      <c r="B512" s="118"/>
      <c r="C512" s="132"/>
      <c r="D512" s="118"/>
      <c r="E512" s="118"/>
      <c r="F512" s="118"/>
      <c r="G512" s="118"/>
      <c r="H512" s="95" t="s">
        <v>6</v>
      </c>
      <c r="I512" s="94">
        <f t="shared" si="172"/>
        <v>0.05</v>
      </c>
      <c r="J512" s="94">
        <v>0.05</v>
      </c>
      <c r="K512" s="94"/>
      <c r="L512" s="94"/>
      <c r="M512" s="94"/>
      <c r="N512" s="94"/>
      <c r="O512" s="94"/>
      <c r="P512" s="118"/>
    </row>
    <row r="513" spans="2:16" outlineLevel="1" x14ac:dyDescent="0.2">
      <c r="B513" s="119"/>
      <c r="C513" s="133"/>
      <c r="D513" s="119"/>
      <c r="E513" s="119"/>
      <c r="F513" s="119"/>
      <c r="G513" s="119"/>
      <c r="H513" s="95" t="s">
        <v>5</v>
      </c>
      <c r="I513" s="94">
        <f t="shared" si="172"/>
        <v>0</v>
      </c>
      <c r="J513" s="94"/>
      <c r="K513" s="94"/>
      <c r="L513" s="94"/>
      <c r="M513" s="94"/>
      <c r="N513" s="94"/>
      <c r="O513" s="94"/>
      <c r="P513" s="119"/>
    </row>
    <row r="514" spans="2:16" ht="42.75" outlineLevel="1" x14ac:dyDescent="0.2">
      <c r="B514" s="117" t="s">
        <v>794</v>
      </c>
      <c r="C514" s="117"/>
      <c r="D514" s="117" t="s">
        <v>47</v>
      </c>
      <c r="E514" s="117">
        <v>2020</v>
      </c>
      <c r="F514" s="117"/>
      <c r="G514" s="117" t="s">
        <v>107</v>
      </c>
      <c r="H514" s="95" t="s">
        <v>3</v>
      </c>
      <c r="I514" s="94">
        <f t="shared" si="172"/>
        <v>12</v>
      </c>
      <c r="J514" s="94">
        <f t="shared" ref="J514:O514" si="176">J515+J516+J517</f>
        <v>12</v>
      </c>
      <c r="K514" s="94">
        <f t="shared" si="176"/>
        <v>0</v>
      </c>
      <c r="L514" s="94">
        <f t="shared" si="176"/>
        <v>0</v>
      </c>
      <c r="M514" s="94">
        <f t="shared" si="176"/>
        <v>0</v>
      </c>
      <c r="N514" s="94">
        <f t="shared" si="176"/>
        <v>0</v>
      </c>
      <c r="O514" s="94">
        <f t="shared" si="176"/>
        <v>0</v>
      </c>
      <c r="P514" s="117">
        <v>5191</v>
      </c>
    </row>
    <row r="515" spans="2:16" outlineLevel="1" x14ac:dyDescent="0.2">
      <c r="B515" s="118"/>
      <c r="C515" s="132"/>
      <c r="D515" s="118"/>
      <c r="E515" s="118"/>
      <c r="F515" s="118"/>
      <c r="G515" s="118"/>
      <c r="H515" s="95" t="s">
        <v>4</v>
      </c>
      <c r="I515" s="94">
        <f t="shared" si="172"/>
        <v>11.9</v>
      </c>
      <c r="J515" s="94">
        <v>11.9</v>
      </c>
      <c r="K515" s="94"/>
      <c r="L515" s="94"/>
      <c r="M515" s="94"/>
      <c r="N515" s="94"/>
      <c r="O515" s="94"/>
      <c r="P515" s="118"/>
    </row>
    <row r="516" spans="2:16" outlineLevel="1" x14ac:dyDescent="0.2">
      <c r="B516" s="118"/>
      <c r="C516" s="132"/>
      <c r="D516" s="118"/>
      <c r="E516" s="118"/>
      <c r="F516" s="118"/>
      <c r="G516" s="118"/>
      <c r="H516" s="95" t="s">
        <v>6</v>
      </c>
      <c r="I516" s="94">
        <f t="shared" si="172"/>
        <v>0.1</v>
      </c>
      <c r="J516" s="94">
        <v>0.1</v>
      </c>
      <c r="K516" s="94"/>
      <c r="L516" s="94"/>
      <c r="M516" s="94"/>
      <c r="N516" s="94"/>
      <c r="O516" s="94"/>
      <c r="P516" s="118"/>
    </row>
    <row r="517" spans="2:16" outlineLevel="1" x14ac:dyDescent="0.2">
      <c r="B517" s="119"/>
      <c r="C517" s="133"/>
      <c r="D517" s="119"/>
      <c r="E517" s="119"/>
      <c r="F517" s="119"/>
      <c r="G517" s="119"/>
      <c r="H517" s="95" t="s">
        <v>5</v>
      </c>
      <c r="I517" s="94">
        <f t="shared" si="172"/>
        <v>0</v>
      </c>
      <c r="J517" s="94"/>
      <c r="K517" s="94"/>
      <c r="L517" s="94"/>
      <c r="M517" s="94"/>
      <c r="N517" s="94"/>
      <c r="O517" s="94"/>
      <c r="P517" s="119"/>
    </row>
    <row r="518" spans="2:16" ht="42.75" customHeight="1" outlineLevel="1" x14ac:dyDescent="0.2">
      <c r="B518" s="117" t="s">
        <v>795</v>
      </c>
      <c r="C518" s="117"/>
      <c r="D518" s="117" t="s">
        <v>47</v>
      </c>
      <c r="E518" s="117">
        <v>2020</v>
      </c>
      <c r="F518" s="117"/>
      <c r="G518" s="117" t="s">
        <v>107</v>
      </c>
      <c r="H518" s="95" t="s">
        <v>3</v>
      </c>
      <c r="I518" s="94">
        <f t="shared" si="172"/>
        <v>65</v>
      </c>
      <c r="J518" s="94">
        <f t="shared" ref="J518:O518" si="177">J519+J520+J521</f>
        <v>65</v>
      </c>
      <c r="K518" s="94">
        <f t="shared" si="177"/>
        <v>0</v>
      </c>
      <c r="L518" s="94">
        <f t="shared" si="177"/>
        <v>0</v>
      </c>
      <c r="M518" s="94">
        <f t="shared" si="177"/>
        <v>0</v>
      </c>
      <c r="N518" s="94">
        <f t="shared" si="177"/>
        <v>0</v>
      </c>
      <c r="O518" s="94">
        <f t="shared" si="177"/>
        <v>0</v>
      </c>
      <c r="P518" s="117">
        <v>866</v>
      </c>
    </row>
    <row r="519" spans="2:16" outlineLevel="1" x14ac:dyDescent="0.2">
      <c r="B519" s="118"/>
      <c r="C519" s="132"/>
      <c r="D519" s="118"/>
      <c r="E519" s="118"/>
      <c r="F519" s="118"/>
      <c r="G519" s="118"/>
      <c r="H519" s="95" t="s">
        <v>4</v>
      </c>
      <c r="I519" s="94">
        <f t="shared" si="172"/>
        <v>64.400000000000006</v>
      </c>
      <c r="J519" s="94">
        <v>64.400000000000006</v>
      </c>
      <c r="K519" s="94"/>
      <c r="L519" s="94"/>
      <c r="M519" s="94"/>
      <c r="N519" s="94"/>
      <c r="O519" s="94"/>
      <c r="P519" s="118"/>
    </row>
    <row r="520" spans="2:16" outlineLevel="1" x14ac:dyDescent="0.2">
      <c r="B520" s="118"/>
      <c r="C520" s="132"/>
      <c r="D520" s="118"/>
      <c r="E520" s="118"/>
      <c r="F520" s="118"/>
      <c r="G520" s="118"/>
      <c r="H520" s="95" t="s">
        <v>6</v>
      </c>
      <c r="I520" s="94">
        <f t="shared" si="172"/>
        <v>0.6</v>
      </c>
      <c r="J520" s="94">
        <v>0.6</v>
      </c>
      <c r="K520" s="94"/>
      <c r="L520" s="94"/>
      <c r="M520" s="94"/>
      <c r="N520" s="94"/>
      <c r="O520" s="94"/>
      <c r="P520" s="118"/>
    </row>
    <row r="521" spans="2:16" outlineLevel="1" x14ac:dyDescent="0.2">
      <c r="B521" s="119"/>
      <c r="C521" s="133"/>
      <c r="D521" s="119"/>
      <c r="E521" s="119"/>
      <c r="F521" s="119"/>
      <c r="G521" s="119"/>
      <c r="H521" s="95" t="s">
        <v>5</v>
      </c>
      <c r="I521" s="94">
        <f t="shared" si="172"/>
        <v>0</v>
      </c>
      <c r="J521" s="94"/>
      <c r="K521" s="94"/>
      <c r="L521" s="94"/>
      <c r="M521" s="94"/>
      <c r="N521" s="94"/>
      <c r="O521" s="94"/>
      <c r="P521" s="119"/>
    </row>
    <row r="522" spans="2:16" ht="42.75" outlineLevel="1" x14ac:dyDescent="0.2">
      <c r="B522" s="117" t="s">
        <v>796</v>
      </c>
      <c r="C522" s="117"/>
      <c r="D522" s="117" t="s">
        <v>47</v>
      </c>
      <c r="E522" s="117" t="s">
        <v>203</v>
      </c>
      <c r="F522" s="117"/>
      <c r="G522" s="117" t="s">
        <v>107</v>
      </c>
      <c r="H522" s="95" t="s">
        <v>3</v>
      </c>
      <c r="I522" s="94">
        <f t="shared" si="172"/>
        <v>4.5</v>
      </c>
      <c r="J522" s="94">
        <f t="shared" ref="J522:O522" si="178">J523+J524+J525</f>
        <v>0</v>
      </c>
      <c r="K522" s="94">
        <f t="shared" si="178"/>
        <v>4.5</v>
      </c>
      <c r="L522" s="94">
        <f t="shared" si="178"/>
        <v>0</v>
      </c>
      <c r="M522" s="94">
        <f t="shared" si="178"/>
        <v>0</v>
      </c>
      <c r="N522" s="94">
        <f t="shared" si="178"/>
        <v>0</v>
      </c>
      <c r="O522" s="94">
        <f t="shared" si="178"/>
        <v>0</v>
      </c>
      <c r="P522" s="117">
        <v>523</v>
      </c>
    </row>
    <row r="523" spans="2:16" outlineLevel="1" x14ac:dyDescent="0.2">
      <c r="B523" s="118"/>
      <c r="C523" s="132"/>
      <c r="D523" s="118"/>
      <c r="E523" s="118"/>
      <c r="F523" s="118"/>
      <c r="G523" s="118"/>
      <c r="H523" s="95" t="s">
        <v>4</v>
      </c>
      <c r="I523" s="94">
        <f t="shared" si="172"/>
        <v>4.4000000000000004</v>
      </c>
      <c r="J523" s="94"/>
      <c r="K523" s="94">
        <v>4.4000000000000004</v>
      </c>
      <c r="L523" s="94"/>
      <c r="M523" s="94"/>
      <c r="N523" s="94"/>
      <c r="O523" s="94"/>
      <c r="P523" s="118"/>
    </row>
    <row r="524" spans="2:16" outlineLevel="1" x14ac:dyDescent="0.2">
      <c r="B524" s="118"/>
      <c r="C524" s="132"/>
      <c r="D524" s="118"/>
      <c r="E524" s="118"/>
      <c r="F524" s="118"/>
      <c r="G524" s="118"/>
      <c r="H524" s="95" t="s">
        <v>6</v>
      </c>
      <c r="I524" s="94">
        <f t="shared" si="172"/>
        <v>0.1</v>
      </c>
      <c r="J524" s="94"/>
      <c r="K524" s="94">
        <v>0.1</v>
      </c>
      <c r="L524" s="94"/>
      <c r="M524" s="94"/>
      <c r="N524" s="94"/>
      <c r="O524" s="94"/>
      <c r="P524" s="118"/>
    </row>
    <row r="525" spans="2:16" outlineLevel="1" x14ac:dyDescent="0.2">
      <c r="B525" s="119"/>
      <c r="C525" s="133"/>
      <c r="D525" s="119"/>
      <c r="E525" s="119"/>
      <c r="F525" s="119"/>
      <c r="G525" s="119"/>
      <c r="H525" s="95" t="s">
        <v>5</v>
      </c>
      <c r="I525" s="94">
        <f t="shared" si="172"/>
        <v>0</v>
      </c>
      <c r="J525" s="94"/>
      <c r="K525" s="94"/>
      <c r="L525" s="94"/>
      <c r="M525" s="94"/>
      <c r="N525" s="94"/>
      <c r="O525" s="94"/>
      <c r="P525" s="119"/>
    </row>
    <row r="526" spans="2:16" ht="42.75" outlineLevel="1" x14ac:dyDescent="0.2">
      <c r="B526" s="117" t="s">
        <v>797</v>
      </c>
      <c r="C526" s="117"/>
      <c r="D526" s="117" t="s">
        <v>47</v>
      </c>
      <c r="E526" s="117" t="s">
        <v>34</v>
      </c>
      <c r="F526" s="117"/>
      <c r="G526" s="117" t="s">
        <v>107</v>
      </c>
      <c r="H526" s="95" t="s">
        <v>3</v>
      </c>
      <c r="I526" s="94">
        <f t="shared" si="172"/>
        <v>9</v>
      </c>
      <c r="J526" s="94">
        <f t="shared" ref="J526:O526" si="179">J527+J528+J529</f>
        <v>9</v>
      </c>
      <c r="K526" s="94">
        <f t="shared" si="179"/>
        <v>0</v>
      </c>
      <c r="L526" s="94">
        <f t="shared" si="179"/>
        <v>0</v>
      </c>
      <c r="M526" s="94">
        <f t="shared" si="179"/>
        <v>0</v>
      </c>
      <c r="N526" s="94">
        <f t="shared" si="179"/>
        <v>0</v>
      </c>
      <c r="O526" s="94">
        <f t="shared" si="179"/>
        <v>0</v>
      </c>
      <c r="P526" s="117">
        <v>827</v>
      </c>
    </row>
    <row r="527" spans="2:16" outlineLevel="1" x14ac:dyDescent="0.2">
      <c r="B527" s="118"/>
      <c r="C527" s="132"/>
      <c r="D527" s="118"/>
      <c r="E527" s="118"/>
      <c r="F527" s="118"/>
      <c r="G527" s="118"/>
      <c r="H527" s="95" t="s">
        <v>4</v>
      </c>
      <c r="I527" s="94">
        <f t="shared" si="172"/>
        <v>8.9</v>
      </c>
      <c r="J527" s="94">
        <v>8.9</v>
      </c>
      <c r="K527" s="94"/>
      <c r="L527" s="94"/>
      <c r="M527" s="94"/>
      <c r="N527" s="94"/>
      <c r="O527" s="94"/>
      <c r="P527" s="118"/>
    </row>
    <row r="528" spans="2:16" outlineLevel="1" x14ac:dyDescent="0.2">
      <c r="B528" s="118"/>
      <c r="C528" s="132"/>
      <c r="D528" s="118"/>
      <c r="E528" s="118"/>
      <c r="F528" s="118"/>
      <c r="G528" s="118"/>
      <c r="H528" s="95" t="s">
        <v>6</v>
      </c>
      <c r="I528" s="94">
        <f t="shared" si="172"/>
        <v>0.1</v>
      </c>
      <c r="J528" s="94">
        <v>0.1</v>
      </c>
      <c r="K528" s="94"/>
      <c r="L528" s="94"/>
      <c r="M528" s="94"/>
      <c r="N528" s="94"/>
      <c r="O528" s="94"/>
      <c r="P528" s="118"/>
    </row>
    <row r="529" spans="2:16" outlineLevel="1" x14ac:dyDescent="0.2">
      <c r="B529" s="119"/>
      <c r="C529" s="133"/>
      <c r="D529" s="119"/>
      <c r="E529" s="119"/>
      <c r="F529" s="119"/>
      <c r="G529" s="119"/>
      <c r="H529" s="95" t="s">
        <v>5</v>
      </c>
      <c r="I529" s="94">
        <f t="shared" si="172"/>
        <v>0</v>
      </c>
      <c r="J529" s="94"/>
      <c r="K529" s="94"/>
      <c r="L529" s="94"/>
      <c r="M529" s="94"/>
      <c r="N529" s="94"/>
      <c r="O529" s="94"/>
      <c r="P529" s="119"/>
    </row>
    <row r="530" spans="2:16" ht="42.75" customHeight="1" outlineLevel="1" x14ac:dyDescent="0.2">
      <c r="B530" s="117" t="s">
        <v>798</v>
      </c>
      <c r="C530" s="117"/>
      <c r="D530" s="117" t="s">
        <v>47</v>
      </c>
      <c r="E530" s="117">
        <v>2021</v>
      </c>
      <c r="F530" s="117" t="s">
        <v>799</v>
      </c>
      <c r="G530" s="117" t="s">
        <v>107</v>
      </c>
      <c r="H530" s="95" t="s">
        <v>3</v>
      </c>
      <c r="I530" s="94">
        <f t="shared" si="172"/>
        <v>24.208000000000002</v>
      </c>
      <c r="J530" s="94">
        <f t="shared" ref="J530:O530" si="180">J531+J532+J533</f>
        <v>0</v>
      </c>
      <c r="K530" s="94">
        <f t="shared" si="180"/>
        <v>24.208000000000002</v>
      </c>
      <c r="L530" s="94">
        <f t="shared" si="180"/>
        <v>0</v>
      </c>
      <c r="M530" s="94">
        <f t="shared" si="180"/>
        <v>0</v>
      </c>
      <c r="N530" s="94">
        <f t="shared" si="180"/>
        <v>0</v>
      </c>
      <c r="O530" s="94">
        <f t="shared" si="180"/>
        <v>0</v>
      </c>
      <c r="P530" s="117">
        <v>5191</v>
      </c>
    </row>
    <row r="531" spans="2:16" outlineLevel="1" x14ac:dyDescent="0.2">
      <c r="B531" s="118"/>
      <c r="C531" s="132"/>
      <c r="D531" s="118"/>
      <c r="E531" s="118"/>
      <c r="F531" s="118"/>
      <c r="G531" s="118"/>
      <c r="H531" s="95" t="s">
        <v>4</v>
      </c>
      <c r="I531" s="94">
        <f t="shared" si="172"/>
        <v>23.966000000000001</v>
      </c>
      <c r="J531" s="94"/>
      <c r="K531" s="94">
        <v>23.966000000000001</v>
      </c>
      <c r="L531" s="94"/>
      <c r="M531" s="94"/>
      <c r="N531" s="94"/>
      <c r="O531" s="94"/>
      <c r="P531" s="118"/>
    </row>
    <row r="532" spans="2:16" outlineLevel="1" x14ac:dyDescent="0.2">
      <c r="B532" s="118"/>
      <c r="C532" s="132"/>
      <c r="D532" s="118"/>
      <c r="E532" s="118"/>
      <c r="F532" s="118"/>
      <c r="G532" s="118"/>
      <c r="H532" s="95" t="s">
        <v>6</v>
      </c>
      <c r="I532" s="94">
        <f t="shared" si="172"/>
        <v>0.24199999999999999</v>
      </c>
      <c r="J532" s="94"/>
      <c r="K532" s="94">
        <v>0.24199999999999999</v>
      </c>
      <c r="L532" s="94"/>
      <c r="M532" s="94"/>
      <c r="N532" s="94"/>
      <c r="O532" s="94"/>
      <c r="P532" s="118"/>
    </row>
    <row r="533" spans="2:16" outlineLevel="1" x14ac:dyDescent="0.2">
      <c r="B533" s="119"/>
      <c r="C533" s="133"/>
      <c r="D533" s="119"/>
      <c r="E533" s="119"/>
      <c r="F533" s="119"/>
      <c r="G533" s="119"/>
      <c r="H533" s="95" t="s">
        <v>5</v>
      </c>
      <c r="I533" s="94">
        <f t="shared" si="172"/>
        <v>0</v>
      </c>
      <c r="J533" s="94"/>
      <c r="K533" s="94"/>
      <c r="L533" s="94"/>
      <c r="M533" s="94"/>
      <c r="N533" s="94"/>
      <c r="O533" s="94"/>
      <c r="P533" s="119"/>
    </row>
    <row r="534" spans="2:16" ht="42.75" customHeight="1" outlineLevel="1" x14ac:dyDescent="0.2">
      <c r="B534" s="117" t="s">
        <v>800</v>
      </c>
      <c r="C534" s="117"/>
      <c r="D534" s="117" t="s">
        <v>47</v>
      </c>
      <c r="E534" s="117">
        <v>2022</v>
      </c>
      <c r="F534" s="117" t="s">
        <v>801</v>
      </c>
      <c r="G534" s="117" t="s">
        <v>107</v>
      </c>
      <c r="H534" s="95" t="s">
        <v>3</v>
      </c>
      <c r="I534" s="94">
        <f t="shared" si="172"/>
        <v>10.975</v>
      </c>
      <c r="J534" s="94">
        <f t="shared" ref="J534:O534" si="181">J535+J536+J537</f>
        <v>0</v>
      </c>
      <c r="K534" s="94">
        <f t="shared" si="181"/>
        <v>0</v>
      </c>
      <c r="L534" s="94">
        <f t="shared" si="181"/>
        <v>10.975</v>
      </c>
      <c r="M534" s="94">
        <f t="shared" si="181"/>
        <v>0</v>
      </c>
      <c r="N534" s="94">
        <f t="shared" si="181"/>
        <v>0</v>
      </c>
      <c r="O534" s="94">
        <f t="shared" si="181"/>
        <v>0</v>
      </c>
      <c r="P534" s="117">
        <v>5191</v>
      </c>
    </row>
    <row r="535" spans="2:16" outlineLevel="1" x14ac:dyDescent="0.2">
      <c r="B535" s="118"/>
      <c r="C535" s="132"/>
      <c r="D535" s="118"/>
      <c r="E535" s="118"/>
      <c r="F535" s="118"/>
      <c r="G535" s="118"/>
      <c r="H535" s="95" t="s">
        <v>4</v>
      </c>
      <c r="I535" s="94">
        <f t="shared" si="172"/>
        <v>10.865</v>
      </c>
      <c r="J535" s="94"/>
      <c r="K535" s="94"/>
      <c r="L535" s="94">
        <v>10.865</v>
      </c>
      <c r="M535" s="94"/>
      <c r="N535" s="94"/>
      <c r="O535" s="94"/>
      <c r="P535" s="118"/>
    </row>
    <row r="536" spans="2:16" outlineLevel="1" x14ac:dyDescent="0.2">
      <c r="B536" s="118"/>
      <c r="C536" s="132"/>
      <c r="D536" s="118"/>
      <c r="E536" s="118"/>
      <c r="F536" s="118"/>
      <c r="G536" s="118"/>
      <c r="H536" s="95" t="s">
        <v>6</v>
      </c>
      <c r="I536" s="94">
        <f t="shared" si="172"/>
        <v>0.11</v>
      </c>
      <c r="J536" s="94"/>
      <c r="K536" s="94"/>
      <c r="L536" s="94">
        <v>0.11</v>
      </c>
      <c r="M536" s="94"/>
      <c r="N536" s="94"/>
      <c r="O536" s="94"/>
      <c r="P536" s="118"/>
    </row>
    <row r="537" spans="2:16" outlineLevel="1" x14ac:dyDescent="0.2">
      <c r="B537" s="119"/>
      <c r="C537" s="133"/>
      <c r="D537" s="119"/>
      <c r="E537" s="119"/>
      <c r="F537" s="119"/>
      <c r="G537" s="119"/>
      <c r="H537" s="95" t="s">
        <v>5</v>
      </c>
      <c r="I537" s="94">
        <f t="shared" si="172"/>
        <v>0</v>
      </c>
      <c r="J537" s="94"/>
      <c r="K537" s="94"/>
      <c r="L537" s="94"/>
      <c r="M537" s="94"/>
      <c r="N537" s="94"/>
      <c r="O537" s="94"/>
      <c r="P537" s="119"/>
    </row>
    <row r="538" spans="2:16" ht="42.75" customHeight="1" outlineLevel="1" x14ac:dyDescent="0.2">
      <c r="B538" s="117" t="s">
        <v>802</v>
      </c>
      <c r="C538" s="167"/>
      <c r="D538" s="117" t="s">
        <v>47</v>
      </c>
      <c r="E538" s="117" t="s">
        <v>34</v>
      </c>
      <c r="F538" s="117" t="s">
        <v>803</v>
      </c>
      <c r="G538" s="117" t="s">
        <v>107</v>
      </c>
      <c r="H538" s="95" t="s">
        <v>3</v>
      </c>
      <c r="I538" s="94">
        <f t="shared" si="172"/>
        <v>250.93799999999999</v>
      </c>
      <c r="J538" s="94">
        <v>0</v>
      </c>
      <c r="K538" s="94">
        <f t="shared" ref="K538:O538" si="182">K539+K540+K541</f>
        <v>83.646000000000001</v>
      </c>
      <c r="L538" s="94">
        <f t="shared" si="182"/>
        <v>83.646000000000001</v>
      </c>
      <c r="M538" s="94">
        <f t="shared" si="182"/>
        <v>83.646000000000001</v>
      </c>
      <c r="N538" s="94">
        <f t="shared" si="182"/>
        <v>0</v>
      </c>
      <c r="O538" s="94">
        <f t="shared" si="182"/>
        <v>0</v>
      </c>
      <c r="P538" s="117">
        <v>5191</v>
      </c>
    </row>
    <row r="539" spans="2:16" outlineLevel="1" x14ac:dyDescent="0.2">
      <c r="B539" s="118"/>
      <c r="C539" s="168"/>
      <c r="D539" s="118"/>
      <c r="E539" s="118"/>
      <c r="F539" s="132"/>
      <c r="G539" s="118"/>
      <c r="H539" s="95" t="s">
        <v>4</v>
      </c>
      <c r="I539" s="94">
        <f t="shared" si="172"/>
        <v>0</v>
      </c>
      <c r="J539" s="94"/>
      <c r="K539" s="94"/>
      <c r="L539" s="94"/>
      <c r="M539" s="94"/>
      <c r="N539" s="94"/>
      <c r="O539" s="94"/>
      <c r="P539" s="118"/>
    </row>
    <row r="540" spans="2:16" outlineLevel="1" x14ac:dyDescent="0.2">
      <c r="B540" s="118"/>
      <c r="C540" s="168"/>
      <c r="D540" s="118"/>
      <c r="E540" s="118"/>
      <c r="F540" s="132"/>
      <c r="G540" s="118"/>
      <c r="H540" s="95" t="s">
        <v>6</v>
      </c>
      <c r="I540" s="94">
        <f t="shared" si="172"/>
        <v>250.93799999999999</v>
      </c>
      <c r="J540" s="94"/>
      <c r="K540" s="94">
        <v>83.646000000000001</v>
      </c>
      <c r="L540" s="94">
        <v>83.646000000000001</v>
      </c>
      <c r="M540" s="94">
        <v>83.646000000000001</v>
      </c>
      <c r="N540" s="94"/>
      <c r="O540" s="94"/>
      <c r="P540" s="118"/>
    </row>
    <row r="541" spans="2:16" outlineLevel="1" x14ac:dyDescent="0.2">
      <c r="B541" s="119"/>
      <c r="C541" s="169"/>
      <c r="D541" s="119"/>
      <c r="E541" s="119"/>
      <c r="F541" s="133"/>
      <c r="G541" s="119"/>
      <c r="H541" s="95" t="s">
        <v>5</v>
      </c>
      <c r="I541" s="94">
        <f t="shared" si="172"/>
        <v>0</v>
      </c>
      <c r="J541" s="94"/>
      <c r="K541" s="94"/>
      <c r="L541" s="94"/>
      <c r="M541" s="94"/>
      <c r="N541" s="94"/>
      <c r="O541" s="94"/>
      <c r="P541" s="119"/>
    </row>
    <row r="542" spans="2:16" ht="42.75" customHeight="1" outlineLevel="1" x14ac:dyDescent="0.2">
      <c r="B542" s="117" t="s">
        <v>804</v>
      </c>
      <c r="C542" s="117"/>
      <c r="D542" s="117" t="s">
        <v>47</v>
      </c>
      <c r="E542" s="117">
        <v>2023</v>
      </c>
      <c r="F542" s="117" t="s">
        <v>805</v>
      </c>
      <c r="G542" s="117" t="s">
        <v>107</v>
      </c>
      <c r="H542" s="95" t="s">
        <v>3</v>
      </c>
      <c r="I542" s="94">
        <f t="shared" si="172"/>
        <v>11.899999999999999</v>
      </c>
      <c r="J542" s="94">
        <v>0</v>
      </c>
      <c r="K542" s="94">
        <f t="shared" ref="K542:O542" si="183">K543+K544+K545</f>
        <v>11.899999999999999</v>
      </c>
      <c r="L542" s="94">
        <f t="shared" si="183"/>
        <v>0</v>
      </c>
      <c r="M542" s="94">
        <f t="shared" si="183"/>
        <v>0</v>
      </c>
      <c r="N542" s="94">
        <f t="shared" si="183"/>
        <v>0</v>
      </c>
      <c r="O542" s="94">
        <f t="shared" si="183"/>
        <v>0</v>
      </c>
      <c r="P542" s="117">
        <v>5191</v>
      </c>
    </row>
    <row r="543" spans="2:16" outlineLevel="1" x14ac:dyDescent="0.2">
      <c r="B543" s="118"/>
      <c r="C543" s="132"/>
      <c r="D543" s="118"/>
      <c r="E543" s="118"/>
      <c r="F543" s="118"/>
      <c r="G543" s="118"/>
      <c r="H543" s="95" t="s">
        <v>4</v>
      </c>
      <c r="I543" s="94">
        <f t="shared" si="172"/>
        <v>11.78</v>
      </c>
      <c r="J543" s="94"/>
      <c r="K543" s="94">
        <v>11.78</v>
      </c>
      <c r="L543" s="94"/>
      <c r="M543" s="94"/>
      <c r="N543" s="94"/>
      <c r="O543" s="94"/>
      <c r="P543" s="118"/>
    </row>
    <row r="544" spans="2:16" outlineLevel="1" x14ac:dyDescent="0.2">
      <c r="B544" s="118"/>
      <c r="C544" s="132"/>
      <c r="D544" s="118"/>
      <c r="E544" s="118"/>
      <c r="F544" s="118"/>
      <c r="G544" s="118"/>
      <c r="H544" s="95" t="s">
        <v>6</v>
      </c>
      <c r="I544" s="94">
        <f t="shared" si="172"/>
        <v>0.12</v>
      </c>
      <c r="J544" s="94"/>
      <c r="K544" s="94">
        <v>0.12</v>
      </c>
      <c r="L544" s="94"/>
      <c r="M544" s="94"/>
      <c r="N544" s="94"/>
      <c r="O544" s="94"/>
      <c r="P544" s="118"/>
    </row>
    <row r="545" spans="2:18" outlineLevel="1" x14ac:dyDescent="0.2">
      <c r="B545" s="119"/>
      <c r="C545" s="133"/>
      <c r="D545" s="119"/>
      <c r="E545" s="119"/>
      <c r="F545" s="119"/>
      <c r="G545" s="119"/>
      <c r="H545" s="95" t="s">
        <v>5</v>
      </c>
      <c r="I545" s="94">
        <f t="shared" si="172"/>
        <v>0</v>
      </c>
      <c r="J545" s="94"/>
      <c r="K545" s="94"/>
      <c r="L545" s="94"/>
      <c r="M545" s="94"/>
      <c r="N545" s="94"/>
      <c r="O545" s="94"/>
      <c r="P545" s="119"/>
    </row>
    <row r="546" spans="2:18" ht="42.75" customHeight="1" outlineLevel="1" x14ac:dyDescent="0.2">
      <c r="B546" s="117" t="s">
        <v>806</v>
      </c>
      <c r="C546" s="117"/>
      <c r="D546" s="117" t="s">
        <v>47</v>
      </c>
      <c r="E546" s="117">
        <v>2022</v>
      </c>
      <c r="F546" s="117" t="s">
        <v>807</v>
      </c>
      <c r="G546" s="117" t="s">
        <v>107</v>
      </c>
      <c r="H546" s="95" t="s">
        <v>3</v>
      </c>
      <c r="I546" s="94">
        <f t="shared" si="172"/>
        <v>3.9660000000000002</v>
      </c>
      <c r="J546" s="94">
        <v>0</v>
      </c>
      <c r="K546" s="94">
        <v>0</v>
      </c>
      <c r="L546" s="94">
        <f t="shared" ref="L546:O546" si="184">L547+L548+L549</f>
        <v>3.9660000000000002</v>
      </c>
      <c r="M546" s="94">
        <f t="shared" si="184"/>
        <v>0</v>
      </c>
      <c r="N546" s="94">
        <f t="shared" si="184"/>
        <v>0</v>
      </c>
      <c r="O546" s="94">
        <f t="shared" si="184"/>
        <v>0</v>
      </c>
      <c r="P546" s="117">
        <v>5191</v>
      </c>
    </row>
    <row r="547" spans="2:18" outlineLevel="1" x14ac:dyDescent="0.2">
      <c r="B547" s="118"/>
      <c r="C547" s="132"/>
      <c r="D547" s="118"/>
      <c r="E547" s="118"/>
      <c r="F547" s="118"/>
      <c r="G547" s="118"/>
      <c r="H547" s="95" t="s">
        <v>4</v>
      </c>
      <c r="I547" s="94">
        <f t="shared" si="172"/>
        <v>3.9260000000000002</v>
      </c>
      <c r="J547" s="94"/>
      <c r="K547" s="94"/>
      <c r="L547" s="94">
        <v>3.9260000000000002</v>
      </c>
      <c r="M547" s="94"/>
      <c r="N547" s="94"/>
      <c r="O547" s="94"/>
      <c r="P547" s="118"/>
    </row>
    <row r="548" spans="2:18" outlineLevel="1" x14ac:dyDescent="0.2">
      <c r="B548" s="118"/>
      <c r="C548" s="132"/>
      <c r="D548" s="118"/>
      <c r="E548" s="118"/>
      <c r="F548" s="118"/>
      <c r="G548" s="118"/>
      <c r="H548" s="95" t="s">
        <v>6</v>
      </c>
      <c r="I548" s="94">
        <f t="shared" si="172"/>
        <v>0.04</v>
      </c>
      <c r="J548" s="94"/>
      <c r="K548" s="94"/>
      <c r="L548" s="94">
        <v>0.04</v>
      </c>
      <c r="M548" s="94"/>
      <c r="N548" s="94"/>
      <c r="O548" s="94"/>
      <c r="P548" s="118"/>
    </row>
    <row r="549" spans="2:18" outlineLevel="1" x14ac:dyDescent="0.2">
      <c r="B549" s="119"/>
      <c r="C549" s="133"/>
      <c r="D549" s="119"/>
      <c r="E549" s="119"/>
      <c r="F549" s="119"/>
      <c r="G549" s="119"/>
      <c r="H549" s="95" t="s">
        <v>5</v>
      </c>
      <c r="I549" s="94">
        <f t="shared" si="172"/>
        <v>0</v>
      </c>
      <c r="J549" s="94"/>
      <c r="K549" s="94"/>
      <c r="L549" s="94"/>
      <c r="M549" s="94"/>
      <c r="N549" s="94"/>
      <c r="O549" s="94"/>
      <c r="P549" s="119"/>
    </row>
    <row r="550" spans="2:18" ht="42.75" customHeight="1" outlineLevel="1" x14ac:dyDescent="0.2">
      <c r="B550" s="117" t="s">
        <v>808</v>
      </c>
      <c r="C550" s="117"/>
      <c r="D550" s="117" t="s">
        <v>47</v>
      </c>
      <c r="E550" s="117">
        <v>2021</v>
      </c>
      <c r="F550" s="117"/>
      <c r="G550" s="117" t="s">
        <v>107</v>
      </c>
      <c r="H550" s="95" t="s">
        <v>3</v>
      </c>
      <c r="I550" s="94">
        <f t="shared" si="172"/>
        <v>153.5</v>
      </c>
      <c r="J550" s="94">
        <f t="shared" ref="J550:O550" si="185">J551+J552+J553</f>
        <v>0</v>
      </c>
      <c r="K550" s="94">
        <f t="shared" si="185"/>
        <v>153.5</v>
      </c>
      <c r="L550" s="94">
        <f t="shared" si="185"/>
        <v>0</v>
      </c>
      <c r="M550" s="94">
        <f t="shared" si="185"/>
        <v>0</v>
      </c>
      <c r="N550" s="94">
        <f t="shared" si="185"/>
        <v>0</v>
      </c>
      <c r="O550" s="94">
        <f t="shared" si="185"/>
        <v>0</v>
      </c>
      <c r="P550" s="117">
        <v>5191</v>
      </c>
    </row>
    <row r="551" spans="2:18" outlineLevel="1" x14ac:dyDescent="0.2">
      <c r="B551" s="118"/>
      <c r="C551" s="132"/>
      <c r="D551" s="118"/>
      <c r="E551" s="118"/>
      <c r="F551" s="118"/>
      <c r="G551" s="118"/>
      <c r="H551" s="95" t="s">
        <v>4</v>
      </c>
      <c r="I551" s="94">
        <f t="shared" si="172"/>
        <v>152</v>
      </c>
      <c r="J551" s="94"/>
      <c r="K551" s="94">
        <v>152</v>
      </c>
      <c r="L551" s="94"/>
      <c r="M551" s="94"/>
      <c r="N551" s="94"/>
      <c r="O551" s="94"/>
      <c r="P551" s="118"/>
    </row>
    <row r="552" spans="2:18" outlineLevel="1" x14ac:dyDescent="0.2">
      <c r="B552" s="118"/>
      <c r="C552" s="132"/>
      <c r="D552" s="118"/>
      <c r="E552" s="118"/>
      <c r="F552" s="118"/>
      <c r="G552" s="118"/>
      <c r="H552" s="95" t="s">
        <v>6</v>
      </c>
      <c r="I552" s="94">
        <f t="shared" si="172"/>
        <v>1.5</v>
      </c>
      <c r="J552" s="94"/>
      <c r="K552" s="94">
        <v>1.5</v>
      </c>
      <c r="L552" s="94"/>
      <c r="M552" s="94"/>
      <c r="N552" s="94"/>
      <c r="O552" s="94"/>
      <c r="P552" s="118"/>
    </row>
    <row r="553" spans="2:18" outlineLevel="1" x14ac:dyDescent="0.2">
      <c r="B553" s="119"/>
      <c r="C553" s="133"/>
      <c r="D553" s="119"/>
      <c r="E553" s="119"/>
      <c r="F553" s="119"/>
      <c r="G553" s="119"/>
      <c r="H553" s="95" t="s">
        <v>5</v>
      </c>
      <c r="I553" s="94">
        <f t="shared" si="172"/>
        <v>0</v>
      </c>
      <c r="J553" s="94"/>
      <c r="K553" s="94"/>
      <c r="L553" s="94"/>
      <c r="M553" s="94"/>
      <c r="N553" s="94"/>
      <c r="O553" s="94"/>
      <c r="P553" s="119"/>
    </row>
    <row r="554" spans="2:18" ht="42.75" customHeight="1" outlineLevel="1" x14ac:dyDescent="0.2">
      <c r="B554" s="117" t="s">
        <v>809</v>
      </c>
      <c r="C554" s="117"/>
      <c r="D554" s="117" t="s">
        <v>47</v>
      </c>
      <c r="E554" s="117">
        <v>2022</v>
      </c>
      <c r="F554" s="117" t="s">
        <v>810</v>
      </c>
      <c r="G554" s="117" t="s">
        <v>107</v>
      </c>
      <c r="H554" s="95" t="s">
        <v>3</v>
      </c>
      <c r="I554" s="94">
        <f t="shared" si="172"/>
        <v>5</v>
      </c>
      <c r="J554" s="94">
        <f t="shared" ref="J554:O554" si="186">J555+J556+J557</f>
        <v>0</v>
      </c>
      <c r="K554" s="94">
        <f t="shared" si="186"/>
        <v>0</v>
      </c>
      <c r="L554" s="94">
        <f t="shared" si="186"/>
        <v>5</v>
      </c>
      <c r="M554" s="94">
        <f t="shared" si="186"/>
        <v>0</v>
      </c>
      <c r="N554" s="94">
        <f t="shared" si="186"/>
        <v>0</v>
      </c>
      <c r="O554" s="94">
        <f t="shared" si="186"/>
        <v>0</v>
      </c>
      <c r="P554" s="117">
        <v>5191</v>
      </c>
    </row>
    <row r="555" spans="2:18" outlineLevel="1" x14ac:dyDescent="0.2">
      <c r="B555" s="118"/>
      <c r="C555" s="132"/>
      <c r="D555" s="118"/>
      <c r="E555" s="118"/>
      <c r="F555" s="118"/>
      <c r="G555" s="118"/>
      <c r="H555" s="95" t="s">
        <v>4</v>
      </c>
      <c r="I555" s="94">
        <f t="shared" si="172"/>
        <v>0</v>
      </c>
      <c r="J555" s="94"/>
      <c r="K555" s="94"/>
      <c r="L555" s="94"/>
      <c r="M555" s="94"/>
      <c r="N555" s="94"/>
      <c r="O555" s="94"/>
      <c r="P555" s="118"/>
    </row>
    <row r="556" spans="2:18" outlineLevel="1" x14ac:dyDescent="0.2">
      <c r="B556" s="118"/>
      <c r="C556" s="132"/>
      <c r="D556" s="118"/>
      <c r="E556" s="118"/>
      <c r="F556" s="118"/>
      <c r="G556" s="118"/>
      <c r="H556" s="95" t="s">
        <v>6</v>
      </c>
      <c r="I556" s="94">
        <f t="shared" si="172"/>
        <v>5</v>
      </c>
      <c r="J556" s="94"/>
      <c r="K556" s="94"/>
      <c r="L556" s="94">
        <v>5</v>
      </c>
      <c r="M556" s="94"/>
      <c r="N556" s="94"/>
      <c r="O556" s="94"/>
      <c r="P556" s="118"/>
    </row>
    <row r="557" spans="2:18" outlineLevel="1" x14ac:dyDescent="0.2">
      <c r="B557" s="119"/>
      <c r="C557" s="133"/>
      <c r="D557" s="119"/>
      <c r="E557" s="119"/>
      <c r="F557" s="119"/>
      <c r="G557" s="119"/>
      <c r="H557" s="95" t="s">
        <v>5</v>
      </c>
      <c r="I557" s="94">
        <f t="shared" si="172"/>
        <v>0</v>
      </c>
      <c r="J557" s="94"/>
      <c r="K557" s="94"/>
      <c r="L557" s="94"/>
      <c r="M557" s="94"/>
      <c r="N557" s="94"/>
      <c r="O557" s="94"/>
      <c r="P557" s="119"/>
    </row>
    <row r="558" spans="2:18" ht="42.75" x14ac:dyDescent="0.2">
      <c r="B558" s="128" t="s">
        <v>57</v>
      </c>
      <c r="C558" s="128" t="s">
        <v>38</v>
      </c>
      <c r="D558" s="128" t="s">
        <v>38</v>
      </c>
      <c r="E558" s="128" t="s">
        <v>38</v>
      </c>
      <c r="F558" s="128" t="s">
        <v>38</v>
      </c>
      <c r="G558" s="128" t="s">
        <v>38</v>
      </c>
      <c r="H558" s="95" t="s">
        <v>3</v>
      </c>
      <c r="I558" s="14">
        <f t="shared" ref="I558:O558" si="187">SUMIF($H$502:$H$557,"Объем*",I$502:I$557)</f>
        <v>584.31799999999998</v>
      </c>
      <c r="J558" s="14">
        <f t="shared" si="187"/>
        <v>95.924999999999997</v>
      </c>
      <c r="K558" s="14">
        <f t="shared" si="187"/>
        <v>301.15999999999997</v>
      </c>
      <c r="L558" s="14">
        <f t="shared" si="187"/>
        <v>103.58699999999999</v>
      </c>
      <c r="M558" s="14">
        <f t="shared" si="187"/>
        <v>83.646000000000001</v>
      </c>
      <c r="N558" s="14">
        <f t="shared" si="187"/>
        <v>0</v>
      </c>
      <c r="O558" s="14">
        <f t="shared" si="187"/>
        <v>0</v>
      </c>
      <c r="P558" s="128"/>
      <c r="Q558" s="7"/>
      <c r="R558" s="7"/>
    </row>
    <row r="559" spans="2:18" ht="15.75" x14ac:dyDescent="0.2">
      <c r="B559" s="129"/>
      <c r="C559" s="129"/>
      <c r="D559" s="129"/>
      <c r="E559" s="129"/>
      <c r="F559" s="129"/>
      <c r="G559" s="129"/>
      <c r="H559" s="95" t="s">
        <v>4</v>
      </c>
      <c r="I559" s="14">
        <f t="shared" ref="I559:O559" si="188">SUMIF($H$502:$H$557,"фед*",I$502:I$557)</f>
        <v>325.12800000000004</v>
      </c>
      <c r="J559" s="14">
        <f t="shared" si="188"/>
        <v>95.025000000000006</v>
      </c>
      <c r="K559" s="14">
        <f t="shared" si="188"/>
        <v>215.31200000000001</v>
      </c>
      <c r="L559" s="14">
        <f t="shared" si="188"/>
        <v>14.791</v>
      </c>
      <c r="M559" s="14">
        <f t="shared" si="188"/>
        <v>0</v>
      </c>
      <c r="N559" s="14">
        <f t="shared" si="188"/>
        <v>0</v>
      </c>
      <c r="O559" s="14">
        <f t="shared" si="188"/>
        <v>0</v>
      </c>
      <c r="P559" s="129"/>
      <c r="Q559" s="7"/>
    </row>
    <row r="560" spans="2:18" ht="15.75" x14ac:dyDescent="0.2">
      <c r="B560" s="129"/>
      <c r="C560" s="129"/>
      <c r="D560" s="129"/>
      <c r="E560" s="129"/>
      <c r="F560" s="129"/>
      <c r="G560" s="129"/>
      <c r="H560" s="95" t="s">
        <v>6</v>
      </c>
      <c r="I560" s="14">
        <f t="shared" ref="I560:O560" si="189">SUMIF($H$502:$H$557,"конс*",I$502:I$557)</f>
        <v>259.19</v>
      </c>
      <c r="J560" s="14">
        <f t="shared" si="189"/>
        <v>0.9</v>
      </c>
      <c r="K560" s="14">
        <f t="shared" si="189"/>
        <v>85.847999999999999</v>
      </c>
      <c r="L560" s="14">
        <f t="shared" si="189"/>
        <v>88.796000000000006</v>
      </c>
      <c r="M560" s="14">
        <f t="shared" si="189"/>
        <v>83.646000000000001</v>
      </c>
      <c r="N560" s="14">
        <f t="shared" si="189"/>
        <v>0</v>
      </c>
      <c r="O560" s="14">
        <f t="shared" si="189"/>
        <v>0</v>
      </c>
      <c r="P560" s="129"/>
      <c r="Q560" s="7"/>
    </row>
    <row r="561" spans="2:17" ht="15.75" x14ac:dyDescent="0.2">
      <c r="B561" s="130"/>
      <c r="C561" s="130"/>
      <c r="D561" s="130"/>
      <c r="E561" s="130"/>
      <c r="F561" s="130"/>
      <c r="G561" s="130"/>
      <c r="H561" s="95" t="s">
        <v>5</v>
      </c>
      <c r="I561" s="14">
        <f t="shared" ref="I561:O561" si="190">SUMIF($H$502:$H$557,"вне*",I$502:I$557)</f>
        <v>0</v>
      </c>
      <c r="J561" s="14">
        <f t="shared" si="190"/>
        <v>0</v>
      </c>
      <c r="K561" s="14">
        <f t="shared" si="190"/>
        <v>0</v>
      </c>
      <c r="L561" s="14">
        <f t="shared" si="190"/>
        <v>0</v>
      </c>
      <c r="M561" s="14">
        <f t="shared" si="190"/>
        <v>0</v>
      </c>
      <c r="N561" s="14">
        <f t="shared" si="190"/>
        <v>0</v>
      </c>
      <c r="O561" s="14">
        <f t="shared" si="190"/>
        <v>0</v>
      </c>
      <c r="P561" s="130"/>
      <c r="Q561" s="7"/>
    </row>
    <row r="562" spans="2:17" ht="25.5" customHeight="1" x14ac:dyDescent="0.2">
      <c r="B562" s="111" t="s">
        <v>409</v>
      </c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3"/>
    </row>
    <row r="563" spans="2:17" ht="42.75" customHeight="1" outlineLevel="1" x14ac:dyDescent="0.2">
      <c r="B563" s="117" t="s">
        <v>811</v>
      </c>
      <c r="C563" s="117" t="s">
        <v>628</v>
      </c>
      <c r="D563" s="117" t="s">
        <v>812</v>
      </c>
      <c r="E563" s="117" t="s">
        <v>50</v>
      </c>
      <c r="F563" s="117" t="s">
        <v>813</v>
      </c>
      <c r="G563" s="117" t="s">
        <v>138</v>
      </c>
      <c r="H563" s="95" t="s">
        <v>3</v>
      </c>
      <c r="I563" s="94">
        <f t="shared" ref="I563:I578" si="191">SUM(J563:O563)</f>
        <v>139.4</v>
      </c>
      <c r="J563" s="94">
        <f t="shared" ref="J563:O563" si="192">J564+J565+J566</f>
        <v>0</v>
      </c>
      <c r="K563" s="94">
        <f t="shared" si="192"/>
        <v>42.4</v>
      </c>
      <c r="L563" s="94">
        <f t="shared" si="192"/>
        <v>97</v>
      </c>
      <c r="M563" s="94">
        <f t="shared" si="192"/>
        <v>0</v>
      </c>
      <c r="N563" s="94">
        <f t="shared" si="192"/>
        <v>0</v>
      </c>
      <c r="O563" s="94">
        <f t="shared" si="192"/>
        <v>0</v>
      </c>
      <c r="P563" s="117">
        <v>5472</v>
      </c>
    </row>
    <row r="564" spans="2:17" outlineLevel="1" x14ac:dyDescent="0.2">
      <c r="B564" s="118"/>
      <c r="C564" s="132"/>
      <c r="D564" s="118"/>
      <c r="E564" s="118"/>
      <c r="F564" s="118"/>
      <c r="G564" s="118"/>
      <c r="H564" s="95" t="s">
        <v>4</v>
      </c>
      <c r="I564" s="94">
        <f t="shared" si="191"/>
        <v>138.1</v>
      </c>
      <c r="J564" s="94"/>
      <c r="K564" s="94">
        <v>42</v>
      </c>
      <c r="L564" s="94">
        <v>96.1</v>
      </c>
      <c r="M564" s="94"/>
      <c r="N564" s="94"/>
      <c r="O564" s="94"/>
      <c r="P564" s="118"/>
    </row>
    <row r="565" spans="2:17" outlineLevel="1" x14ac:dyDescent="0.2">
      <c r="B565" s="118"/>
      <c r="C565" s="132"/>
      <c r="D565" s="118"/>
      <c r="E565" s="118"/>
      <c r="F565" s="118"/>
      <c r="G565" s="118"/>
      <c r="H565" s="95" t="s">
        <v>6</v>
      </c>
      <c r="I565" s="94">
        <f t="shared" si="191"/>
        <v>1.3</v>
      </c>
      <c r="J565" s="94"/>
      <c r="K565" s="94">
        <v>0.4</v>
      </c>
      <c r="L565" s="94">
        <v>0.9</v>
      </c>
      <c r="M565" s="94"/>
      <c r="N565" s="94"/>
      <c r="O565" s="94"/>
      <c r="P565" s="118"/>
    </row>
    <row r="566" spans="2:17" outlineLevel="1" x14ac:dyDescent="0.2">
      <c r="B566" s="119"/>
      <c r="C566" s="133"/>
      <c r="D566" s="119"/>
      <c r="E566" s="119"/>
      <c r="F566" s="119"/>
      <c r="G566" s="119"/>
      <c r="H566" s="95" t="s">
        <v>5</v>
      </c>
      <c r="I566" s="94">
        <f t="shared" si="191"/>
        <v>0</v>
      </c>
      <c r="J566" s="94"/>
      <c r="K566" s="94"/>
      <c r="L566" s="94"/>
      <c r="M566" s="94"/>
      <c r="N566" s="94"/>
      <c r="O566" s="94"/>
      <c r="P566" s="119"/>
    </row>
    <row r="567" spans="2:17" ht="42.75" outlineLevel="1" x14ac:dyDescent="0.2">
      <c r="B567" s="117" t="s">
        <v>814</v>
      </c>
      <c r="C567" s="117"/>
      <c r="D567" s="117" t="s">
        <v>812</v>
      </c>
      <c r="E567" s="117">
        <v>2020</v>
      </c>
      <c r="F567" s="117" t="s">
        <v>815</v>
      </c>
      <c r="G567" s="117" t="s">
        <v>101</v>
      </c>
      <c r="H567" s="95" t="s">
        <v>3</v>
      </c>
      <c r="I567" s="94">
        <f t="shared" si="191"/>
        <v>11.6</v>
      </c>
      <c r="J567" s="94">
        <f t="shared" ref="J567" si="193">J568+J569+J570</f>
        <v>11.6</v>
      </c>
      <c r="K567" s="94">
        <v>0</v>
      </c>
      <c r="L567" s="94">
        <v>0</v>
      </c>
      <c r="M567" s="94">
        <f t="shared" ref="M567:O567" si="194">M568+M569+M570</f>
        <v>0</v>
      </c>
      <c r="N567" s="94">
        <f t="shared" si="194"/>
        <v>0</v>
      </c>
      <c r="O567" s="94">
        <f t="shared" si="194"/>
        <v>0</v>
      </c>
      <c r="P567" s="117">
        <v>22204</v>
      </c>
    </row>
    <row r="568" spans="2:17" outlineLevel="1" x14ac:dyDescent="0.2">
      <c r="B568" s="118"/>
      <c r="C568" s="132"/>
      <c r="D568" s="118"/>
      <c r="E568" s="118"/>
      <c r="F568" s="118"/>
      <c r="G568" s="118"/>
      <c r="H568" s="95" t="s">
        <v>4</v>
      </c>
      <c r="I568" s="94">
        <f t="shared" si="191"/>
        <v>0</v>
      </c>
      <c r="J568" s="94"/>
      <c r="K568" s="94"/>
      <c r="L568" s="94"/>
      <c r="M568" s="94"/>
      <c r="N568" s="94"/>
      <c r="O568" s="94"/>
      <c r="P568" s="118"/>
    </row>
    <row r="569" spans="2:17" outlineLevel="1" x14ac:dyDescent="0.2">
      <c r="B569" s="118"/>
      <c r="C569" s="132"/>
      <c r="D569" s="118"/>
      <c r="E569" s="118"/>
      <c r="F569" s="118"/>
      <c r="G569" s="118"/>
      <c r="H569" s="95" t="s">
        <v>6</v>
      </c>
      <c r="I569" s="94">
        <f t="shared" si="191"/>
        <v>11.6</v>
      </c>
      <c r="J569" s="94">
        <v>11.6</v>
      </c>
      <c r="K569" s="94"/>
      <c r="L569" s="94"/>
      <c r="M569" s="94"/>
      <c r="N569" s="94"/>
      <c r="O569" s="94"/>
      <c r="P569" s="118"/>
    </row>
    <row r="570" spans="2:17" outlineLevel="1" x14ac:dyDescent="0.2">
      <c r="B570" s="119"/>
      <c r="C570" s="133"/>
      <c r="D570" s="119"/>
      <c r="E570" s="119"/>
      <c r="F570" s="119"/>
      <c r="G570" s="119"/>
      <c r="H570" s="95" t="s">
        <v>5</v>
      </c>
      <c r="I570" s="94">
        <f t="shared" si="191"/>
        <v>0</v>
      </c>
      <c r="J570" s="94"/>
      <c r="K570" s="94"/>
      <c r="L570" s="94"/>
      <c r="M570" s="94"/>
      <c r="N570" s="94"/>
      <c r="O570" s="94"/>
      <c r="P570" s="119"/>
    </row>
    <row r="571" spans="2:17" ht="42.75" outlineLevel="1" x14ac:dyDescent="0.2">
      <c r="B571" s="117" t="s">
        <v>816</v>
      </c>
      <c r="C571" s="117"/>
      <c r="D571" s="117" t="s">
        <v>812</v>
      </c>
      <c r="E571" s="117" t="s">
        <v>568</v>
      </c>
      <c r="F571" s="117" t="s">
        <v>817</v>
      </c>
      <c r="G571" s="117" t="s">
        <v>101</v>
      </c>
      <c r="H571" s="95" t="s">
        <v>3</v>
      </c>
      <c r="I571" s="94">
        <f t="shared" si="191"/>
        <v>196</v>
      </c>
      <c r="J571" s="94">
        <f t="shared" ref="J571:O571" si="195">J572+J573+J574</f>
        <v>0</v>
      </c>
      <c r="K571" s="94">
        <v>0</v>
      </c>
      <c r="L571" s="94">
        <f t="shared" si="195"/>
        <v>39.200000000000003</v>
      </c>
      <c r="M571" s="94">
        <f t="shared" si="195"/>
        <v>39.200000000000003</v>
      </c>
      <c r="N571" s="94">
        <f t="shared" si="195"/>
        <v>78.400000000000006</v>
      </c>
      <c r="O571" s="94">
        <f t="shared" si="195"/>
        <v>39.200000000000003</v>
      </c>
      <c r="P571" s="117">
        <v>5472</v>
      </c>
    </row>
    <row r="572" spans="2:17" outlineLevel="1" x14ac:dyDescent="0.2">
      <c r="B572" s="118"/>
      <c r="C572" s="132"/>
      <c r="D572" s="118"/>
      <c r="E572" s="118"/>
      <c r="F572" s="118"/>
      <c r="G572" s="118"/>
      <c r="H572" s="95" t="s">
        <v>4</v>
      </c>
      <c r="I572" s="94">
        <f t="shared" si="191"/>
        <v>0</v>
      </c>
      <c r="J572" s="94"/>
      <c r="K572" s="94"/>
      <c r="L572" s="94"/>
      <c r="M572" s="94"/>
      <c r="N572" s="94"/>
      <c r="O572" s="94"/>
      <c r="P572" s="118"/>
    </row>
    <row r="573" spans="2:17" outlineLevel="1" x14ac:dyDescent="0.2">
      <c r="B573" s="118"/>
      <c r="C573" s="132"/>
      <c r="D573" s="118"/>
      <c r="E573" s="118"/>
      <c r="F573" s="118"/>
      <c r="G573" s="118"/>
      <c r="H573" s="95" t="s">
        <v>6</v>
      </c>
      <c r="I573" s="94">
        <f t="shared" si="191"/>
        <v>196</v>
      </c>
      <c r="J573" s="94"/>
      <c r="K573" s="94"/>
      <c r="L573" s="94">
        <v>39.200000000000003</v>
      </c>
      <c r="M573" s="94">
        <v>39.200000000000003</v>
      </c>
      <c r="N573" s="94">
        <v>78.400000000000006</v>
      </c>
      <c r="O573" s="94">
        <v>39.200000000000003</v>
      </c>
      <c r="P573" s="118"/>
    </row>
    <row r="574" spans="2:17" outlineLevel="1" x14ac:dyDescent="0.2">
      <c r="B574" s="119"/>
      <c r="C574" s="133"/>
      <c r="D574" s="119"/>
      <c r="E574" s="119"/>
      <c r="F574" s="119"/>
      <c r="G574" s="119"/>
      <c r="H574" s="95" t="s">
        <v>5</v>
      </c>
      <c r="I574" s="94">
        <f t="shared" si="191"/>
        <v>0</v>
      </c>
      <c r="J574" s="94"/>
      <c r="K574" s="94"/>
      <c r="L574" s="94"/>
      <c r="M574" s="94"/>
      <c r="N574" s="94"/>
      <c r="O574" s="94"/>
      <c r="P574" s="119"/>
    </row>
    <row r="575" spans="2:17" ht="42.75" outlineLevel="1" x14ac:dyDescent="0.2">
      <c r="B575" s="117" t="s">
        <v>818</v>
      </c>
      <c r="C575" s="117"/>
      <c r="D575" s="117" t="s">
        <v>812</v>
      </c>
      <c r="E575" s="117" t="s">
        <v>73</v>
      </c>
      <c r="F575" s="117"/>
      <c r="G575" s="117" t="s">
        <v>101</v>
      </c>
      <c r="H575" s="95" t="s">
        <v>3</v>
      </c>
      <c r="I575" s="94">
        <f t="shared" si="191"/>
        <v>18</v>
      </c>
      <c r="J575" s="94">
        <f t="shared" ref="J575:O575" si="196">J576+J577+J578</f>
        <v>0</v>
      </c>
      <c r="K575" s="94">
        <f t="shared" si="196"/>
        <v>2.7</v>
      </c>
      <c r="L575" s="94">
        <f t="shared" si="196"/>
        <v>2.7</v>
      </c>
      <c r="M575" s="94">
        <f t="shared" si="196"/>
        <v>7.2</v>
      </c>
      <c r="N575" s="94">
        <f t="shared" si="196"/>
        <v>2.7</v>
      </c>
      <c r="O575" s="94">
        <f t="shared" si="196"/>
        <v>2.7</v>
      </c>
      <c r="P575" s="117">
        <v>320</v>
      </c>
    </row>
    <row r="576" spans="2:17" outlineLevel="1" x14ac:dyDescent="0.2">
      <c r="B576" s="118"/>
      <c r="C576" s="132"/>
      <c r="D576" s="118"/>
      <c r="E576" s="118"/>
      <c r="F576" s="118"/>
      <c r="G576" s="118"/>
      <c r="H576" s="95" t="s">
        <v>4</v>
      </c>
      <c r="I576" s="94">
        <f t="shared" si="191"/>
        <v>0</v>
      </c>
      <c r="J576" s="94"/>
      <c r="K576" s="94"/>
      <c r="L576" s="94"/>
      <c r="M576" s="94"/>
      <c r="N576" s="94"/>
      <c r="O576" s="94"/>
      <c r="P576" s="118"/>
    </row>
    <row r="577" spans="2:18" outlineLevel="1" x14ac:dyDescent="0.2">
      <c r="B577" s="118"/>
      <c r="C577" s="132"/>
      <c r="D577" s="118"/>
      <c r="E577" s="118"/>
      <c r="F577" s="118"/>
      <c r="G577" s="118"/>
      <c r="H577" s="95" t="s">
        <v>6</v>
      </c>
      <c r="I577" s="94">
        <f t="shared" si="191"/>
        <v>18</v>
      </c>
      <c r="J577" s="94"/>
      <c r="K577" s="94">
        <v>2.7</v>
      </c>
      <c r="L577" s="94">
        <v>2.7</v>
      </c>
      <c r="M577" s="94">
        <v>7.2</v>
      </c>
      <c r="N577" s="94">
        <v>2.7</v>
      </c>
      <c r="O577" s="94">
        <v>2.7</v>
      </c>
      <c r="P577" s="118"/>
    </row>
    <row r="578" spans="2:18" outlineLevel="1" x14ac:dyDescent="0.2">
      <c r="B578" s="119"/>
      <c r="C578" s="133"/>
      <c r="D578" s="119"/>
      <c r="E578" s="119"/>
      <c r="F578" s="119"/>
      <c r="G578" s="119"/>
      <c r="H578" s="95" t="s">
        <v>5</v>
      </c>
      <c r="I578" s="94">
        <f t="shared" si="191"/>
        <v>0</v>
      </c>
      <c r="J578" s="94"/>
      <c r="K578" s="94"/>
      <c r="L578" s="94"/>
      <c r="M578" s="94"/>
      <c r="N578" s="94"/>
      <c r="O578" s="94"/>
      <c r="P578" s="119"/>
    </row>
    <row r="579" spans="2:18" ht="42.75" x14ac:dyDescent="0.2">
      <c r="B579" s="128" t="s">
        <v>414</v>
      </c>
      <c r="C579" s="128" t="s">
        <v>38</v>
      </c>
      <c r="D579" s="128" t="s">
        <v>38</v>
      </c>
      <c r="E579" s="128" t="s">
        <v>38</v>
      </c>
      <c r="F579" s="128" t="s">
        <v>38</v>
      </c>
      <c r="G579" s="128" t="s">
        <v>38</v>
      </c>
      <c r="H579" s="95" t="s">
        <v>3</v>
      </c>
      <c r="I579" s="14">
        <f t="shared" ref="I579:O579" si="197">SUMIF($H$563:$H$578,"Объем*",I$563:I$578)</f>
        <v>365</v>
      </c>
      <c r="J579" s="14">
        <f t="shared" si="197"/>
        <v>11.6</v>
      </c>
      <c r="K579" s="14">
        <f t="shared" si="197"/>
        <v>45.1</v>
      </c>
      <c r="L579" s="14">
        <f t="shared" si="197"/>
        <v>138.89999999999998</v>
      </c>
      <c r="M579" s="14">
        <f t="shared" si="197"/>
        <v>46.400000000000006</v>
      </c>
      <c r="N579" s="14">
        <f t="shared" si="197"/>
        <v>81.100000000000009</v>
      </c>
      <c r="O579" s="14">
        <f t="shared" si="197"/>
        <v>41.900000000000006</v>
      </c>
      <c r="P579" s="128"/>
      <c r="Q579" s="7"/>
      <c r="R579" s="7"/>
    </row>
    <row r="580" spans="2:18" ht="15.75" x14ac:dyDescent="0.2">
      <c r="B580" s="129"/>
      <c r="C580" s="129"/>
      <c r="D580" s="129"/>
      <c r="E580" s="129"/>
      <c r="F580" s="129"/>
      <c r="G580" s="129"/>
      <c r="H580" s="95" t="s">
        <v>4</v>
      </c>
      <c r="I580" s="14">
        <f t="shared" ref="I580:O580" si="198">SUMIF($H$563:$H$578,"фед*",I$563:I$578)</f>
        <v>138.1</v>
      </c>
      <c r="J580" s="14">
        <f t="shared" si="198"/>
        <v>0</v>
      </c>
      <c r="K580" s="14">
        <f t="shared" si="198"/>
        <v>42</v>
      </c>
      <c r="L580" s="14">
        <f t="shared" si="198"/>
        <v>96.1</v>
      </c>
      <c r="M580" s="14">
        <f t="shared" si="198"/>
        <v>0</v>
      </c>
      <c r="N580" s="14">
        <f t="shared" si="198"/>
        <v>0</v>
      </c>
      <c r="O580" s="14">
        <f t="shared" si="198"/>
        <v>0</v>
      </c>
      <c r="P580" s="129"/>
      <c r="Q580" s="7"/>
    </row>
    <row r="581" spans="2:18" ht="15.75" x14ac:dyDescent="0.2">
      <c r="B581" s="129"/>
      <c r="C581" s="129"/>
      <c r="D581" s="129"/>
      <c r="E581" s="129"/>
      <c r="F581" s="129"/>
      <c r="G581" s="129"/>
      <c r="H581" s="95" t="s">
        <v>6</v>
      </c>
      <c r="I581" s="14">
        <f t="shared" ref="I581:O581" si="199">SUMIF($H$563:$H$578,"конс*",I$563:I$578)</f>
        <v>226.9</v>
      </c>
      <c r="J581" s="14">
        <f t="shared" si="199"/>
        <v>11.6</v>
      </c>
      <c r="K581" s="14">
        <f t="shared" si="199"/>
        <v>3.1</v>
      </c>
      <c r="L581" s="14">
        <f t="shared" si="199"/>
        <v>42.800000000000004</v>
      </c>
      <c r="M581" s="14">
        <f t="shared" si="199"/>
        <v>46.400000000000006</v>
      </c>
      <c r="N581" s="14">
        <f t="shared" si="199"/>
        <v>81.100000000000009</v>
      </c>
      <c r="O581" s="14">
        <f t="shared" si="199"/>
        <v>41.900000000000006</v>
      </c>
      <c r="P581" s="129"/>
      <c r="Q581" s="7"/>
    </row>
    <row r="582" spans="2:18" ht="15.75" x14ac:dyDescent="0.2">
      <c r="B582" s="130"/>
      <c r="C582" s="130"/>
      <c r="D582" s="130"/>
      <c r="E582" s="130"/>
      <c r="F582" s="130"/>
      <c r="G582" s="130"/>
      <c r="H582" s="95" t="s">
        <v>5</v>
      </c>
      <c r="I582" s="14">
        <f t="shared" ref="I582:O582" si="200">SUMIF($H$563:$H$578,"вне*",I$563:I$578)</f>
        <v>0</v>
      </c>
      <c r="J582" s="14">
        <f t="shared" si="200"/>
        <v>0</v>
      </c>
      <c r="K582" s="14">
        <f t="shared" si="200"/>
        <v>0</v>
      </c>
      <c r="L582" s="14">
        <f t="shared" si="200"/>
        <v>0</v>
      </c>
      <c r="M582" s="14">
        <f t="shared" si="200"/>
        <v>0</v>
      </c>
      <c r="N582" s="14">
        <f t="shared" si="200"/>
        <v>0</v>
      </c>
      <c r="O582" s="14">
        <f t="shared" si="200"/>
        <v>0</v>
      </c>
      <c r="P582" s="130"/>
      <c r="Q582" s="7"/>
    </row>
    <row r="583" spans="2:18" ht="25.5" customHeight="1" x14ac:dyDescent="0.2">
      <c r="B583" s="111" t="s">
        <v>58</v>
      </c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3"/>
    </row>
    <row r="584" spans="2:18" ht="45" customHeight="1" outlineLevel="1" x14ac:dyDescent="0.2">
      <c r="B584" s="117" t="s">
        <v>819</v>
      </c>
      <c r="C584" s="117" t="s">
        <v>820</v>
      </c>
      <c r="D584" s="117" t="s">
        <v>821</v>
      </c>
      <c r="E584" s="117">
        <v>2020</v>
      </c>
      <c r="F584" s="117" t="s">
        <v>822</v>
      </c>
      <c r="G584" s="117" t="s">
        <v>823</v>
      </c>
      <c r="H584" s="95" t="s">
        <v>3</v>
      </c>
      <c r="I584" s="94">
        <f>SUM(J584:O584)</f>
        <v>8.8000000000000007</v>
      </c>
      <c r="J584" s="96">
        <v>8.8000000000000007</v>
      </c>
      <c r="K584" s="96">
        <f t="shared" ref="K584:O584" si="201">K585+K586+K587</f>
        <v>0</v>
      </c>
      <c r="L584" s="96">
        <f t="shared" si="201"/>
        <v>0</v>
      </c>
      <c r="M584" s="96">
        <f t="shared" si="201"/>
        <v>0</v>
      </c>
      <c r="N584" s="96">
        <f t="shared" si="201"/>
        <v>0</v>
      </c>
      <c r="O584" s="96">
        <f t="shared" si="201"/>
        <v>0</v>
      </c>
      <c r="P584" s="117"/>
    </row>
    <row r="585" spans="2:18" outlineLevel="1" x14ac:dyDescent="0.2">
      <c r="B585" s="118"/>
      <c r="C585" s="132"/>
      <c r="D585" s="118"/>
      <c r="E585" s="118"/>
      <c r="F585" s="118"/>
      <c r="G585" s="118"/>
      <c r="H585" s="95" t="s">
        <v>4</v>
      </c>
      <c r="I585" s="94"/>
      <c r="J585" s="96"/>
      <c r="K585" s="96"/>
      <c r="L585" s="96"/>
      <c r="M585" s="96"/>
      <c r="N585" s="96"/>
      <c r="O585" s="96"/>
      <c r="P585" s="118"/>
    </row>
    <row r="586" spans="2:18" outlineLevel="1" x14ac:dyDescent="0.2">
      <c r="B586" s="118"/>
      <c r="C586" s="132"/>
      <c r="D586" s="118"/>
      <c r="E586" s="118"/>
      <c r="F586" s="118"/>
      <c r="G586" s="118"/>
      <c r="H586" s="95" t="s">
        <v>6</v>
      </c>
      <c r="I586" s="94">
        <f>SUM(J586:O586)</f>
        <v>8.8000000000000007</v>
      </c>
      <c r="J586" s="96">
        <v>8.8000000000000007</v>
      </c>
      <c r="K586" s="96"/>
      <c r="L586" s="96"/>
      <c r="M586" s="96"/>
      <c r="N586" s="96"/>
      <c r="O586" s="96"/>
      <c r="P586" s="118"/>
    </row>
    <row r="587" spans="2:18" ht="15" customHeight="1" outlineLevel="1" x14ac:dyDescent="0.2">
      <c r="B587" s="119"/>
      <c r="C587" s="133"/>
      <c r="D587" s="119"/>
      <c r="E587" s="119"/>
      <c r="F587" s="119"/>
      <c r="G587" s="119"/>
      <c r="H587" s="95" t="s">
        <v>5</v>
      </c>
      <c r="I587" s="94"/>
      <c r="J587" s="96"/>
      <c r="K587" s="96"/>
      <c r="L587" s="96"/>
      <c r="M587" s="96"/>
      <c r="N587" s="96"/>
      <c r="O587" s="96"/>
      <c r="P587" s="119"/>
    </row>
    <row r="588" spans="2:18" ht="42.75" outlineLevel="1" x14ac:dyDescent="0.2">
      <c r="B588" s="117" t="s">
        <v>824</v>
      </c>
      <c r="C588" s="117" t="s">
        <v>820</v>
      </c>
      <c r="D588" s="117" t="s">
        <v>821</v>
      </c>
      <c r="E588" s="117">
        <v>2020</v>
      </c>
      <c r="F588" s="117" t="s">
        <v>822</v>
      </c>
      <c r="G588" s="117" t="s">
        <v>138</v>
      </c>
      <c r="H588" s="95" t="s">
        <v>3</v>
      </c>
      <c r="I588" s="94">
        <f>SUM(J588:O588)</f>
        <v>2.7</v>
      </c>
      <c r="J588" s="96"/>
      <c r="K588" s="96">
        <f t="shared" ref="K588:O588" si="202">K589+K590+K591</f>
        <v>0</v>
      </c>
      <c r="L588" s="96">
        <v>2.7</v>
      </c>
      <c r="M588" s="96">
        <f t="shared" si="202"/>
        <v>0</v>
      </c>
      <c r="N588" s="96">
        <f t="shared" si="202"/>
        <v>0</v>
      </c>
      <c r="O588" s="96">
        <f t="shared" si="202"/>
        <v>0</v>
      </c>
      <c r="P588" s="117"/>
    </row>
    <row r="589" spans="2:18" outlineLevel="1" x14ac:dyDescent="0.2">
      <c r="B589" s="118"/>
      <c r="C589" s="118"/>
      <c r="D589" s="118"/>
      <c r="E589" s="118"/>
      <c r="F589" s="118"/>
      <c r="G589" s="118"/>
      <c r="H589" s="95" t="s">
        <v>4</v>
      </c>
      <c r="I589" s="94">
        <f>SUM(J589:O589)</f>
        <v>0</v>
      </c>
      <c r="J589" s="96"/>
      <c r="K589" s="96"/>
      <c r="L589" s="96"/>
      <c r="M589" s="96"/>
      <c r="N589" s="96"/>
      <c r="O589" s="96"/>
      <c r="P589" s="118"/>
    </row>
    <row r="590" spans="2:18" outlineLevel="1" x14ac:dyDescent="0.2">
      <c r="B590" s="118"/>
      <c r="C590" s="118"/>
      <c r="D590" s="118"/>
      <c r="E590" s="118"/>
      <c r="F590" s="118"/>
      <c r="G590" s="118"/>
      <c r="H590" s="95" t="s">
        <v>6</v>
      </c>
      <c r="I590" s="94">
        <f>SUM(J590:O590)</f>
        <v>2.7</v>
      </c>
      <c r="J590" s="96"/>
      <c r="K590" s="96"/>
      <c r="L590" s="96">
        <v>2.7</v>
      </c>
      <c r="M590" s="96"/>
      <c r="N590" s="96"/>
      <c r="O590" s="96"/>
      <c r="P590" s="118"/>
    </row>
    <row r="591" spans="2:18" outlineLevel="1" x14ac:dyDescent="0.2">
      <c r="B591" s="119"/>
      <c r="C591" s="119"/>
      <c r="D591" s="119"/>
      <c r="E591" s="119"/>
      <c r="F591" s="119"/>
      <c r="G591" s="119"/>
      <c r="H591" s="95" t="s">
        <v>5</v>
      </c>
      <c r="I591" s="94"/>
      <c r="J591" s="96"/>
      <c r="K591" s="96"/>
      <c r="L591" s="96"/>
      <c r="M591" s="96"/>
      <c r="N591" s="96"/>
      <c r="O591" s="96"/>
      <c r="P591" s="119"/>
    </row>
    <row r="592" spans="2:18" ht="45" customHeight="1" outlineLevel="1" x14ac:dyDescent="0.2">
      <c r="B592" s="117" t="s">
        <v>825</v>
      </c>
      <c r="C592" s="117" t="s">
        <v>628</v>
      </c>
      <c r="D592" s="117" t="s">
        <v>418</v>
      </c>
      <c r="E592" s="117">
        <v>2022</v>
      </c>
      <c r="F592" s="117" t="s">
        <v>629</v>
      </c>
      <c r="G592" s="117" t="s">
        <v>138</v>
      </c>
      <c r="H592" s="95" t="s">
        <v>3</v>
      </c>
      <c r="I592" s="94">
        <f>SUM(J592:O592)</f>
        <v>43.4</v>
      </c>
      <c r="J592" s="96">
        <f t="shared" ref="J592:O592" si="203">J593+J594+J595</f>
        <v>0</v>
      </c>
      <c r="K592" s="96">
        <f t="shared" si="203"/>
        <v>0</v>
      </c>
      <c r="L592" s="96">
        <f t="shared" si="203"/>
        <v>43.4</v>
      </c>
      <c r="M592" s="96">
        <f t="shared" si="203"/>
        <v>0</v>
      </c>
      <c r="N592" s="96">
        <f t="shared" si="203"/>
        <v>0</v>
      </c>
      <c r="O592" s="96">
        <f t="shared" si="203"/>
        <v>0</v>
      </c>
      <c r="P592" s="117"/>
    </row>
    <row r="593" spans="2:16" outlineLevel="1" x14ac:dyDescent="0.2">
      <c r="B593" s="118"/>
      <c r="C593" s="132"/>
      <c r="D593" s="118"/>
      <c r="E593" s="118"/>
      <c r="F593" s="118"/>
      <c r="G593" s="118"/>
      <c r="H593" s="95" t="s">
        <v>4</v>
      </c>
      <c r="I593" s="94">
        <f>SUM(J593:O593)</f>
        <v>43</v>
      </c>
      <c r="J593" s="96"/>
      <c r="K593" s="96"/>
      <c r="L593" s="96">
        <v>43</v>
      </c>
      <c r="M593" s="96"/>
      <c r="N593" s="96"/>
      <c r="O593" s="96"/>
      <c r="P593" s="118"/>
    </row>
    <row r="594" spans="2:16" outlineLevel="1" x14ac:dyDescent="0.2">
      <c r="B594" s="118"/>
      <c r="C594" s="132"/>
      <c r="D594" s="118"/>
      <c r="E594" s="118"/>
      <c r="F594" s="118"/>
      <c r="G594" s="118"/>
      <c r="H594" s="95" t="s">
        <v>6</v>
      </c>
      <c r="I594" s="94">
        <f>SUM(J594:O594)</f>
        <v>0.4</v>
      </c>
      <c r="J594" s="96"/>
      <c r="K594" s="96"/>
      <c r="L594" s="96">
        <v>0.4</v>
      </c>
      <c r="M594" s="96"/>
      <c r="N594" s="96"/>
      <c r="O594" s="96"/>
      <c r="P594" s="118"/>
    </row>
    <row r="595" spans="2:16" ht="15" customHeight="1" outlineLevel="1" x14ac:dyDescent="0.2">
      <c r="B595" s="119"/>
      <c r="C595" s="133"/>
      <c r="D595" s="119"/>
      <c r="E595" s="119"/>
      <c r="F595" s="119"/>
      <c r="G595" s="119"/>
      <c r="H595" s="95" t="s">
        <v>5</v>
      </c>
      <c r="I595" s="94"/>
      <c r="J595" s="96"/>
      <c r="K595" s="96"/>
      <c r="L595" s="96"/>
      <c r="M595" s="96"/>
      <c r="N595" s="96"/>
      <c r="O595" s="96"/>
      <c r="P595" s="119"/>
    </row>
    <row r="596" spans="2:16" ht="45" customHeight="1" outlineLevel="1" x14ac:dyDescent="0.2">
      <c r="B596" s="117" t="s">
        <v>826</v>
      </c>
      <c r="C596" s="117" t="s">
        <v>820</v>
      </c>
      <c r="D596" s="117" t="s">
        <v>58</v>
      </c>
      <c r="E596" s="117">
        <v>2021</v>
      </c>
      <c r="F596" s="117" t="s">
        <v>827</v>
      </c>
      <c r="G596" s="117" t="s">
        <v>63</v>
      </c>
      <c r="H596" s="95" t="s">
        <v>3</v>
      </c>
      <c r="I596" s="94">
        <f>SUM(J596:O596)</f>
        <v>21.64</v>
      </c>
      <c r="J596" s="96">
        <v>0</v>
      </c>
      <c r="K596" s="96">
        <f t="shared" ref="K596:O596" si="204">K597+K598+K599</f>
        <v>21.64</v>
      </c>
      <c r="L596" s="96">
        <f t="shared" si="204"/>
        <v>0</v>
      </c>
      <c r="M596" s="96">
        <f t="shared" si="204"/>
        <v>0</v>
      </c>
      <c r="N596" s="96">
        <f t="shared" si="204"/>
        <v>0</v>
      </c>
      <c r="O596" s="96">
        <f t="shared" si="204"/>
        <v>0</v>
      </c>
      <c r="P596" s="117">
        <v>691</v>
      </c>
    </row>
    <row r="597" spans="2:16" outlineLevel="1" x14ac:dyDescent="0.2">
      <c r="B597" s="118"/>
      <c r="C597" s="132"/>
      <c r="D597" s="118"/>
      <c r="E597" s="118"/>
      <c r="F597" s="118"/>
      <c r="G597" s="118"/>
      <c r="H597" s="95" t="s">
        <v>4</v>
      </c>
      <c r="I597" s="94"/>
      <c r="J597" s="96"/>
      <c r="K597" s="96"/>
      <c r="L597" s="96"/>
      <c r="M597" s="96"/>
      <c r="N597" s="96"/>
      <c r="O597" s="96"/>
      <c r="P597" s="118"/>
    </row>
    <row r="598" spans="2:16" outlineLevel="1" x14ac:dyDescent="0.2">
      <c r="B598" s="118"/>
      <c r="C598" s="132"/>
      <c r="D598" s="118"/>
      <c r="E598" s="118"/>
      <c r="F598" s="118"/>
      <c r="G598" s="118"/>
      <c r="H598" s="95" t="s">
        <v>6</v>
      </c>
      <c r="I598" s="94">
        <f>SUM(J598:O598)</f>
        <v>21.64</v>
      </c>
      <c r="J598" s="96"/>
      <c r="K598" s="96">
        <v>21.64</v>
      </c>
      <c r="L598" s="96"/>
      <c r="M598" s="96"/>
      <c r="N598" s="96"/>
      <c r="O598" s="96"/>
      <c r="P598" s="118"/>
    </row>
    <row r="599" spans="2:16" outlineLevel="1" x14ac:dyDescent="0.2">
      <c r="B599" s="119"/>
      <c r="C599" s="133"/>
      <c r="D599" s="119"/>
      <c r="E599" s="119"/>
      <c r="F599" s="119"/>
      <c r="G599" s="119"/>
      <c r="H599" s="95" t="s">
        <v>5</v>
      </c>
      <c r="I599" s="94"/>
      <c r="J599" s="96"/>
      <c r="K599" s="96"/>
      <c r="L599" s="96"/>
      <c r="M599" s="96"/>
      <c r="N599" s="96"/>
      <c r="O599" s="96"/>
      <c r="P599" s="119"/>
    </row>
    <row r="600" spans="2:16" ht="42.75" customHeight="1" outlineLevel="1" x14ac:dyDescent="0.2">
      <c r="B600" s="117" t="s">
        <v>828</v>
      </c>
      <c r="C600" s="117" t="s">
        <v>820</v>
      </c>
      <c r="D600" s="117" t="s">
        <v>418</v>
      </c>
      <c r="E600" s="117">
        <v>2021</v>
      </c>
      <c r="F600" s="117"/>
      <c r="G600" s="117" t="s">
        <v>63</v>
      </c>
      <c r="H600" s="95" t="s">
        <v>3</v>
      </c>
      <c r="I600" s="94">
        <f>SUM(J600:O600)</f>
        <v>10</v>
      </c>
      <c r="J600" s="96"/>
      <c r="K600" s="96">
        <v>10</v>
      </c>
      <c r="L600" s="96"/>
      <c r="M600" s="96"/>
      <c r="N600" s="96"/>
      <c r="O600" s="96"/>
      <c r="P600" s="117">
        <v>14969</v>
      </c>
    </row>
    <row r="601" spans="2:16" outlineLevel="1" x14ac:dyDescent="0.2">
      <c r="B601" s="118"/>
      <c r="C601" s="132"/>
      <c r="D601" s="118"/>
      <c r="E601" s="118"/>
      <c r="F601" s="118"/>
      <c r="G601" s="118"/>
      <c r="H601" s="95" t="s">
        <v>4</v>
      </c>
      <c r="I601" s="94"/>
      <c r="J601" s="96"/>
      <c r="K601" s="96"/>
      <c r="L601" s="96"/>
      <c r="M601" s="96"/>
      <c r="N601" s="96"/>
      <c r="O601" s="96"/>
      <c r="P601" s="118"/>
    </row>
    <row r="602" spans="2:16" outlineLevel="1" x14ac:dyDescent="0.2">
      <c r="B602" s="118"/>
      <c r="C602" s="132"/>
      <c r="D602" s="118"/>
      <c r="E602" s="118"/>
      <c r="F602" s="118"/>
      <c r="G602" s="118"/>
      <c r="H602" s="95" t="s">
        <v>6</v>
      </c>
      <c r="I602" s="94">
        <f>SUM(J602:O602)</f>
        <v>10</v>
      </c>
      <c r="J602" s="96"/>
      <c r="K602" s="96">
        <v>10</v>
      </c>
      <c r="L602" s="96"/>
      <c r="M602" s="96"/>
      <c r="N602" s="96"/>
      <c r="O602" s="96"/>
      <c r="P602" s="118"/>
    </row>
    <row r="603" spans="2:16" outlineLevel="1" x14ac:dyDescent="0.2">
      <c r="B603" s="119"/>
      <c r="C603" s="133"/>
      <c r="D603" s="119"/>
      <c r="E603" s="119"/>
      <c r="F603" s="119"/>
      <c r="G603" s="119"/>
      <c r="H603" s="95" t="s">
        <v>5</v>
      </c>
      <c r="I603" s="94"/>
      <c r="J603" s="96"/>
      <c r="K603" s="96"/>
      <c r="L603" s="96"/>
      <c r="M603" s="96"/>
      <c r="N603" s="96"/>
      <c r="O603" s="96"/>
      <c r="P603" s="119"/>
    </row>
    <row r="604" spans="2:16" ht="45" customHeight="1" outlineLevel="1" x14ac:dyDescent="0.2">
      <c r="B604" s="117" t="s">
        <v>829</v>
      </c>
      <c r="C604" s="117"/>
      <c r="D604" s="117" t="s">
        <v>418</v>
      </c>
      <c r="E604" s="117" t="s">
        <v>203</v>
      </c>
      <c r="F604" s="117"/>
      <c r="G604" s="117" t="s">
        <v>138</v>
      </c>
      <c r="H604" s="95" t="s">
        <v>3</v>
      </c>
      <c r="I604" s="94">
        <f>SUM(J604:O604)</f>
        <v>3.5</v>
      </c>
      <c r="J604" s="96">
        <v>0.5</v>
      </c>
      <c r="K604" s="96">
        <v>3</v>
      </c>
      <c r="L604" s="96"/>
      <c r="M604" s="96"/>
      <c r="N604" s="96"/>
      <c r="O604" s="96"/>
      <c r="P604" s="117">
        <v>34792</v>
      </c>
    </row>
    <row r="605" spans="2:16" outlineLevel="1" x14ac:dyDescent="0.2">
      <c r="B605" s="118"/>
      <c r="C605" s="132"/>
      <c r="D605" s="118"/>
      <c r="E605" s="118"/>
      <c r="F605" s="118"/>
      <c r="G605" s="118"/>
      <c r="H605" s="95" t="s">
        <v>4</v>
      </c>
      <c r="I605" s="94"/>
      <c r="J605" s="96"/>
      <c r="K605" s="96"/>
      <c r="L605" s="96"/>
      <c r="M605" s="96"/>
      <c r="N605" s="96"/>
      <c r="O605" s="96"/>
      <c r="P605" s="118"/>
    </row>
    <row r="606" spans="2:16" outlineLevel="1" x14ac:dyDescent="0.2">
      <c r="B606" s="118"/>
      <c r="C606" s="132"/>
      <c r="D606" s="118"/>
      <c r="E606" s="118"/>
      <c r="F606" s="118"/>
      <c r="G606" s="118"/>
      <c r="H606" s="95" t="s">
        <v>6</v>
      </c>
      <c r="I606" s="94">
        <f>SUM(J606:O606)</f>
        <v>3.5</v>
      </c>
      <c r="J606" s="96">
        <v>0.5</v>
      </c>
      <c r="K606" s="96">
        <v>3</v>
      </c>
      <c r="L606" s="96"/>
      <c r="M606" s="96"/>
      <c r="N606" s="96"/>
      <c r="O606" s="96"/>
      <c r="P606" s="118"/>
    </row>
    <row r="607" spans="2:16" outlineLevel="1" x14ac:dyDescent="0.2">
      <c r="B607" s="119"/>
      <c r="C607" s="133"/>
      <c r="D607" s="119"/>
      <c r="E607" s="119"/>
      <c r="F607" s="119"/>
      <c r="G607" s="119"/>
      <c r="H607" s="95" t="s">
        <v>5</v>
      </c>
      <c r="I607" s="94"/>
      <c r="J607" s="96"/>
      <c r="K607" s="96"/>
      <c r="L607" s="96"/>
      <c r="M607" s="96"/>
      <c r="N607" s="96"/>
      <c r="O607" s="96"/>
      <c r="P607" s="119"/>
    </row>
    <row r="608" spans="2:16" ht="45" customHeight="1" outlineLevel="1" x14ac:dyDescent="0.2">
      <c r="B608" s="117" t="s">
        <v>830</v>
      </c>
      <c r="C608" s="117"/>
      <c r="D608" s="117" t="s">
        <v>418</v>
      </c>
      <c r="E608" s="117">
        <v>2021</v>
      </c>
      <c r="F608" s="117"/>
      <c r="G608" s="117" t="s">
        <v>823</v>
      </c>
      <c r="H608" s="95" t="s">
        <v>3</v>
      </c>
      <c r="I608" s="94">
        <f>SUM(J608:O608)</f>
        <v>3.5</v>
      </c>
      <c r="J608" s="96"/>
      <c r="K608" s="96">
        <v>3.5</v>
      </c>
      <c r="L608" s="96"/>
      <c r="M608" s="96"/>
      <c r="N608" s="96"/>
      <c r="O608" s="96"/>
      <c r="P608" s="117">
        <v>2000</v>
      </c>
    </row>
    <row r="609" spans="2:16" outlineLevel="1" x14ac:dyDescent="0.2">
      <c r="B609" s="118"/>
      <c r="C609" s="132"/>
      <c r="D609" s="118"/>
      <c r="E609" s="118"/>
      <c r="F609" s="118"/>
      <c r="G609" s="118"/>
      <c r="H609" s="95" t="s">
        <v>4</v>
      </c>
      <c r="I609" s="94"/>
      <c r="J609" s="96"/>
      <c r="K609" s="96"/>
      <c r="L609" s="96"/>
      <c r="M609" s="96"/>
      <c r="N609" s="96"/>
      <c r="O609" s="96"/>
      <c r="P609" s="118"/>
    </row>
    <row r="610" spans="2:16" outlineLevel="1" x14ac:dyDescent="0.2">
      <c r="B610" s="118"/>
      <c r="C610" s="132"/>
      <c r="D610" s="118"/>
      <c r="E610" s="118"/>
      <c r="F610" s="118"/>
      <c r="G610" s="118"/>
      <c r="H610" s="95" t="s">
        <v>6</v>
      </c>
      <c r="I610" s="94">
        <f>SUM(J610:O610)</f>
        <v>3.5</v>
      </c>
      <c r="J610" s="96"/>
      <c r="K610" s="96">
        <v>3.5</v>
      </c>
      <c r="L610" s="96"/>
      <c r="M610" s="96"/>
      <c r="N610" s="96"/>
      <c r="O610" s="96"/>
      <c r="P610" s="118"/>
    </row>
    <row r="611" spans="2:16" ht="15" customHeight="1" outlineLevel="1" x14ac:dyDescent="0.2">
      <c r="B611" s="119"/>
      <c r="C611" s="133"/>
      <c r="D611" s="119"/>
      <c r="E611" s="119"/>
      <c r="F611" s="119"/>
      <c r="G611" s="119"/>
      <c r="H611" s="95" t="s">
        <v>5</v>
      </c>
      <c r="I611" s="94"/>
      <c r="J611" s="96"/>
      <c r="K611" s="96"/>
      <c r="L611" s="96"/>
      <c r="M611" s="96"/>
      <c r="N611" s="96"/>
      <c r="O611" s="96"/>
      <c r="P611" s="119"/>
    </row>
    <row r="612" spans="2:16" ht="45" customHeight="1" outlineLevel="1" x14ac:dyDescent="0.2">
      <c r="B612" s="117" t="s">
        <v>831</v>
      </c>
      <c r="C612" s="117" t="s">
        <v>820</v>
      </c>
      <c r="D612" s="117" t="s">
        <v>418</v>
      </c>
      <c r="E612" s="117">
        <v>2021</v>
      </c>
      <c r="F612" s="117" t="s">
        <v>832</v>
      </c>
      <c r="G612" s="117" t="s">
        <v>63</v>
      </c>
      <c r="H612" s="95" t="s">
        <v>3</v>
      </c>
      <c r="I612" s="94">
        <f>SUM(J612:O612)</f>
        <v>100</v>
      </c>
      <c r="J612" s="96"/>
      <c r="K612" s="96">
        <v>100</v>
      </c>
      <c r="L612" s="96"/>
      <c r="M612" s="96"/>
      <c r="N612" s="96"/>
      <c r="O612" s="96"/>
      <c r="P612" s="117">
        <v>14969</v>
      </c>
    </row>
    <row r="613" spans="2:16" outlineLevel="1" x14ac:dyDescent="0.2">
      <c r="B613" s="118"/>
      <c r="C613" s="132"/>
      <c r="D613" s="118"/>
      <c r="E613" s="118"/>
      <c r="F613" s="118"/>
      <c r="G613" s="118"/>
      <c r="H613" s="95" t="s">
        <v>4</v>
      </c>
      <c r="I613" s="94"/>
      <c r="J613" s="96"/>
      <c r="K613" s="96"/>
      <c r="L613" s="96"/>
      <c r="M613" s="96"/>
      <c r="N613" s="96"/>
      <c r="O613" s="96"/>
      <c r="P613" s="118"/>
    </row>
    <row r="614" spans="2:16" outlineLevel="1" x14ac:dyDescent="0.2">
      <c r="B614" s="118"/>
      <c r="C614" s="132"/>
      <c r="D614" s="118"/>
      <c r="E614" s="118"/>
      <c r="F614" s="118"/>
      <c r="G614" s="118"/>
      <c r="H614" s="95" t="s">
        <v>6</v>
      </c>
      <c r="I614" s="94">
        <f>SUM(J614:O614)</f>
        <v>100</v>
      </c>
      <c r="J614" s="96"/>
      <c r="K614" s="96">
        <v>100</v>
      </c>
      <c r="L614" s="96"/>
      <c r="M614" s="96"/>
      <c r="N614" s="96"/>
      <c r="O614" s="96"/>
      <c r="P614" s="118"/>
    </row>
    <row r="615" spans="2:16" outlineLevel="1" x14ac:dyDescent="0.2">
      <c r="B615" s="119"/>
      <c r="C615" s="133"/>
      <c r="D615" s="119"/>
      <c r="E615" s="119"/>
      <c r="F615" s="119"/>
      <c r="G615" s="119"/>
      <c r="H615" s="95" t="s">
        <v>5</v>
      </c>
      <c r="I615" s="94"/>
      <c r="J615" s="96"/>
      <c r="K615" s="96"/>
      <c r="L615" s="96"/>
      <c r="M615" s="96"/>
      <c r="N615" s="96"/>
      <c r="O615" s="96"/>
      <c r="P615" s="119"/>
    </row>
    <row r="616" spans="2:16" ht="42.75" outlineLevel="1" x14ac:dyDescent="0.2">
      <c r="B616" s="117" t="s">
        <v>833</v>
      </c>
      <c r="C616" s="117" t="s">
        <v>820</v>
      </c>
      <c r="D616" s="117" t="s">
        <v>58</v>
      </c>
      <c r="E616" s="117">
        <v>2023</v>
      </c>
      <c r="F616" s="117" t="s">
        <v>834</v>
      </c>
      <c r="G616" s="117" t="s">
        <v>63</v>
      </c>
      <c r="H616" s="95" t="s">
        <v>3</v>
      </c>
      <c r="I616" s="94">
        <f>SUM(J616:O616)</f>
        <v>17.77</v>
      </c>
      <c r="J616" s="96">
        <v>0</v>
      </c>
      <c r="K616" s="96">
        <f t="shared" ref="K616:O616" si="205">K617+K618+K619</f>
        <v>0</v>
      </c>
      <c r="L616" s="96">
        <f t="shared" si="205"/>
        <v>0</v>
      </c>
      <c r="M616" s="96">
        <f t="shared" si="205"/>
        <v>17.77</v>
      </c>
      <c r="N616" s="96">
        <f t="shared" si="205"/>
        <v>0</v>
      </c>
      <c r="O616" s="96">
        <f t="shared" si="205"/>
        <v>0</v>
      </c>
      <c r="P616" s="117">
        <v>540</v>
      </c>
    </row>
    <row r="617" spans="2:16" outlineLevel="1" x14ac:dyDescent="0.2">
      <c r="B617" s="118"/>
      <c r="C617" s="118"/>
      <c r="D617" s="118"/>
      <c r="E617" s="118"/>
      <c r="F617" s="118"/>
      <c r="G617" s="118"/>
      <c r="H617" s="95" t="s">
        <v>4</v>
      </c>
      <c r="I617" s="94">
        <f>SUM(J617:O617)</f>
        <v>0</v>
      </c>
      <c r="J617" s="96"/>
      <c r="K617" s="96"/>
      <c r="L617" s="96"/>
      <c r="M617" s="96"/>
      <c r="N617" s="96"/>
      <c r="O617" s="96"/>
      <c r="P617" s="118"/>
    </row>
    <row r="618" spans="2:16" outlineLevel="1" x14ac:dyDescent="0.2">
      <c r="B618" s="118"/>
      <c r="C618" s="118"/>
      <c r="D618" s="118"/>
      <c r="E618" s="118"/>
      <c r="F618" s="118"/>
      <c r="G618" s="118"/>
      <c r="H618" s="95" t="s">
        <v>6</v>
      </c>
      <c r="I618" s="94">
        <f>SUM(J618:O618)</f>
        <v>17.77</v>
      </c>
      <c r="J618" s="96"/>
      <c r="K618" s="96"/>
      <c r="L618" s="96"/>
      <c r="M618" s="96">
        <v>17.77</v>
      </c>
      <c r="N618" s="96"/>
      <c r="O618" s="96"/>
      <c r="P618" s="118"/>
    </row>
    <row r="619" spans="2:16" outlineLevel="1" x14ac:dyDescent="0.2">
      <c r="B619" s="119"/>
      <c r="C619" s="119"/>
      <c r="D619" s="119"/>
      <c r="E619" s="119"/>
      <c r="F619" s="119"/>
      <c r="G619" s="119"/>
      <c r="H619" s="95" t="s">
        <v>5</v>
      </c>
      <c r="I619" s="94"/>
      <c r="J619" s="96"/>
      <c r="K619" s="96"/>
      <c r="L619" s="96"/>
      <c r="M619" s="96"/>
      <c r="N619" s="96"/>
      <c r="O619" s="96"/>
      <c r="P619" s="119"/>
    </row>
    <row r="620" spans="2:16" ht="45" customHeight="1" outlineLevel="1" x14ac:dyDescent="0.2">
      <c r="B620" s="117" t="s">
        <v>835</v>
      </c>
      <c r="C620" s="117" t="s">
        <v>820</v>
      </c>
      <c r="D620" s="117" t="s">
        <v>58</v>
      </c>
      <c r="E620" s="117">
        <v>2021</v>
      </c>
      <c r="F620" s="117" t="s">
        <v>836</v>
      </c>
      <c r="G620" s="117" t="s">
        <v>63</v>
      </c>
      <c r="H620" s="95" t="s">
        <v>3</v>
      </c>
      <c r="I620" s="94">
        <f>SUM(J620:O620)</f>
        <v>5.2</v>
      </c>
      <c r="J620" s="96">
        <f t="shared" ref="J620:O620" si="206">J621+J622+J623</f>
        <v>0</v>
      </c>
      <c r="K620" s="96">
        <f t="shared" si="206"/>
        <v>5.2</v>
      </c>
      <c r="L620" s="96">
        <v>0</v>
      </c>
      <c r="M620" s="96">
        <f t="shared" si="206"/>
        <v>0</v>
      </c>
      <c r="N620" s="96">
        <f t="shared" si="206"/>
        <v>0</v>
      </c>
      <c r="O620" s="96">
        <f t="shared" si="206"/>
        <v>0</v>
      </c>
      <c r="P620" s="117">
        <v>691</v>
      </c>
    </row>
    <row r="621" spans="2:16" outlineLevel="1" x14ac:dyDescent="0.2">
      <c r="B621" s="118"/>
      <c r="C621" s="132"/>
      <c r="D621" s="118"/>
      <c r="E621" s="118"/>
      <c r="F621" s="118"/>
      <c r="G621" s="118"/>
      <c r="H621" s="95" t="s">
        <v>4</v>
      </c>
      <c r="I621" s="94"/>
      <c r="J621" s="96"/>
      <c r="K621" s="96"/>
      <c r="L621" s="96"/>
      <c r="M621" s="96"/>
      <c r="N621" s="96"/>
      <c r="O621" s="96"/>
      <c r="P621" s="118"/>
    </row>
    <row r="622" spans="2:16" outlineLevel="1" x14ac:dyDescent="0.2">
      <c r="B622" s="118"/>
      <c r="C622" s="132"/>
      <c r="D622" s="118"/>
      <c r="E622" s="118"/>
      <c r="F622" s="118"/>
      <c r="G622" s="118"/>
      <c r="H622" s="95" t="s">
        <v>6</v>
      </c>
      <c r="I622" s="94">
        <f>SUM(J622:O622)</f>
        <v>5.2</v>
      </c>
      <c r="J622" s="96"/>
      <c r="K622" s="96">
        <v>5.2</v>
      </c>
      <c r="L622" s="96"/>
      <c r="M622" s="96"/>
      <c r="N622" s="96"/>
      <c r="O622" s="96"/>
      <c r="P622" s="118"/>
    </row>
    <row r="623" spans="2:16" ht="15" customHeight="1" outlineLevel="1" x14ac:dyDescent="0.2">
      <c r="B623" s="119"/>
      <c r="C623" s="133"/>
      <c r="D623" s="119"/>
      <c r="E623" s="119"/>
      <c r="F623" s="119"/>
      <c r="G623" s="119"/>
      <c r="H623" s="95" t="s">
        <v>5</v>
      </c>
      <c r="I623" s="94"/>
      <c r="J623" s="96"/>
      <c r="K623" s="96"/>
      <c r="L623" s="96"/>
      <c r="M623" s="96"/>
      <c r="N623" s="96"/>
      <c r="O623" s="96"/>
      <c r="P623" s="119"/>
    </row>
    <row r="624" spans="2:16" ht="45" customHeight="1" outlineLevel="1" x14ac:dyDescent="0.2">
      <c r="B624" s="117" t="s">
        <v>837</v>
      </c>
      <c r="C624" s="117" t="s">
        <v>820</v>
      </c>
      <c r="D624" s="117" t="s">
        <v>58</v>
      </c>
      <c r="E624" s="117">
        <v>2022</v>
      </c>
      <c r="F624" s="117" t="s">
        <v>838</v>
      </c>
      <c r="G624" s="117" t="s">
        <v>63</v>
      </c>
      <c r="H624" s="95" t="s">
        <v>3</v>
      </c>
      <c r="I624" s="94">
        <f>SUM(J624:O624)</f>
        <v>7.8</v>
      </c>
      <c r="J624" s="96">
        <v>0</v>
      </c>
      <c r="K624" s="96">
        <f t="shared" ref="K624:O624" si="207">K625+K626+K627</f>
        <v>0</v>
      </c>
      <c r="L624" s="96">
        <f t="shared" si="207"/>
        <v>7.8</v>
      </c>
      <c r="M624" s="96">
        <f t="shared" si="207"/>
        <v>0</v>
      </c>
      <c r="N624" s="96">
        <f t="shared" si="207"/>
        <v>0</v>
      </c>
      <c r="O624" s="96">
        <f t="shared" si="207"/>
        <v>0</v>
      </c>
      <c r="P624" s="117">
        <v>385</v>
      </c>
    </row>
    <row r="625" spans="2:18" outlineLevel="1" x14ac:dyDescent="0.2">
      <c r="B625" s="118"/>
      <c r="C625" s="132"/>
      <c r="D625" s="118"/>
      <c r="E625" s="118"/>
      <c r="F625" s="118"/>
      <c r="G625" s="118"/>
      <c r="H625" s="95" t="s">
        <v>4</v>
      </c>
      <c r="I625" s="94"/>
      <c r="J625" s="96"/>
      <c r="K625" s="96"/>
      <c r="L625" s="96"/>
      <c r="M625" s="96"/>
      <c r="N625" s="96"/>
      <c r="O625" s="96"/>
      <c r="P625" s="118"/>
    </row>
    <row r="626" spans="2:18" outlineLevel="1" x14ac:dyDescent="0.2">
      <c r="B626" s="118"/>
      <c r="C626" s="132"/>
      <c r="D626" s="118"/>
      <c r="E626" s="118"/>
      <c r="F626" s="118"/>
      <c r="G626" s="118"/>
      <c r="H626" s="95" t="s">
        <v>6</v>
      </c>
      <c r="I626" s="94">
        <f>SUM(J626:O626)</f>
        <v>7.8</v>
      </c>
      <c r="J626" s="96"/>
      <c r="K626" s="96"/>
      <c r="L626" s="96">
        <v>7.8</v>
      </c>
      <c r="M626" s="96"/>
      <c r="N626" s="96"/>
      <c r="O626" s="96"/>
      <c r="P626" s="118"/>
    </row>
    <row r="627" spans="2:18" outlineLevel="1" x14ac:dyDescent="0.2">
      <c r="B627" s="119"/>
      <c r="C627" s="133"/>
      <c r="D627" s="119"/>
      <c r="E627" s="119"/>
      <c r="F627" s="119"/>
      <c r="G627" s="119"/>
      <c r="H627" s="95" t="s">
        <v>5</v>
      </c>
      <c r="I627" s="94"/>
      <c r="J627" s="96"/>
      <c r="K627" s="96"/>
      <c r="L627" s="96"/>
      <c r="M627" s="96"/>
      <c r="N627" s="96"/>
      <c r="O627" s="96"/>
      <c r="P627" s="119"/>
    </row>
    <row r="628" spans="2:18" ht="42.75" customHeight="1" outlineLevel="1" x14ac:dyDescent="0.2">
      <c r="B628" s="117" t="s">
        <v>839</v>
      </c>
      <c r="C628" s="117" t="s">
        <v>820</v>
      </c>
      <c r="D628" s="117" t="s">
        <v>58</v>
      </c>
      <c r="E628" s="117">
        <v>2020</v>
      </c>
      <c r="F628" s="117" t="s">
        <v>840</v>
      </c>
      <c r="G628" s="117" t="s">
        <v>63</v>
      </c>
      <c r="H628" s="95" t="s">
        <v>3</v>
      </c>
      <c r="I628" s="94">
        <f>SUM(J628:O628)</f>
        <v>2.5</v>
      </c>
      <c r="J628" s="96">
        <f t="shared" ref="J628:K628" si="208">J629+J630+J631</f>
        <v>2.5</v>
      </c>
      <c r="K628" s="96">
        <f t="shared" si="208"/>
        <v>0</v>
      </c>
      <c r="L628" s="96">
        <v>0</v>
      </c>
      <c r="M628" s="96">
        <f t="shared" ref="M628:O628" si="209">M629+M630+M631</f>
        <v>0</v>
      </c>
      <c r="N628" s="96">
        <f t="shared" si="209"/>
        <v>0</v>
      </c>
      <c r="O628" s="96">
        <f t="shared" si="209"/>
        <v>0</v>
      </c>
      <c r="P628" s="117">
        <v>691</v>
      </c>
    </row>
    <row r="629" spans="2:18" outlineLevel="1" x14ac:dyDescent="0.2">
      <c r="B629" s="118"/>
      <c r="C629" s="132"/>
      <c r="D629" s="118"/>
      <c r="E629" s="118"/>
      <c r="F629" s="118"/>
      <c r="G629" s="118"/>
      <c r="H629" s="95" t="s">
        <v>4</v>
      </c>
      <c r="I629" s="94"/>
      <c r="J629" s="96"/>
      <c r="K629" s="96"/>
      <c r="L629" s="96"/>
      <c r="M629" s="96"/>
      <c r="N629" s="96"/>
      <c r="O629" s="96"/>
      <c r="P629" s="118"/>
    </row>
    <row r="630" spans="2:18" outlineLevel="1" x14ac:dyDescent="0.2">
      <c r="B630" s="118"/>
      <c r="C630" s="132"/>
      <c r="D630" s="118"/>
      <c r="E630" s="118"/>
      <c r="F630" s="118"/>
      <c r="G630" s="118"/>
      <c r="H630" s="95" t="s">
        <v>6</v>
      </c>
      <c r="I630" s="94">
        <f>SUM(J630:O630)</f>
        <v>2.5</v>
      </c>
      <c r="J630" s="96">
        <v>2.5</v>
      </c>
      <c r="K630" s="96"/>
      <c r="L630" s="96"/>
      <c r="M630" s="96"/>
      <c r="N630" s="96"/>
      <c r="O630" s="96"/>
      <c r="P630" s="118"/>
    </row>
    <row r="631" spans="2:18" outlineLevel="1" x14ac:dyDescent="0.2">
      <c r="B631" s="119"/>
      <c r="C631" s="133"/>
      <c r="D631" s="119"/>
      <c r="E631" s="119"/>
      <c r="F631" s="119"/>
      <c r="G631" s="119"/>
      <c r="H631" s="95" t="s">
        <v>5</v>
      </c>
      <c r="I631" s="94"/>
      <c r="J631" s="96"/>
      <c r="K631" s="96"/>
      <c r="L631" s="96"/>
      <c r="M631" s="96"/>
      <c r="N631" s="96"/>
      <c r="O631" s="96"/>
      <c r="P631" s="119"/>
    </row>
    <row r="632" spans="2:18" ht="45" customHeight="1" outlineLevel="1" x14ac:dyDescent="0.2">
      <c r="B632" s="117" t="s">
        <v>841</v>
      </c>
      <c r="C632" s="117" t="s">
        <v>628</v>
      </c>
      <c r="D632" s="117" t="s">
        <v>418</v>
      </c>
      <c r="E632" s="117" t="s">
        <v>203</v>
      </c>
      <c r="F632" s="117"/>
      <c r="G632" s="117" t="s">
        <v>419</v>
      </c>
      <c r="H632" s="95" t="s">
        <v>3</v>
      </c>
      <c r="I632" s="94">
        <f>SUM(J632:O632)</f>
        <v>20</v>
      </c>
      <c r="J632" s="96"/>
      <c r="K632" s="96">
        <v>20</v>
      </c>
      <c r="L632" s="96"/>
      <c r="M632" s="96"/>
      <c r="N632" s="96"/>
      <c r="O632" s="96"/>
      <c r="P632" s="117">
        <v>385</v>
      </c>
    </row>
    <row r="633" spans="2:18" outlineLevel="1" x14ac:dyDescent="0.2">
      <c r="B633" s="118"/>
      <c r="C633" s="132"/>
      <c r="D633" s="118"/>
      <c r="E633" s="118"/>
      <c r="F633" s="118"/>
      <c r="G633" s="118"/>
      <c r="H633" s="95" t="s">
        <v>4</v>
      </c>
      <c r="I633" s="94">
        <f>SUM(J633:O633)</f>
        <v>20</v>
      </c>
      <c r="J633" s="96"/>
      <c r="K633" s="96">
        <v>20</v>
      </c>
      <c r="L633" s="96"/>
      <c r="M633" s="96"/>
      <c r="N633" s="96"/>
      <c r="O633" s="96"/>
      <c r="P633" s="118"/>
    </row>
    <row r="634" spans="2:18" outlineLevel="1" x14ac:dyDescent="0.2">
      <c r="B634" s="118"/>
      <c r="C634" s="132"/>
      <c r="D634" s="118"/>
      <c r="E634" s="118"/>
      <c r="F634" s="118"/>
      <c r="G634" s="118"/>
      <c r="H634" s="95" t="s">
        <v>6</v>
      </c>
      <c r="I634" s="94">
        <f>SUM(J634:O634)</f>
        <v>0</v>
      </c>
      <c r="J634" s="96"/>
      <c r="K634" s="96"/>
      <c r="L634" s="96"/>
      <c r="M634" s="96"/>
      <c r="N634" s="96"/>
      <c r="O634" s="96"/>
      <c r="P634" s="118"/>
    </row>
    <row r="635" spans="2:18" outlineLevel="1" x14ac:dyDescent="0.2">
      <c r="B635" s="119"/>
      <c r="C635" s="133"/>
      <c r="D635" s="119"/>
      <c r="E635" s="119"/>
      <c r="F635" s="119"/>
      <c r="G635" s="119"/>
      <c r="H635" s="95" t="s">
        <v>5</v>
      </c>
      <c r="I635" s="94"/>
      <c r="J635" s="96"/>
      <c r="K635" s="96"/>
      <c r="L635" s="96"/>
      <c r="M635" s="96"/>
      <c r="N635" s="96"/>
      <c r="O635" s="96"/>
      <c r="P635" s="119"/>
    </row>
    <row r="636" spans="2:18" ht="42.75" customHeight="1" outlineLevel="1" x14ac:dyDescent="0.2">
      <c r="B636" s="117" t="s">
        <v>842</v>
      </c>
      <c r="C636" s="117" t="s">
        <v>843</v>
      </c>
      <c r="D636" s="117" t="s">
        <v>58</v>
      </c>
      <c r="E636" s="117" t="s">
        <v>69</v>
      </c>
      <c r="F636" s="117" t="s">
        <v>844</v>
      </c>
      <c r="G636" s="117" t="s">
        <v>63</v>
      </c>
      <c r="H636" s="95" t="s">
        <v>3</v>
      </c>
      <c r="I636" s="94">
        <f>SUM(J636:O636)</f>
        <v>9</v>
      </c>
      <c r="J636" s="96"/>
      <c r="K636" s="96">
        <v>2</v>
      </c>
      <c r="L636" s="96">
        <v>2</v>
      </c>
      <c r="M636" s="96">
        <v>2</v>
      </c>
      <c r="N636" s="96">
        <v>3</v>
      </c>
      <c r="O636" s="96"/>
      <c r="P636" s="117"/>
    </row>
    <row r="637" spans="2:18" outlineLevel="1" x14ac:dyDescent="0.2">
      <c r="B637" s="118"/>
      <c r="C637" s="132"/>
      <c r="D637" s="118"/>
      <c r="E637" s="118"/>
      <c r="F637" s="118"/>
      <c r="G637" s="118"/>
      <c r="H637" s="95" t="s">
        <v>4</v>
      </c>
      <c r="I637" s="94"/>
      <c r="J637" s="96"/>
      <c r="K637" s="96"/>
      <c r="L637" s="96"/>
      <c r="M637" s="96"/>
      <c r="N637" s="96"/>
      <c r="O637" s="96"/>
      <c r="P637" s="118"/>
    </row>
    <row r="638" spans="2:18" outlineLevel="1" x14ac:dyDescent="0.2">
      <c r="B638" s="118"/>
      <c r="C638" s="132"/>
      <c r="D638" s="118"/>
      <c r="E638" s="118"/>
      <c r="F638" s="118"/>
      <c r="G638" s="118"/>
      <c r="H638" s="95" t="s">
        <v>6</v>
      </c>
      <c r="I638" s="94">
        <f>SUM(J638:O638)</f>
        <v>9</v>
      </c>
      <c r="J638" s="96"/>
      <c r="K638" s="96">
        <v>2</v>
      </c>
      <c r="L638" s="96">
        <v>2</v>
      </c>
      <c r="M638" s="96">
        <v>2</v>
      </c>
      <c r="N638" s="96">
        <v>3</v>
      </c>
      <c r="O638" s="96"/>
      <c r="P638" s="118"/>
    </row>
    <row r="639" spans="2:18" outlineLevel="1" x14ac:dyDescent="0.2">
      <c r="B639" s="119"/>
      <c r="C639" s="133"/>
      <c r="D639" s="119"/>
      <c r="E639" s="119"/>
      <c r="F639" s="119"/>
      <c r="G639" s="119"/>
      <c r="H639" s="95" t="s">
        <v>5</v>
      </c>
      <c r="I639" s="94"/>
      <c r="J639" s="96"/>
      <c r="K639" s="96"/>
      <c r="L639" s="96"/>
      <c r="M639" s="96"/>
      <c r="N639" s="96"/>
      <c r="O639" s="96"/>
      <c r="P639" s="119"/>
    </row>
    <row r="640" spans="2:18" ht="42.75" x14ac:dyDescent="0.2">
      <c r="B640" s="128" t="s">
        <v>64</v>
      </c>
      <c r="C640" s="128" t="s">
        <v>38</v>
      </c>
      <c r="D640" s="128" t="s">
        <v>38</v>
      </c>
      <c r="E640" s="128" t="s">
        <v>38</v>
      </c>
      <c r="F640" s="128" t="s">
        <v>38</v>
      </c>
      <c r="G640" s="128" t="s">
        <v>38</v>
      </c>
      <c r="H640" s="95" t="s">
        <v>3</v>
      </c>
      <c r="I640" s="14">
        <f t="shared" ref="I640:O640" si="210">SUMIF($H$584:$H$639,"Объем*",I$584:I$639)</f>
        <v>255.81</v>
      </c>
      <c r="J640" s="14">
        <f t="shared" si="210"/>
        <v>11.8</v>
      </c>
      <c r="K640" s="14">
        <f t="shared" si="210"/>
        <v>165.33999999999997</v>
      </c>
      <c r="L640" s="14">
        <f t="shared" si="210"/>
        <v>55.9</v>
      </c>
      <c r="M640" s="14">
        <f t="shared" si="210"/>
        <v>19.77</v>
      </c>
      <c r="N640" s="14">
        <f t="shared" si="210"/>
        <v>3</v>
      </c>
      <c r="O640" s="14">
        <f t="shared" si="210"/>
        <v>0</v>
      </c>
      <c r="P640" s="128"/>
      <c r="Q640" s="7"/>
      <c r="R640" s="7"/>
    </row>
    <row r="641" spans="2:17" ht="15.75" x14ac:dyDescent="0.2">
      <c r="B641" s="129"/>
      <c r="C641" s="129"/>
      <c r="D641" s="129"/>
      <c r="E641" s="129"/>
      <c r="F641" s="129"/>
      <c r="G641" s="129"/>
      <c r="H641" s="95" t="s">
        <v>4</v>
      </c>
      <c r="I641" s="14">
        <f t="shared" ref="I641:O641" si="211">SUMIF($H$584:$H$639,"фед*",I$584:I$639)</f>
        <v>63</v>
      </c>
      <c r="J641" s="14">
        <f t="shared" si="211"/>
        <v>0</v>
      </c>
      <c r="K641" s="14">
        <f t="shared" si="211"/>
        <v>20</v>
      </c>
      <c r="L641" s="14">
        <f t="shared" si="211"/>
        <v>43</v>
      </c>
      <c r="M641" s="14">
        <f t="shared" si="211"/>
        <v>0</v>
      </c>
      <c r="N641" s="14">
        <f t="shared" si="211"/>
        <v>0</v>
      </c>
      <c r="O641" s="14">
        <f t="shared" si="211"/>
        <v>0</v>
      </c>
      <c r="P641" s="129"/>
      <c r="Q641" s="7"/>
    </row>
    <row r="642" spans="2:17" ht="15.75" x14ac:dyDescent="0.2">
      <c r="B642" s="129"/>
      <c r="C642" s="129"/>
      <c r="D642" s="129"/>
      <c r="E642" s="129"/>
      <c r="F642" s="129"/>
      <c r="G642" s="129"/>
      <c r="H642" s="95" t="s">
        <v>6</v>
      </c>
      <c r="I642" s="14">
        <f t="shared" ref="I642:O642" si="212">SUMIF($H$584:$H$639,"конс*",I$584:I$639)</f>
        <v>192.81</v>
      </c>
      <c r="J642" s="14">
        <f t="shared" si="212"/>
        <v>11.8</v>
      </c>
      <c r="K642" s="14">
        <f t="shared" si="212"/>
        <v>145.33999999999997</v>
      </c>
      <c r="L642" s="14">
        <f t="shared" si="212"/>
        <v>12.9</v>
      </c>
      <c r="M642" s="14">
        <f t="shared" si="212"/>
        <v>19.77</v>
      </c>
      <c r="N642" s="14">
        <f t="shared" si="212"/>
        <v>3</v>
      </c>
      <c r="O642" s="14">
        <f t="shared" si="212"/>
        <v>0</v>
      </c>
      <c r="P642" s="129"/>
      <c r="Q642" s="7"/>
    </row>
    <row r="643" spans="2:17" ht="15.75" x14ac:dyDescent="0.2">
      <c r="B643" s="130"/>
      <c r="C643" s="130"/>
      <c r="D643" s="130"/>
      <c r="E643" s="130"/>
      <c r="F643" s="130"/>
      <c r="G643" s="130"/>
      <c r="H643" s="95" t="s">
        <v>5</v>
      </c>
      <c r="I643" s="14">
        <f t="shared" ref="I643:O643" si="213">SUMIF($H$584:$H$639,"вне*",I$584:I$639)</f>
        <v>0</v>
      </c>
      <c r="J643" s="14">
        <f t="shared" si="213"/>
        <v>0</v>
      </c>
      <c r="K643" s="14">
        <f t="shared" si="213"/>
        <v>0</v>
      </c>
      <c r="L643" s="14">
        <f t="shared" si="213"/>
        <v>0</v>
      </c>
      <c r="M643" s="14">
        <f t="shared" si="213"/>
        <v>0</v>
      </c>
      <c r="N643" s="14">
        <f t="shared" si="213"/>
        <v>0</v>
      </c>
      <c r="O643" s="14">
        <f t="shared" si="213"/>
        <v>0</v>
      </c>
      <c r="P643" s="130"/>
      <c r="Q643" s="7"/>
    </row>
    <row r="644" spans="2:17" ht="25.5" customHeight="1" x14ac:dyDescent="0.2">
      <c r="B644" s="111" t="s">
        <v>430</v>
      </c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3"/>
    </row>
    <row r="645" spans="2:17" ht="42.75" outlineLevel="1" x14ac:dyDescent="0.2">
      <c r="B645" s="117" t="s">
        <v>845</v>
      </c>
      <c r="C645" s="117"/>
      <c r="D645" s="117" t="s">
        <v>846</v>
      </c>
      <c r="E645" s="117">
        <v>2020</v>
      </c>
      <c r="F645" s="117"/>
      <c r="G645" s="117" t="s">
        <v>138</v>
      </c>
      <c r="H645" s="95" t="s">
        <v>3</v>
      </c>
      <c r="I645" s="94">
        <f t="shared" ref="I645:I668" si="214">SUM(J645:O645)</f>
        <v>9.32</v>
      </c>
      <c r="J645" s="27">
        <f t="shared" ref="J645:O645" si="215">J646+J647+J648</f>
        <v>9.32</v>
      </c>
      <c r="K645" s="94">
        <f t="shared" si="215"/>
        <v>0</v>
      </c>
      <c r="L645" s="94">
        <f t="shared" si="215"/>
        <v>0</v>
      </c>
      <c r="M645" s="94">
        <f t="shared" si="215"/>
        <v>0</v>
      </c>
      <c r="N645" s="94">
        <f t="shared" si="215"/>
        <v>0</v>
      </c>
      <c r="O645" s="94">
        <f t="shared" si="215"/>
        <v>0</v>
      </c>
      <c r="P645" s="117"/>
    </row>
    <row r="646" spans="2:17" outlineLevel="1" x14ac:dyDescent="0.2">
      <c r="B646" s="118"/>
      <c r="C646" s="132"/>
      <c r="D646" s="118"/>
      <c r="E646" s="118"/>
      <c r="F646" s="118"/>
      <c r="G646" s="118"/>
      <c r="H646" s="95" t="s">
        <v>4</v>
      </c>
      <c r="I646" s="94">
        <f t="shared" si="214"/>
        <v>8.8000000000000007</v>
      </c>
      <c r="J646" s="94">
        <v>8.8000000000000007</v>
      </c>
      <c r="K646" s="94"/>
      <c r="L646" s="94"/>
      <c r="M646" s="94"/>
      <c r="N646" s="94"/>
      <c r="O646" s="94"/>
      <c r="P646" s="118"/>
    </row>
    <row r="647" spans="2:17" outlineLevel="1" x14ac:dyDescent="0.2">
      <c r="B647" s="118"/>
      <c r="C647" s="132"/>
      <c r="D647" s="118"/>
      <c r="E647" s="118"/>
      <c r="F647" s="118"/>
      <c r="G647" s="118"/>
      <c r="H647" s="95" t="s">
        <v>6</v>
      </c>
      <c r="I647" s="94">
        <f t="shared" si="214"/>
        <v>0.52</v>
      </c>
      <c r="J647" s="94">
        <v>0.52</v>
      </c>
      <c r="K647" s="94"/>
      <c r="L647" s="94"/>
      <c r="M647" s="94"/>
      <c r="N647" s="94"/>
      <c r="O647" s="94"/>
      <c r="P647" s="118"/>
    </row>
    <row r="648" spans="2:17" outlineLevel="1" x14ac:dyDescent="0.2">
      <c r="B648" s="119"/>
      <c r="C648" s="133"/>
      <c r="D648" s="119"/>
      <c r="E648" s="119"/>
      <c r="F648" s="119"/>
      <c r="G648" s="119"/>
      <c r="H648" s="95" t="s">
        <v>5</v>
      </c>
      <c r="I648" s="94">
        <f t="shared" si="214"/>
        <v>0</v>
      </c>
      <c r="J648" s="94"/>
      <c r="K648" s="94"/>
      <c r="L648" s="94"/>
      <c r="M648" s="94"/>
      <c r="N648" s="94"/>
      <c r="O648" s="94"/>
      <c r="P648" s="119"/>
    </row>
    <row r="649" spans="2:17" ht="42.75" outlineLevel="1" x14ac:dyDescent="0.2">
      <c r="B649" s="117" t="s">
        <v>847</v>
      </c>
      <c r="C649" s="117" t="s">
        <v>628</v>
      </c>
      <c r="D649" s="117" t="s">
        <v>848</v>
      </c>
      <c r="E649" s="117">
        <v>2020</v>
      </c>
      <c r="F649" s="117"/>
      <c r="G649" s="117" t="s">
        <v>138</v>
      </c>
      <c r="H649" s="95" t="s">
        <v>3</v>
      </c>
      <c r="I649" s="94">
        <f t="shared" si="214"/>
        <v>5</v>
      </c>
      <c r="J649" s="94">
        <f t="shared" ref="J649:O649" si="216">J650+J651+J652</f>
        <v>5</v>
      </c>
      <c r="K649" s="94">
        <f t="shared" si="216"/>
        <v>0</v>
      </c>
      <c r="L649" s="94">
        <f t="shared" si="216"/>
        <v>0</v>
      </c>
      <c r="M649" s="94">
        <f t="shared" si="216"/>
        <v>0</v>
      </c>
      <c r="N649" s="94">
        <f t="shared" si="216"/>
        <v>0</v>
      </c>
      <c r="O649" s="94">
        <f t="shared" si="216"/>
        <v>0</v>
      </c>
      <c r="P649" s="117"/>
    </row>
    <row r="650" spans="2:17" outlineLevel="1" x14ac:dyDescent="0.2">
      <c r="B650" s="118"/>
      <c r="C650" s="132"/>
      <c r="D650" s="118"/>
      <c r="E650" s="118"/>
      <c r="F650" s="118"/>
      <c r="G650" s="118"/>
      <c r="H650" s="95" t="s">
        <v>4</v>
      </c>
      <c r="I650" s="94">
        <f t="shared" si="214"/>
        <v>4.7</v>
      </c>
      <c r="J650" s="94">
        <v>4.7</v>
      </c>
      <c r="K650" s="94"/>
      <c r="L650" s="94"/>
      <c r="M650" s="94"/>
      <c r="N650" s="94"/>
      <c r="O650" s="94"/>
      <c r="P650" s="118"/>
    </row>
    <row r="651" spans="2:17" outlineLevel="1" x14ac:dyDescent="0.2">
      <c r="B651" s="118"/>
      <c r="C651" s="132"/>
      <c r="D651" s="118"/>
      <c r="E651" s="118"/>
      <c r="F651" s="118"/>
      <c r="G651" s="118"/>
      <c r="H651" s="95" t="s">
        <v>6</v>
      </c>
      <c r="I651" s="94">
        <f t="shared" si="214"/>
        <v>0.3</v>
      </c>
      <c r="J651" s="94">
        <v>0.3</v>
      </c>
      <c r="K651" s="94"/>
      <c r="L651" s="94"/>
      <c r="M651" s="94"/>
      <c r="N651" s="94"/>
      <c r="O651" s="94"/>
      <c r="P651" s="118"/>
    </row>
    <row r="652" spans="2:17" outlineLevel="1" x14ac:dyDescent="0.2">
      <c r="B652" s="119"/>
      <c r="C652" s="133"/>
      <c r="D652" s="119"/>
      <c r="E652" s="119"/>
      <c r="F652" s="119"/>
      <c r="G652" s="119"/>
      <c r="H652" s="95" t="s">
        <v>5</v>
      </c>
      <c r="I652" s="94">
        <f t="shared" si="214"/>
        <v>0</v>
      </c>
      <c r="J652" s="94"/>
      <c r="K652" s="94"/>
      <c r="L652" s="94"/>
      <c r="M652" s="94"/>
      <c r="N652" s="94"/>
      <c r="O652" s="94"/>
      <c r="P652" s="119"/>
    </row>
    <row r="653" spans="2:17" ht="42.75" outlineLevel="1" x14ac:dyDescent="0.2">
      <c r="B653" s="117" t="s">
        <v>849</v>
      </c>
      <c r="C653" s="117" t="s">
        <v>628</v>
      </c>
      <c r="D653" s="117" t="s">
        <v>850</v>
      </c>
      <c r="E653" s="117">
        <v>2021</v>
      </c>
      <c r="F653" s="117"/>
      <c r="G653" s="117" t="s">
        <v>138</v>
      </c>
      <c r="H653" s="95" t="s">
        <v>3</v>
      </c>
      <c r="I653" s="94">
        <f t="shared" si="214"/>
        <v>24</v>
      </c>
      <c r="J653" s="94">
        <f t="shared" ref="J653:O653" si="217">J654+J655+J656</f>
        <v>0</v>
      </c>
      <c r="K653" s="94">
        <f t="shared" si="217"/>
        <v>24</v>
      </c>
      <c r="L653" s="94">
        <f t="shared" si="217"/>
        <v>0</v>
      </c>
      <c r="M653" s="94">
        <f t="shared" si="217"/>
        <v>0</v>
      </c>
      <c r="N653" s="94">
        <f t="shared" si="217"/>
        <v>0</v>
      </c>
      <c r="O653" s="94">
        <f t="shared" si="217"/>
        <v>0</v>
      </c>
      <c r="P653" s="117"/>
    </row>
    <row r="654" spans="2:17" outlineLevel="1" x14ac:dyDescent="0.2">
      <c r="B654" s="118"/>
      <c r="C654" s="132"/>
      <c r="D654" s="118"/>
      <c r="E654" s="118"/>
      <c r="F654" s="118"/>
      <c r="G654" s="118"/>
      <c r="H654" s="95" t="s">
        <v>4</v>
      </c>
      <c r="I654" s="94">
        <f t="shared" si="214"/>
        <v>23.8</v>
      </c>
      <c r="J654" s="94"/>
      <c r="K654" s="94">
        <v>23.8</v>
      </c>
      <c r="L654" s="94"/>
      <c r="M654" s="94"/>
      <c r="N654" s="94"/>
      <c r="O654" s="94"/>
      <c r="P654" s="118"/>
    </row>
    <row r="655" spans="2:17" outlineLevel="1" x14ac:dyDescent="0.2">
      <c r="B655" s="118"/>
      <c r="C655" s="132"/>
      <c r="D655" s="118"/>
      <c r="E655" s="118"/>
      <c r="F655" s="118"/>
      <c r="G655" s="118"/>
      <c r="H655" s="95" t="s">
        <v>6</v>
      </c>
      <c r="I655" s="94">
        <f t="shared" si="214"/>
        <v>0.2</v>
      </c>
      <c r="J655" s="94"/>
      <c r="K655" s="94">
        <v>0.2</v>
      </c>
      <c r="L655" s="94"/>
      <c r="M655" s="94"/>
      <c r="N655" s="94"/>
      <c r="O655" s="94"/>
      <c r="P655" s="118"/>
    </row>
    <row r="656" spans="2:17" outlineLevel="1" x14ac:dyDescent="0.2">
      <c r="B656" s="119"/>
      <c r="C656" s="133"/>
      <c r="D656" s="119"/>
      <c r="E656" s="119"/>
      <c r="F656" s="119"/>
      <c r="G656" s="119"/>
      <c r="H656" s="95" t="s">
        <v>5</v>
      </c>
      <c r="I656" s="94">
        <f t="shared" si="214"/>
        <v>0</v>
      </c>
      <c r="J656" s="94"/>
      <c r="K656" s="94"/>
      <c r="L656" s="94"/>
      <c r="M656" s="94"/>
      <c r="N656" s="94"/>
      <c r="O656" s="94"/>
      <c r="P656" s="119"/>
    </row>
    <row r="657" spans="2:18" ht="42.75" outlineLevel="1" x14ac:dyDescent="0.2">
      <c r="B657" s="117" t="s">
        <v>849</v>
      </c>
      <c r="C657" s="117" t="s">
        <v>628</v>
      </c>
      <c r="D657" s="117" t="s">
        <v>851</v>
      </c>
      <c r="E657" s="117">
        <v>2021</v>
      </c>
      <c r="F657" s="117"/>
      <c r="G657" s="117" t="s">
        <v>138</v>
      </c>
      <c r="H657" s="95" t="s">
        <v>3</v>
      </c>
      <c r="I657" s="94">
        <f t="shared" si="214"/>
        <v>12.4</v>
      </c>
      <c r="J657" s="94">
        <f t="shared" ref="J657:O657" si="218">J658+J659+J660</f>
        <v>0</v>
      </c>
      <c r="K657" s="94">
        <f t="shared" si="218"/>
        <v>12.4</v>
      </c>
      <c r="L657" s="94">
        <f t="shared" si="218"/>
        <v>0</v>
      </c>
      <c r="M657" s="94">
        <f t="shared" si="218"/>
        <v>0</v>
      </c>
      <c r="N657" s="94">
        <f t="shared" si="218"/>
        <v>0</v>
      </c>
      <c r="O657" s="94">
        <f t="shared" si="218"/>
        <v>0</v>
      </c>
      <c r="P657" s="117"/>
    </row>
    <row r="658" spans="2:18" outlineLevel="1" x14ac:dyDescent="0.2">
      <c r="B658" s="118"/>
      <c r="C658" s="132"/>
      <c r="D658" s="118"/>
      <c r="E658" s="118"/>
      <c r="F658" s="118"/>
      <c r="G658" s="118"/>
      <c r="H658" s="95" t="s">
        <v>4</v>
      </c>
      <c r="I658" s="94">
        <f t="shared" si="214"/>
        <v>12.3</v>
      </c>
      <c r="J658" s="94"/>
      <c r="K658" s="94">
        <v>12.3</v>
      </c>
      <c r="L658" s="94"/>
      <c r="M658" s="94"/>
      <c r="N658" s="94"/>
      <c r="O658" s="94"/>
      <c r="P658" s="118"/>
    </row>
    <row r="659" spans="2:18" outlineLevel="1" x14ac:dyDescent="0.2">
      <c r="B659" s="118"/>
      <c r="C659" s="132"/>
      <c r="D659" s="118"/>
      <c r="E659" s="118"/>
      <c r="F659" s="118"/>
      <c r="G659" s="118"/>
      <c r="H659" s="95" t="s">
        <v>6</v>
      </c>
      <c r="I659" s="94">
        <f t="shared" si="214"/>
        <v>0.1</v>
      </c>
      <c r="J659" s="94"/>
      <c r="K659" s="94">
        <v>0.1</v>
      </c>
      <c r="L659" s="94"/>
      <c r="M659" s="94"/>
      <c r="N659" s="94"/>
      <c r="O659" s="94"/>
      <c r="P659" s="118"/>
    </row>
    <row r="660" spans="2:18" outlineLevel="1" x14ac:dyDescent="0.2">
      <c r="B660" s="119"/>
      <c r="C660" s="133"/>
      <c r="D660" s="119"/>
      <c r="E660" s="119"/>
      <c r="F660" s="119"/>
      <c r="G660" s="119"/>
      <c r="H660" s="95" t="s">
        <v>5</v>
      </c>
      <c r="I660" s="94">
        <f t="shared" si="214"/>
        <v>0</v>
      </c>
      <c r="J660" s="94"/>
      <c r="K660" s="94"/>
      <c r="L660" s="94"/>
      <c r="M660" s="94"/>
      <c r="N660" s="94"/>
      <c r="O660" s="94"/>
      <c r="P660" s="119"/>
    </row>
    <row r="661" spans="2:18" ht="42.75" outlineLevel="1" x14ac:dyDescent="0.2">
      <c r="B661" s="117" t="s">
        <v>852</v>
      </c>
      <c r="C661" s="117" t="s">
        <v>628</v>
      </c>
      <c r="D661" s="117" t="s">
        <v>853</v>
      </c>
      <c r="E661" s="117">
        <v>2021</v>
      </c>
      <c r="F661" s="117"/>
      <c r="G661" s="117" t="s">
        <v>138</v>
      </c>
      <c r="H661" s="95" t="s">
        <v>3</v>
      </c>
      <c r="I661" s="94">
        <f t="shared" si="214"/>
        <v>7.4690000000000003</v>
      </c>
      <c r="J661" s="94">
        <f t="shared" ref="J661:O661" si="219">J662+J663+J664</f>
        <v>0</v>
      </c>
      <c r="K661" s="94">
        <f t="shared" si="219"/>
        <v>7.4690000000000003</v>
      </c>
      <c r="L661" s="94">
        <f t="shared" si="219"/>
        <v>0</v>
      </c>
      <c r="M661" s="94">
        <f t="shared" si="219"/>
        <v>0</v>
      </c>
      <c r="N661" s="94">
        <f t="shared" si="219"/>
        <v>0</v>
      </c>
      <c r="O661" s="94">
        <f t="shared" si="219"/>
        <v>0</v>
      </c>
      <c r="P661" s="117"/>
    </row>
    <row r="662" spans="2:18" outlineLevel="1" x14ac:dyDescent="0.2">
      <c r="B662" s="118"/>
      <c r="C662" s="132"/>
      <c r="D662" s="118"/>
      <c r="E662" s="118"/>
      <c r="F662" s="118"/>
      <c r="G662" s="118"/>
      <c r="H662" s="95" t="s">
        <v>4</v>
      </c>
      <c r="I662" s="94">
        <f t="shared" si="214"/>
        <v>7.4</v>
      </c>
      <c r="J662" s="94"/>
      <c r="K662" s="94">
        <v>7.4</v>
      </c>
      <c r="L662" s="94"/>
      <c r="M662" s="94"/>
      <c r="N662" s="94"/>
      <c r="O662" s="94"/>
      <c r="P662" s="118"/>
    </row>
    <row r="663" spans="2:18" outlineLevel="1" x14ac:dyDescent="0.2">
      <c r="B663" s="118"/>
      <c r="C663" s="132"/>
      <c r="D663" s="118"/>
      <c r="E663" s="118"/>
      <c r="F663" s="118"/>
      <c r="G663" s="118"/>
      <c r="H663" s="95" t="s">
        <v>6</v>
      </c>
      <c r="I663" s="94">
        <f t="shared" si="214"/>
        <v>6.9000000000000006E-2</v>
      </c>
      <c r="J663" s="94"/>
      <c r="K663" s="94">
        <v>6.9000000000000006E-2</v>
      </c>
      <c r="L663" s="94"/>
      <c r="M663" s="94"/>
      <c r="N663" s="94"/>
      <c r="O663" s="94"/>
      <c r="P663" s="118"/>
    </row>
    <row r="664" spans="2:18" outlineLevel="1" x14ac:dyDescent="0.2">
      <c r="B664" s="119"/>
      <c r="C664" s="133"/>
      <c r="D664" s="119"/>
      <c r="E664" s="119"/>
      <c r="F664" s="119"/>
      <c r="G664" s="119"/>
      <c r="H664" s="95" t="s">
        <v>5</v>
      </c>
      <c r="I664" s="94">
        <f t="shared" si="214"/>
        <v>0</v>
      </c>
      <c r="J664" s="94"/>
      <c r="K664" s="94"/>
      <c r="L664" s="94"/>
      <c r="M664" s="94"/>
      <c r="N664" s="94"/>
      <c r="O664" s="94"/>
      <c r="P664" s="119"/>
    </row>
    <row r="665" spans="2:18" ht="42.75" outlineLevel="1" x14ac:dyDescent="0.2">
      <c r="B665" s="117" t="s">
        <v>854</v>
      </c>
      <c r="C665" s="117" t="s">
        <v>628</v>
      </c>
      <c r="D665" s="117" t="s">
        <v>855</v>
      </c>
      <c r="E665" s="117" t="s">
        <v>50</v>
      </c>
      <c r="F665" s="117"/>
      <c r="G665" s="117" t="s">
        <v>138</v>
      </c>
      <c r="H665" s="95" t="s">
        <v>3</v>
      </c>
      <c r="I665" s="94">
        <f t="shared" si="214"/>
        <v>98.2</v>
      </c>
      <c r="J665" s="94">
        <f t="shared" ref="J665:O665" si="220">J666+J667+J668</f>
        <v>0</v>
      </c>
      <c r="K665" s="94">
        <f t="shared" si="220"/>
        <v>49.1</v>
      </c>
      <c r="L665" s="94">
        <f t="shared" si="220"/>
        <v>49.1</v>
      </c>
      <c r="M665" s="94">
        <f t="shared" si="220"/>
        <v>0</v>
      </c>
      <c r="N665" s="94">
        <f t="shared" si="220"/>
        <v>0</v>
      </c>
      <c r="O665" s="94">
        <f t="shared" si="220"/>
        <v>0</v>
      </c>
      <c r="P665" s="117"/>
    </row>
    <row r="666" spans="2:18" outlineLevel="1" x14ac:dyDescent="0.2">
      <c r="B666" s="118"/>
      <c r="C666" s="132"/>
      <c r="D666" s="118"/>
      <c r="E666" s="118"/>
      <c r="F666" s="118"/>
      <c r="G666" s="118"/>
      <c r="H666" s="95" t="s">
        <v>4</v>
      </c>
      <c r="I666" s="94">
        <f t="shared" si="214"/>
        <v>97.2</v>
      </c>
      <c r="J666" s="94"/>
      <c r="K666" s="94">
        <v>48.6</v>
      </c>
      <c r="L666" s="94">
        <v>48.6</v>
      </c>
      <c r="M666" s="94"/>
      <c r="N666" s="94"/>
      <c r="O666" s="94"/>
      <c r="P666" s="118"/>
    </row>
    <row r="667" spans="2:18" outlineLevel="1" x14ac:dyDescent="0.2">
      <c r="B667" s="118"/>
      <c r="C667" s="132"/>
      <c r="D667" s="118"/>
      <c r="E667" s="118"/>
      <c r="F667" s="118"/>
      <c r="G667" s="118"/>
      <c r="H667" s="95" t="s">
        <v>6</v>
      </c>
      <c r="I667" s="94">
        <f t="shared" si="214"/>
        <v>1</v>
      </c>
      <c r="J667" s="94"/>
      <c r="K667" s="94">
        <v>0.5</v>
      </c>
      <c r="L667" s="94">
        <v>0.5</v>
      </c>
      <c r="M667" s="94"/>
      <c r="N667" s="94"/>
      <c r="O667" s="94"/>
      <c r="P667" s="118"/>
    </row>
    <row r="668" spans="2:18" outlineLevel="1" x14ac:dyDescent="0.2">
      <c r="B668" s="119"/>
      <c r="C668" s="133"/>
      <c r="D668" s="119"/>
      <c r="E668" s="119"/>
      <c r="F668" s="119"/>
      <c r="G668" s="119"/>
      <c r="H668" s="95" t="s">
        <v>5</v>
      </c>
      <c r="I668" s="94">
        <f t="shared" si="214"/>
        <v>0</v>
      </c>
      <c r="J668" s="94"/>
      <c r="K668" s="94"/>
      <c r="L668" s="94"/>
      <c r="M668" s="94"/>
      <c r="N668" s="94"/>
      <c r="O668" s="94"/>
      <c r="P668" s="119"/>
    </row>
    <row r="669" spans="2:18" ht="42.75" x14ac:dyDescent="0.2">
      <c r="B669" s="128" t="s">
        <v>448</v>
      </c>
      <c r="C669" s="128" t="s">
        <v>38</v>
      </c>
      <c r="D669" s="128" t="s">
        <v>38</v>
      </c>
      <c r="E669" s="128" t="s">
        <v>38</v>
      </c>
      <c r="F669" s="128" t="s">
        <v>38</v>
      </c>
      <c r="G669" s="128" t="s">
        <v>38</v>
      </c>
      <c r="H669" s="95" t="s">
        <v>3</v>
      </c>
      <c r="I669" s="14">
        <f>SUMIF($H$645:$H$668,"Объем*",I$645:I$668)</f>
        <v>156.38900000000001</v>
      </c>
      <c r="J669" s="14">
        <f t="shared" ref="J669:O669" si="221">SUMIF($H$645:$H$668,"Объем*",J$645:J$668)</f>
        <v>14.32</v>
      </c>
      <c r="K669" s="14">
        <f t="shared" si="221"/>
        <v>92.968999999999994</v>
      </c>
      <c r="L669" s="14">
        <f t="shared" si="221"/>
        <v>49.1</v>
      </c>
      <c r="M669" s="14">
        <f t="shared" si="221"/>
        <v>0</v>
      </c>
      <c r="N669" s="14">
        <f t="shared" si="221"/>
        <v>0</v>
      </c>
      <c r="O669" s="14">
        <f t="shared" si="221"/>
        <v>0</v>
      </c>
      <c r="P669" s="128">
        <f>SUM(P645:P668)</f>
        <v>0</v>
      </c>
      <c r="Q669" s="7"/>
      <c r="R669" s="7"/>
    </row>
    <row r="670" spans="2:18" ht="15.75" x14ac:dyDescent="0.2">
      <c r="B670" s="129"/>
      <c r="C670" s="129"/>
      <c r="D670" s="129"/>
      <c r="E670" s="129"/>
      <c r="F670" s="129"/>
      <c r="G670" s="129"/>
      <c r="H670" s="95" t="s">
        <v>4</v>
      </c>
      <c r="I670" s="14">
        <f>SUMIF($H$645:$H$668,"фед*",I$645:I$668)</f>
        <v>154.19999999999999</v>
      </c>
      <c r="J670" s="14">
        <f t="shared" ref="J670:O670" si="222">SUMIF($H$645:$H$668,"фед*",J$645:J$668)</f>
        <v>13.5</v>
      </c>
      <c r="K670" s="14">
        <f t="shared" si="222"/>
        <v>92.1</v>
      </c>
      <c r="L670" s="14">
        <f t="shared" si="222"/>
        <v>48.6</v>
      </c>
      <c r="M670" s="14">
        <f t="shared" si="222"/>
        <v>0</v>
      </c>
      <c r="N670" s="14">
        <f t="shared" si="222"/>
        <v>0</v>
      </c>
      <c r="O670" s="14">
        <f t="shared" si="222"/>
        <v>0</v>
      </c>
      <c r="P670" s="129"/>
      <c r="Q670" s="7"/>
    </row>
    <row r="671" spans="2:18" ht="15.75" x14ac:dyDescent="0.2">
      <c r="B671" s="129"/>
      <c r="C671" s="129"/>
      <c r="D671" s="129"/>
      <c r="E671" s="129"/>
      <c r="F671" s="129"/>
      <c r="G671" s="129"/>
      <c r="H671" s="95" t="s">
        <v>6</v>
      </c>
      <c r="I671" s="14">
        <f>SUMIF($H$645:$H$668,"конс*",I$645:I$668)</f>
        <v>2.1890000000000001</v>
      </c>
      <c r="J671" s="14">
        <f t="shared" ref="J671:O671" si="223">SUMIF($H$645:$H$668,"конс*",J$645:J$668)</f>
        <v>0.82000000000000006</v>
      </c>
      <c r="K671" s="14">
        <f t="shared" si="223"/>
        <v>0.86899999999999999</v>
      </c>
      <c r="L671" s="14">
        <f t="shared" si="223"/>
        <v>0.5</v>
      </c>
      <c r="M671" s="14">
        <f t="shared" si="223"/>
        <v>0</v>
      </c>
      <c r="N671" s="14">
        <f t="shared" si="223"/>
        <v>0</v>
      </c>
      <c r="O671" s="14">
        <f t="shared" si="223"/>
        <v>0</v>
      </c>
      <c r="P671" s="129"/>
      <c r="Q671" s="7"/>
    </row>
    <row r="672" spans="2:18" ht="15.75" x14ac:dyDescent="0.2">
      <c r="B672" s="130"/>
      <c r="C672" s="130"/>
      <c r="D672" s="130"/>
      <c r="E672" s="130"/>
      <c r="F672" s="130"/>
      <c r="G672" s="130"/>
      <c r="H672" s="95" t="s">
        <v>5</v>
      </c>
      <c r="I672" s="14">
        <f>SUMIF($H$645:$H$668,"вне*",I$645:I$668)</f>
        <v>0</v>
      </c>
      <c r="J672" s="14">
        <f t="shared" ref="J672:O672" si="224">SUMIF($H$645:$H$668,"вне*",J$645:J$668)</f>
        <v>0</v>
      </c>
      <c r="K672" s="14">
        <f t="shared" si="224"/>
        <v>0</v>
      </c>
      <c r="L672" s="14">
        <f t="shared" si="224"/>
        <v>0</v>
      </c>
      <c r="M672" s="14">
        <f t="shared" si="224"/>
        <v>0</v>
      </c>
      <c r="N672" s="14">
        <f t="shared" si="224"/>
        <v>0</v>
      </c>
      <c r="O672" s="14">
        <f t="shared" si="224"/>
        <v>0</v>
      </c>
      <c r="P672" s="130"/>
      <c r="Q672" s="7"/>
    </row>
    <row r="673" spans="2:16" ht="25.5" customHeight="1" x14ac:dyDescent="0.2">
      <c r="B673" s="111" t="s">
        <v>449</v>
      </c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3"/>
    </row>
    <row r="674" spans="2:16" ht="42.75" outlineLevel="1" x14ac:dyDescent="0.2">
      <c r="B674" s="117" t="s">
        <v>856</v>
      </c>
      <c r="C674" s="117" t="s">
        <v>628</v>
      </c>
      <c r="D674" s="117" t="s">
        <v>449</v>
      </c>
      <c r="E674" s="117">
        <v>2022</v>
      </c>
      <c r="F674" s="117" t="s">
        <v>629</v>
      </c>
      <c r="G674" s="117" t="s">
        <v>138</v>
      </c>
      <c r="H674" s="95" t="s">
        <v>3</v>
      </c>
      <c r="I674" s="94">
        <f t="shared" ref="I674:I709" si="225">SUM(J674:O674)</f>
        <v>24</v>
      </c>
      <c r="J674" s="94">
        <f t="shared" ref="J674:O674" si="226">J675+J676+J677</f>
        <v>0</v>
      </c>
      <c r="K674" s="94">
        <f t="shared" si="226"/>
        <v>0</v>
      </c>
      <c r="L674" s="94">
        <f t="shared" si="226"/>
        <v>24</v>
      </c>
      <c r="M674" s="94">
        <f t="shared" si="226"/>
        <v>0</v>
      </c>
      <c r="N674" s="94">
        <f t="shared" si="226"/>
        <v>0</v>
      </c>
      <c r="O674" s="94">
        <f t="shared" si="226"/>
        <v>0</v>
      </c>
      <c r="P674" s="117"/>
    </row>
    <row r="675" spans="2:16" outlineLevel="1" x14ac:dyDescent="0.2">
      <c r="B675" s="118"/>
      <c r="C675" s="132"/>
      <c r="D675" s="118"/>
      <c r="E675" s="118"/>
      <c r="F675" s="118"/>
      <c r="G675" s="118"/>
      <c r="H675" s="95" t="s">
        <v>4</v>
      </c>
      <c r="I675" s="94">
        <f t="shared" si="225"/>
        <v>23.8</v>
      </c>
      <c r="J675" s="94"/>
      <c r="K675" s="94"/>
      <c r="L675" s="94">
        <v>23.8</v>
      </c>
      <c r="M675" s="94"/>
      <c r="N675" s="94"/>
      <c r="O675" s="94"/>
      <c r="P675" s="118"/>
    </row>
    <row r="676" spans="2:16" outlineLevel="1" x14ac:dyDescent="0.2">
      <c r="B676" s="118"/>
      <c r="C676" s="132"/>
      <c r="D676" s="118"/>
      <c r="E676" s="118"/>
      <c r="F676" s="118"/>
      <c r="G676" s="118"/>
      <c r="H676" s="95" t="s">
        <v>6</v>
      </c>
      <c r="I676" s="94">
        <f t="shared" si="225"/>
        <v>0.2</v>
      </c>
      <c r="J676" s="94"/>
      <c r="K676" s="94"/>
      <c r="L676" s="94">
        <v>0.2</v>
      </c>
      <c r="M676" s="94"/>
      <c r="N676" s="94"/>
      <c r="O676" s="94"/>
      <c r="P676" s="118"/>
    </row>
    <row r="677" spans="2:16" outlineLevel="1" x14ac:dyDescent="0.2">
      <c r="B677" s="119"/>
      <c r="C677" s="133"/>
      <c r="D677" s="119"/>
      <c r="E677" s="119"/>
      <c r="F677" s="119"/>
      <c r="G677" s="119"/>
      <c r="H677" s="95" t="s">
        <v>5</v>
      </c>
      <c r="I677" s="94">
        <f t="shared" si="225"/>
        <v>0</v>
      </c>
      <c r="J677" s="94"/>
      <c r="K677" s="94"/>
      <c r="L677" s="94"/>
      <c r="M677" s="94"/>
      <c r="N677" s="94"/>
      <c r="O677" s="94"/>
      <c r="P677" s="119"/>
    </row>
    <row r="678" spans="2:16" ht="42.75" outlineLevel="1" x14ac:dyDescent="0.2">
      <c r="B678" s="117" t="s">
        <v>857</v>
      </c>
      <c r="C678" s="117" t="s">
        <v>628</v>
      </c>
      <c r="D678" s="117" t="s">
        <v>449</v>
      </c>
      <c r="E678" s="117">
        <v>2022</v>
      </c>
      <c r="F678" s="117" t="s">
        <v>629</v>
      </c>
      <c r="G678" s="117" t="s">
        <v>138</v>
      </c>
      <c r="H678" s="95" t="s">
        <v>3</v>
      </c>
      <c r="I678" s="94">
        <f t="shared" si="225"/>
        <v>38.4</v>
      </c>
      <c r="J678" s="94">
        <f t="shared" ref="J678:O678" si="227">J679+J680+J681</f>
        <v>0</v>
      </c>
      <c r="K678" s="94">
        <f t="shared" si="227"/>
        <v>0</v>
      </c>
      <c r="L678" s="94">
        <f t="shared" si="227"/>
        <v>38.4</v>
      </c>
      <c r="M678" s="94">
        <f t="shared" si="227"/>
        <v>0</v>
      </c>
      <c r="N678" s="94">
        <f t="shared" si="227"/>
        <v>0</v>
      </c>
      <c r="O678" s="94">
        <f t="shared" si="227"/>
        <v>0</v>
      </c>
      <c r="P678" s="117"/>
    </row>
    <row r="679" spans="2:16" outlineLevel="1" x14ac:dyDescent="0.2">
      <c r="B679" s="118"/>
      <c r="C679" s="132"/>
      <c r="D679" s="118"/>
      <c r="E679" s="118"/>
      <c r="F679" s="118"/>
      <c r="G679" s="118"/>
      <c r="H679" s="95" t="s">
        <v>4</v>
      </c>
      <c r="I679" s="94">
        <f t="shared" si="225"/>
        <v>38</v>
      </c>
      <c r="J679" s="94"/>
      <c r="K679" s="94"/>
      <c r="L679" s="94">
        <v>38</v>
      </c>
      <c r="M679" s="94"/>
      <c r="N679" s="94"/>
      <c r="O679" s="94"/>
      <c r="P679" s="118"/>
    </row>
    <row r="680" spans="2:16" outlineLevel="1" x14ac:dyDescent="0.2">
      <c r="B680" s="118"/>
      <c r="C680" s="132"/>
      <c r="D680" s="118"/>
      <c r="E680" s="118"/>
      <c r="F680" s="118"/>
      <c r="G680" s="118"/>
      <c r="H680" s="95" t="s">
        <v>6</v>
      </c>
      <c r="I680" s="94">
        <f t="shared" si="225"/>
        <v>0.4</v>
      </c>
      <c r="J680" s="94"/>
      <c r="K680" s="94"/>
      <c r="L680" s="94">
        <v>0.4</v>
      </c>
      <c r="M680" s="94"/>
      <c r="N680" s="94"/>
      <c r="O680" s="94"/>
      <c r="P680" s="118"/>
    </row>
    <row r="681" spans="2:16" outlineLevel="1" x14ac:dyDescent="0.2">
      <c r="B681" s="119"/>
      <c r="C681" s="133"/>
      <c r="D681" s="119"/>
      <c r="E681" s="119"/>
      <c r="F681" s="119"/>
      <c r="G681" s="119"/>
      <c r="H681" s="95" t="s">
        <v>5</v>
      </c>
      <c r="I681" s="94">
        <f t="shared" si="225"/>
        <v>0</v>
      </c>
      <c r="J681" s="94"/>
      <c r="K681" s="94"/>
      <c r="L681" s="94"/>
      <c r="M681" s="94"/>
      <c r="N681" s="94"/>
      <c r="O681" s="94"/>
      <c r="P681" s="119"/>
    </row>
    <row r="682" spans="2:16" ht="42.75" outlineLevel="1" x14ac:dyDescent="0.2">
      <c r="B682" s="117" t="s">
        <v>858</v>
      </c>
      <c r="C682" s="117" t="s">
        <v>628</v>
      </c>
      <c r="D682" s="117" t="s">
        <v>449</v>
      </c>
      <c r="E682" s="117">
        <v>2023</v>
      </c>
      <c r="F682" s="117" t="s">
        <v>629</v>
      </c>
      <c r="G682" s="117" t="s">
        <v>138</v>
      </c>
      <c r="H682" s="95" t="s">
        <v>3</v>
      </c>
      <c r="I682" s="94">
        <f t="shared" si="225"/>
        <v>33.299999999999997</v>
      </c>
      <c r="J682" s="94">
        <f t="shared" ref="J682:O682" si="228">J683+J684+J685</f>
        <v>0</v>
      </c>
      <c r="K682" s="94">
        <f t="shared" si="228"/>
        <v>0</v>
      </c>
      <c r="L682" s="94">
        <f t="shared" si="228"/>
        <v>0</v>
      </c>
      <c r="M682" s="94">
        <f t="shared" si="228"/>
        <v>33.299999999999997</v>
      </c>
      <c r="N682" s="94">
        <f t="shared" si="228"/>
        <v>0</v>
      </c>
      <c r="O682" s="94">
        <f t="shared" si="228"/>
        <v>0</v>
      </c>
      <c r="P682" s="117"/>
    </row>
    <row r="683" spans="2:16" outlineLevel="1" x14ac:dyDescent="0.2">
      <c r="B683" s="118"/>
      <c r="C683" s="132"/>
      <c r="D683" s="118"/>
      <c r="E683" s="118"/>
      <c r="F683" s="118"/>
      <c r="G683" s="118"/>
      <c r="H683" s="95" t="s">
        <v>4</v>
      </c>
      <c r="I683" s="94">
        <f t="shared" si="225"/>
        <v>33</v>
      </c>
      <c r="J683" s="94"/>
      <c r="K683" s="94"/>
      <c r="L683" s="94"/>
      <c r="M683" s="94">
        <v>33</v>
      </c>
      <c r="N683" s="94"/>
      <c r="O683" s="94"/>
      <c r="P683" s="118"/>
    </row>
    <row r="684" spans="2:16" outlineLevel="1" x14ac:dyDescent="0.2">
      <c r="B684" s="118"/>
      <c r="C684" s="132"/>
      <c r="D684" s="118"/>
      <c r="E684" s="118"/>
      <c r="F684" s="118"/>
      <c r="G684" s="118"/>
      <c r="H684" s="95" t="s">
        <v>6</v>
      </c>
      <c r="I684" s="94">
        <f t="shared" si="225"/>
        <v>0.3</v>
      </c>
      <c r="J684" s="94"/>
      <c r="K684" s="94"/>
      <c r="L684" s="94"/>
      <c r="M684" s="94">
        <v>0.3</v>
      </c>
      <c r="N684" s="94"/>
      <c r="O684" s="94"/>
      <c r="P684" s="118"/>
    </row>
    <row r="685" spans="2:16" outlineLevel="1" x14ac:dyDescent="0.2">
      <c r="B685" s="119"/>
      <c r="C685" s="133"/>
      <c r="D685" s="119"/>
      <c r="E685" s="119"/>
      <c r="F685" s="119"/>
      <c r="G685" s="119"/>
      <c r="H685" s="95" t="s">
        <v>5</v>
      </c>
      <c r="I685" s="94">
        <f t="shared" si="225"/>
        <v>0</v>
      </c>
      <c r="J685" s="94"/>
      <c r="K685" s="94"/>
      <c r="L685" s="94"/>
      <c r="M685" s="94"/>
      <c r="N685" s="94"/>
      <c r="O685" s="94"/>
      <c r="P685" s="119"/>
    </row>
    <row r="686" spans="2:16" ht="42.75" customHeight="1" outlineLevel="1" x14ac:dyDescent="0.2">
      <c r="B686" s="117" t="s">
        <v>859</v>
      </c>
      <c r="C686" s="117" t="s">
        <v>628</v>
      </c>
      <c r="D686" s="117" t="s">
        <v>449</v>
      </c>
      <c r="E686" s="117">
        <v>2023</v>
      </c>
      <c r="F686" s="117" t="s">
        <v>629</v>
      </c>
      <c r="G686" s="117" t="s">
        <v>138</v>
      </c>
      <c r="H686" s="95" t="s">
        <v>3</v>
      </c>
      <c r="I686" s="94">
        <f t="shared" si="225"/>
        <v>29.7</v>
      </c>
      <c r="J686" s="94">
        <f t="shared" ref="J686:O686" si="229">J687+J688+J689</f>
        <v>0</v>
      </c>
      <c r="K686" s="94">
        <f t="shared" si="229"/>
        <v>0</v>
      </c>
      <c r="L686" s="94">
        <f t="shared" si="229"/>
        <v>0</v>
      </c>
      <c r="M686" s="94">
        <f t="shared" si="229"/>
        <v>29.7</v>
      </c>
      <c r="N686" s="94">
        <f t="shared" si="229"/>
        <v>0</v>
      </c>
      <c r="O686" s="94">
        <f t="shared" si="229"/>
        <v>0</v>
      </c>
      <c r="P686" s="117"/>
    </row>
    <row r="687" spans="2:16" outlineLevel="1" x14ac:dyDescent="0.2">
      <c r="B687" s="118"/>
      <c r="C687" s="132"/>
      <c r="D687" s="118"/>
      <c r="E687" s="118"/>
      <c r="F687" s="118"/>
      <c r="G687" s="118"/>
      <c r="H687" s="95" t="s">
        <v>4</v>
      </c>
      <c r="I687" s="94">
        <f t="shared" si="225"/>
        <v>29.4</v>
      </c>
      <c r="J687" s="94"/>
      <c r="K687" s="94"/>
      <c r="L687" s="94"/>
      <c r="M687" s="94">
        <v>29.4</v>
      </c>
      <c r="N687" s="94"/>
      <c r="O687" s="94"/>
      <c r="P687" s="118"/>
    </row>
    <row r="688" spans="2:16" outlineLevel="1" x14ac:dyDescent="0.2">
      <c r="B688" s="118"/>
      <c r="C688" s="132"/>
      <c r="D688" s="118"/>
      <c r="E688" s="118"/>
      <c r="F688" s="118"/>
      <c r="G688" s="118"/>
      <c r="H688" s="95" t="s">
        <v>6</v>
      </c>
      <c r="I688" s="94">
        <f t="shared" si="225"/>
        <v>0.3</v>
      </c>
      <c r="J688" s="94"/>
      <c r="K688" s="94"/>
      <c r="L688" s="94"/>
      <c r="M688" s="94">
        <v>0.3</v>
      </c>
      <c r="N688" s="94"/>
      <c r="O688" s="94"/>
      <c r="P688" s="118"/>
    </row>
    <row r="689" spans="2:16" outlineLevel="1" x14ac:dyDescent="0.2">
      <c r="B689" s="119"/>
      <c r="C689" s="133"/>
      <c r="D689" s="119"/>
      <c r="E689" s="119"/>
      <c r="F689" s="119"/>
      <c r="G689" s="119"/>
      <c r="H689" s="95" t="s">
        <v>5</v>
      </c>
      <c r="I689" s="94">
        <f t="shared" si="225"/>
        <v>0</v>
      </c>
      <c r="J689" s="94"/>
      <c r="K689" s="94"/>
      <c r="L689" s="94"/>
      <c r="M689" s="94"/>
      <c r="N689" s="94"/>
      <c r="O689" s="94"/>
      <c r="P689" s="119"/>
    </row>
    <row r="690" spans="2:16" ht="42.75" outlineLevel="1" x14ac:dyDescent="0.2">
      <c r="B690" s="117" t="s">
        <v>860</v>
      </c>
      <c r="C690" s="117" t="s">
        <v>628</v>
      </c>
      <c r="D690" s="117" t="s">
        <v>449</v>
      </c>
      <c r="E690" s="117">
        <v>2023</v>
      </c>
      <c r="F690" s="117" t="s">
        <v>629</v>
      </c>
      <c r="G690" s="117" t="s">
        <v>138</v>
      </c>
      <c r="H690" s="95" t="s">
        <v>3</v>
      </c>
      <c r="I690" s="94">
        <f t="shared" si="225"/>
        <v>33.299999999999997</v>
      </c>
      <c r="J690" s="94">
        <f t="shared" ref="J690:O690" si="230">J691+J692+J693</f>
        <v>0</v>
      </c>
      <c r="K690" s="94">
        <f t="shared" si="230"/>
        <v>0</v>
      </c>
      <c r="L690" s="94">
        <f t="shared" si="230"/>
        <v>0</v>
      </c>
      <c r="M690" s="94">
        <f t="shared" si="230"/>
        <v>33.299999999999997</v>
      </c>
      <c r="N690" s="94">
        <f t="shared" si="230"/>
        <v>0</v>
      </c>
      <c r="O690" s="94">
        <f t="shared" si="230"/>
        <v>0</v>
      </c>
      <c r="P690" s="117"/>
    </row>
    <row r="691" spans="2:16" outlineLevel="1" x14ac:dyDescent="0.2">
      <c r="B691" s="118"/>
      <c r="C691" s="132"/>
      <c r="D691" s="118"/>
      <c r="E691" s="118"/>
      <c r="F691" s="118"/>
      <c r="G691" s="118"/>
      <c r="H691" s="95" t="s">
        <v>4</v>
      </c>
      <c r="I691" s="94">
        <f t="shared" si="225"/>
        <v>33</v>
      </c>
      <c r="J691" s="94"/>
      <c r="K691" s="94"/>
      <c r="L691" s="94"/>
      <c r="M691" s="94">
        <v>33</v>
      </c>
      <c r="N691" s="94"/>
      <c r="O691" s="94"/>
      <c r="P691" s="118"/>
    </row>
    <row r="692" spans="2:16" outlineLevel="1" x14ac:dyDescent="0.2">
      <c r="B692" s="118"/>
      <c r="C692" s="132"/>
      <c r="D692" s="118"/>
      <c r="E692" s="118"/>
      <c r="F692" s="118"/>
      <c r="G692" s="118"/>
      <c r="H692" s="95" t="s">
        <v>6</v>
      </c>
      <c r="I692" s="94">
        <f t="shared" si="225"/>
        <v>0.3</v>
      </c>
      <c r="J692" s="94"/>
      <c r="K692" s="94"/>
      <c r="L692" s="94"/>
      <c r="M692" s="94">
        <v>0.3</v>
      </c>
      <c r="N692" s="94"/>
      <c r="O692" s="94"/>
      <c r="P692" s="118"/>
    </row>
    <row r="693" spans="2:16" outlineLevel="1" x14ac:dyDescent="0.2">
      <c r="B693" s="119"/>
      <c r="C693" s="133"/>
      <c r="D693" s="119"/>
      <c r="E693" s="119"/>
      <c r="F693" s="119"/>
      <c r="G693" s="119"/>
      <c r="H693" s="95" t="s">
        <v>5</v>
      </c>
      <c r="I693" s="94">
        <f t="shared" si="225"/>
        <v>0</v>
      </c>
      <c r="J693" s="94"/>
      <c r="K693" s="94"/>
      <c r="L693" s="94"/>
      <c r="M693" s="94"/>
      <c r="N693" s="94"/>
      <c r="O693" s="94"/>
      <c r="P693" s="119"/>
    </row>
    <row r="694" spans="2:16" ht="42.75" outlineLevel="1" x14ac:dyDescent="0.2">
      <c r="B694" s="117" t="s">
        <v>861</v>
      </c>
      <c r="C694" s="117" t="s">
        <v>628</v>
      </c>
      <c r="D694" s="117" t="s">
        <v>449</v>
      </c>
      <c r="E694" s="117">
        <v>2024</v>
      </c>
      <c r="F694" s="117" t="s">
        <v>629</v>
      </c>
      <c r="G694" s="117" t="s">
        <v>138</v>
      </c>
      <c r="H694" s="95" t="s">
        <v>3</v>
      </c>
      <c r="I694" s="94">
        <f t="shared" si="225"/>
        <v>23.4</v>
      </c>
      <c r="J694" s="94">
        <f t="shared" ref="J694:O694" si="231">J695+J696+J697</f>
        <v>0</v>
      </c>
      <c r="K694" s="94">
        <f t="shared" si="231"/>
        <v>0</v>
      </c>
      <c r="L694" s="94">
        <f t="shared" si="231"/>
        <v>0</v>
      </c>
      <c r="M694" s="94">
        <f t="shared" si="231"/>
        <v>0</v>
      </c>
      <c r="N694" s="94">
        <f t="shared" si="231"/>
        <v>23.4</v>
      </c>
      <c r="O694" s="94">
        <f t="shared" si="231"/>
        <v>0</v>
      </c>
      <c r="P694" s="117"/>
    </row>
    <row r="695" spans="2:16" outlineLevel="1" x14ac:dyDescent="0.2">
      <c r="B695" s="118"/>
      <c r="C695" s="132"/>
      <c r="D695" s="118"/>
      <c r="E695" s="118"/>
      <c r="F695" s="118"/>
      <c r="G695" s="118"/>
      <c r="H695" s="95" t="s">
        <v>4</v>
      </c>
      <c r="I695" s="94">
        <f t="shared" si="225"/>
        <v>23.2</v>
      </c>
      <c r="J695" s="94"/>
      <c r="K695" s="94"/>
      <c r="L695" s="94"/>
      <c r="M695" s="94"/>
      <c r="N695" s="94">
        <v>23.2</v>
      </c>
      <c r="O695" s="94"/>
      <c r="P695" s="118"/>
    </row>
    <row r="696" spans="2:16" outlineLevel="1" x14ac:dyDescent="0.2">
      <c r="B696" s="118"/>
      <c r="C696" s="132"/>
      <c r="D696" s="118"/>
      <c r="E696" s="118"/>
      <c r="F696" s="118"/>
      <c r="G696" s="118"/>
      <c r="H696" s="95" t="s">
        <v>6</v>
      </c>
      <c r="I696" s="94">
        <f t="shared" si="225"/>
        <v>0.2</v>
      </c>
      <c r="J696" s="94"/>
      <c r="K696" s="94"/>
      <c r="L696" s="94"/>
      <c r="M696" s="94"/>
      <c r="N696" s="94">
        <v>0.2</v>
      </c>
      <c r="O696" s="94"/>
      <c r="P696" s="118"/>
    </row>
    <row r="697" spans="2:16" outlineLevel="1" x14ac:dyDescent="0.2">
      <c r="B697" s="119"/>
      <c r="C697" s="133"/>
      <c r="D697" s="119"/>
      <c r="E697" s="119"/>
      <c r="F697" s="119"/>
      <c r="G697" s="119"/>
      <c r="H697" s="95" t="s">
        <v>5</v>
      </c>
      <c r="I697" s="94">
        <f t="shared" si="225"/>
        <v>0</v>
      </c>
      <c r="J697" s="94"/>
      <c r="K697" s="94"/>
      <c r="L697" s="94"/>
      <c r="M697" s="94"/>
      <c r="N697" s="94"/>
      <c r="O697" s="94"/>
      <c r="P697" s="119"/>
    </row>
    <row r="698" spans="2:16" ht="42.75" outlineLevel="1" x14ac:dyDescent="0.2">
      <c r="B698" s="117" t="s">
        <v>862</v>
      </c>
      <c r="C698" s="117" t="s">
        <v>628</v>
      </c>
      <c r="D698" s="117" t="s">
        <v>449</v>
      </c>
      <c r="E698" s="117">
        <v>2024</v>
      </c>
      <c r="F698" s="117" t="s">
        <v>629</v>
      </c>
      <c r="G698" s="117" t="s">
        <v>138</v>
      </c>
      <c r="H698" s="95" t="s">
        <v>3</v>
      </c>
      <c r="I698" s="94">
        <f t="shared" si="225"/>
        <v>23.9</v>
      </c>
      <c r="J698" s="94">
        <f t="shared" ref="J698:O698" si="232">J699+J700+J701</f>
        <v>0</v>
      </c>
      <c r="K698" s="94">
        <f t="shared" si="232"/>
        <v>0</v>
      </c>
      <c r="L698" s="94">
        <f t="shared" si="232"/>
        <v>0</v>
      </c>
      <c r="M698" s="94">
        <f t="shared" si="232"/>
        <v>0</v>
      </c>
      <c r="N698" s="94">
        <f t="shared" si="232"/>
        <v>23.9</v>
      </c>
      <c r="O698" s="94">
        <f t="shared" si="232"/>
        <v>0</v>
      </c>
      <c r="P698" s="117"/>
    </row>
    <row r="699" spans="2:16" outlineLevel="1" x14ac:dyDescent="0.2">
      <c r="B699" s="118"/>
      <c r="C699" s="132"/>
      <c r="D699" s="118"/>
      <c r="E699" s="118"/>
      <c r="F699" s="118"/>
      <c r="G699" s="118"/>
      <c r="H699" s="95" t="s">
        <v>4</v>
      </c>
      <c r="I699" s="94">
        <f t="shared" si="225"/>
        <v>23.7</v>
      </c>
      <c r="J699" s="94"/>
      <c r="K699" s="94"/>
      <c r="L699" s="94"/>
      <c r="M699" s="94"/>
      <c r="N699" s="94">
        <v>23.7</v>
      </c>
      <c r="O699" s="94"/>
      <c r="P699" s="118"/>
    </row>
    <row r="700" spans="2:16" outlineLevel="1" x14ac:dyDescent="0.2">
      <c r="B700" s="118"/>
      <c r="C700" s="132"/>
      <c r="D700" s="118"/>
      <c r="E700" s="118"/>
      <c r="F700" s="118"/>
      <c r="G700" s="118"/>
      <c r="H700" s="95" t="s">
        <v>6</v>
      </c>
      <c r="I700" s="94">
        <f t="shared" si="225"/>
        <v>0.2</v>
      </c>
      <c r="J700" s="94"/>
      <c r="K700" s="94"/>
      <c r="L700" s="94"/>
      <c r="M700" s="94"/>
      <c r="N700" s="94">
        <v>0.2</v>
      </c>
      <c r="O700" s="94"/>
      <c r="P700" s="118"/>
    </row>
    <row r="701" spans="2:16" outlineLevel="1" x14ac:dyDescent="0.2">
      <c r="B701" s="119"/>
      <c r="C701" s="133"/>
      <c r="D701" s="119"/>
      <c r="E701" s="119"/>
      <c r="F701" s="119"/>
      <c r="G701" s="119"/>
      <c r="H701" s="95" t="s">
        <v>5</v>
      </c>
      <c r="I701" s="94">
        <f t="shared" si="225"/>
        <v>0</v>
      </c>
      <c r="J701" s="94"/>
      <c r="K701" s="94"/>
      <c r="L701" s="94"/>
      <c r="M701" s="94"/>
      <c r="N701" s="94"/>
      <c r="O701" s="94"/>
      <c r="P701" s="119"/>
    </row>
    <row r="702" spans="2:16" ht="42.75" outlineLevel="1" x14ac:dyDescent="0.2">
      <c r="B702" s="117" t="s">
        <v>863</v>
      </c>
      <c r="C702" s="117"/>
      <c r="D702" s="117" t="s">
        <v>449</v>
      </c>
      <c r="E702" s="117">
        <v>2020</v>
      </c>
      <c r="F702" s="117" t="s">
        <v>864</v>
      </c>
      <c r="G702" s="117" t="s">
        <v>865</v>
      </c>
      <c r="H702" s="95" t="s">
        <v>3</v>
      </c>
      <c r="I702" s="94">
        <f t="shared" si="225"/>
        <v>1</v>
      </c>
      <c r="J702" s="94">
        <f t="shared" ref="J702:O702" si="233">J703+J704+J705</f>
        <v>1</v>
      </c>
      <c r="K702" s="94">
        <f t="shared" si="233"/>
        <v>0</v>
      </c>
      <c r="L702" s="94">
        <f t="shared" si="233"/>
        <v>0</v>
      </c>
      <c r="M702" s="94">
        <f t="shared" si="233"/>
        <v>0</v>
      </c>
      <c r="N702" s="94">
        <v>0</v>
      </c>
      <c r="O702" s="94">
        <f t="shared" si="233"/>
        <v>0</v>
      </c>
      <c r="P702" s="117"/>
    </row>
    <row r="703" spans="2:16" outlineLevel="1" x14ac:dyDescent="0.2">
      <c r="B703" s="118"/>
      <c r="C703" s="132"/>
      <c r="D703" s="118"/>
      <c r="E703" s="118"/>
      <c r="F703" s="118"/>
      <c r="G703" s="118"/>
      <c r="H703" s="95" t="s">
        <v>4</v>
      </c>
      <c r="I703" s="94">
        <f t="shared" si="225"/>
        <v>0</v>
      </c>
      <c r="J703" s="94"/>
      <c r="K703" s="94"/>
      <c r="L703" s="94"/>
      <c r="M703" s="94"/>
      <c r="N703" s="94"/>
      <c r="O703" s="94"/>
      <c r="P703" s="118"/>
    </row>
    <row r="704" spans="2:16" outlineLevel="1" x14ac:dyDescent="0.2">
      <c r="B704" s="118"/>
      <c r="C704" s="132"/>
      <c r="D704" s="118"/>
      <c r="E704" s="118"/>
      <c r="F704" s="118"/>
      <c r="G704" s="118"/>
      <c r="H704" s="95" t="s">
        <v>6</v>
      </c>
      <c r="I704" s="94">
        <f t="shared" si="225"/>
        <v>1</v>
      </c>
      <c r="J704" s="94">
        <v>1</v>
      </c>
      <c r="K704" s="94"/>
      <c r="L704" s="94"/>
      <c r="M704" s="94"/>
      <c r="N704" s="94"/>
      <c r="O704" s="94"/>
      <c r="P704" s="118"/>
    </row>
    <row r="705" spans="2:18" outlineLevel="1" x14ac:dyDescent="0.2">
      <c r="B705" s="119"/>
      <c r="C705" s="133"/>
      <c r="D705" s="119"/>
      <c r="E705" s="119"/>
      <c r="F705" s="119"/>
      <c r="G705" s="119"/>
      <c r="H705" s="95" t="s">
        <v>5</v>
      </c>
      <c r="I705" s="94">
        <f t="shared" si="225"/>
        <v>0</v>
      </c>
      <c r="J705" s="94"/>
      <c r="K705" s="94"/>
      <c r="L705" s="94"/>
      <c r="M705" s="94"/>
      <c r="N705" s="94"/>
      <c r="O705" s="94"/>
      <c r="P705" s="119"/>
    </row>
    <row r="706" spans="2:18" ht="42.75" outlineLevel="1" x14ac:dyDescent="0.2">
      <c r="B706" s="117" t="s">
        <v>866</v>
      </c>
      <c r="C706" s="117"/>
      <c r="D706" s="117" t="s">
        <v>449</v>
      </c>
      <c r="E706" s="117">
        <v>2021</v>
      </c>
      <c r="F706" s="117" t="s">
        <v>864</v>
      </c>
      <c r="G706" s="117" t="s">
        <v>865</v>
      </c>
      <c r="H706" s="95" t="s">
        <v>3</v>
      </c>
      <c r="I706" s="94">
        <f t="shared" si="225"/>
        <v>1</v>
      </c>
      <c r="J706" s="94">
        <f t="shared" ref="J706:O706" si="234">J707+J708+J709</f>
        <v>0</v>
      </c>
      <c r="K706" s="94">
        <f t="shared" si="234"/>
        <v>1</v>
      </c>
      <c r="L706" s="94">
        <f t="shared" si="234"/>
        <v>0</v>
      </c>
      <c r="M706" s="94">
        <f t="shared" si="234"/>
        <v>0</v>
      </c>
      <c r="N706" s="94">
        <v>0</v>
      </c>
      <c r="O706" s="94">
        <f t="shared" si="234"/>
        <v>0</v>
      </c>
      <c r="P706" s="117"/>
    </row>
    <row r="707" spans="2:18" outlineLevel="1" x14ac:dyDescent="0.2">
      <c r="B707" s="118"/>
      <c r="C707" s="132"/>
      <c r="D707" s="118"/>
      <c r="E707" s="118"/>
      <c r="F707" s="118"/>
      <c r="G707" s="118"/>
      <c r="H707" s="95" t="s">
        <v>4</v>
      </c>
      <c r="I707" s="94">
        <f t="shared" si="225"/>
        <v>0</v>
      </c>
      <c r="J707" s="94"/>
      <c r="K707" s="94"/>
      <c r="L707" s="94"/>
      <c r="M707" s="94"/>
      <c r="N707" s="94"/>
      <c r="O707" s="94"/>
      <c r="P707" s="118"/>
    </row>
    <row r="708" spans="2:18" outlineLevel="1" x14ac:dyDescent="0.2">
      <c r="B708" s="118"/>
      <c r="C708" s="132"/>
      <c r="D708" s="118"/>
      <c r="E708" s="118"/>
      <c r="F708" s="118"/>
      <c r="G708" s="118"/>
      <c r="H708" s="95" t="s">
        <v>6</v>
      </c>
      <c r="I708" s="94">
        <f t="shared" si="225"/>
        <v>1</v>
      </c>
      <c r="J708" s="94"/>
      <c r="K708" s="94">
        <v>1</v>
      </c>
      <c r="L708" s="94"/>
      <c r="M708" s="94"/>
      <c r="N708" s="94"/>
      <c r="O708" s="94"/>
      <c r="P708" s="118"/>
    </row>
    <row r="709" spans="2:18" outlineLevel="1" x14ac:dyDescent="0.2">
      <c r="B709" s="119"/>
      <c r="C709" s="133"/>
      <c r="D709" s="119"/>
      <c r="E709" s="119"/>
      <c r="F709" s="119"/>
      <c r="G709" s="119"/>
      <c r="H709" s="95" t="s">
        <v>5</v>
      </c>
      <c r="I709" s="94">
        <f t="shared" si="225"/>
        <v>0</v>
      </c>
      <c r="J709" s="94"/>
      <c r="K709" s="94"/>
      <c r="L709" s="94"/>
      <c r="M709" s="94"/>
      <c r="N709" s="94"/>
      <c r="O709" s="94"/>
      <c r="P709" s="119"/>
    </row>
    <row r="710" spans="2:18" ht="42.75" x14ac:dyDescent="0.2">
      <c r="B710" s="128" t="s">
        <v>452</v>
      </c>
      <c r="C710" s="128" t="s">
        <v>38</v>
      </c>
      <c r="D710" s="128" t="s">
        <v>38</v>
      </c>
      <c r="E710" s="128" t="s">
        <v>38</v>
      </c>
      <c r="F710" s="128" t="s">
        <v>38</v>
      </c>
      <c r="G710" s="128" t="s">
        <v>38</v>
      </c>
      <c r="H710" s="95" t="s">
        <v>3</v>
      </c>
      <c r="I710" s="14">
        <f>SUMIF($H$674:$H$709,"Объем*",I$674:I$709)</f>
        <v>208</v>
      </c>
      <c r="J710" s="14">
        <f t="shared" ref="J710:O710" si="235">SUMIF($H$674:$H$709,"Объем*",J$674:J$709)</f>
        <v>1</v>
      </c>
      <c r="K710" s="14">
        <f t="shared" si="235"/>
        <v>1</v>
      </c>
      <c r="L710" s="14">
        <f t="shared" si="235"/>
        <v>62.4</v>
      </c>
      <c r="M710" s="14">
        <f t="shared" si="235"/>
        <v>96.3</v>
      </c>
      <c r="N710" s="14">
        <f t="shared" si="235"/>
        <v>47.3</v>
      </c>
      <c r="O710" s="14">
        <f t="shared" si="235"/>
        <v>0</v>
      </c>
      <c r="P710" s="128"/>
      <c r="Q710" s="7"/>
      <c r="R710" s="7"/>
    </row>
    <row r="711" spans="2:18" ht="15.75" x14ac:dyDescent="0.2">
      <c r="B711" s="129"/>
      <c r="C711" s="129"/>
      <c r="D711" s="129"/>
      <c r="E711" s="129"/>
      <c r="F711" s="129"/>
      <c r="G711" s="129"/>
      <c r="H711" s="95" t="s">
        <v>4</v>
      </c>
      <c r="I711" s="14">
        <f>SUMIF($H$674:$H$709,"фед*",I$674:I$709)</f>
        <v>204.09999999999997</v>
      </c>
      <c r="J711" s="14">
        <f t="shared" ref="J711:O711" si="236">SUMIF($H$674:$H$709,"фед*",J$674:J$709)</f>
        <v>0</v>
      </c>
      <c r="K711" s="14">
        <f t="shared" si="236"/>
        <v>0</v>
      </c>
      <c r="L711" s="14">
        <f t="shared" si="236"/>
        <v>61.8</v>
      </c>
      <c r="M711" s="14">
        <f t="shared" si="236"/>
        <v>95.4</v>
      </c>
      <c r="N711" s="14">
        <f t="shared" si="236"/>
        <v>46.9</v>
      </c>
      <c r="O711" s="14">
        <f t="shared" si="236"/>
        <v>0</v>
      </c>
      <c r="P711" s="129"/>
      <c r="Q711" s="7"/>
    </row>
    <row r="712" spans="2:18" ht="15.75" x14ac:dyDescent="0.2">
      <c r="B712" s="129"/>
      <c r="C712" s="129"/>
      <c r="D712" s="129"/>
      <c r="E712" s="129"/>
      <c r="F712" s="129"/>
      <c r="G712" s="129"/>
      <c r="H712" s="95" t="s">
        <v>6</v>
      </c>
      <c r="I712" s="14">
        <f>SUMIF($H$674:$H$709,"конс*",I$674:I$709)</f>
        <v>3.9000000000000004</v>
      </c>
      <c r="J712" s="14">
        <f t="shared" ref="J712:O712" si="237">SUMIF($H$674:$H$709,"конс*",J$674:J$709)</f>
        <v>1</v>
      </c>
      <c r="K712" s="14">
        <f t="shared" si="237"/>
        <v>1</v>
      </c>
      <c r="L712" s="14">
        <f t="shared" si="237"/>
        <v>0.60000000000000009</v>
      </c>
      <c r="M712" s="14">
        <f t="shared" si="237"/>
        <v>0.89999999999999991</v>
      </c>
      <c r="N712" s="14">
        <f t="shared" si="237"/>
        <v>0.4</v>
      </c>
      <c r="O712" s="14">
        <f t="shared" si="237"/>
        <v>0</v>
      </c>
      <c r="P712" s="129"/>
      <c r="Q712" s="7"/>
    </row>
    <row r="713" spans="2:18" ht="15.75" x14ac:dyDescent="0.2">
      <c r="B713" s="130"/>
      <c r="C713" s="130"/>
      <c r="D713" s="130"/>
      <c r="E713" s="130"/>
      <c r="F713" s="130"/>
      <c r="G713" s="130"/>
      <c r="H713" s="95" t="s">
        <v>5</v>
      </c>
      <c r="I713" s="14">
        <f>SUMIF($H$674:$H$709,"вне*",I$674:I$709)</f>
        <v>0</v>
      </c>
      <c r="J713" s="14">
        <f t="shared" ref="J713:O713" si="238">SUMIF($H$674:$H$709,"вне*",J$674:J$709)</f>
        <v>0</v>
      </c>
      <c r="K713" s="14">
        <f t="shared" si="238"/>
        <v>0</v>
      </c>
      <c r="L713" s="14">
        <f t="shared" si="238"/>
        <v>0</v>
      </c>
      <c r="M713" s="14">
        <f t="shared" si="238"/>
        <v>0</v>
      </c>
      <c r="N713" s="14">
        <f t="shared" si="238"/>
        <v>0</v>
      </c>
      <c r="O713" s="14">
        <f t="shared" si="238"/>
        <v>0</v>
      </c>
      <c r="P713" s="130"/>
      <c r="Q713" s="7"/>
    </row>
    <row r="714" spans="2:18" ht="25.5" customHeight="1" x14ac:dyDescent="0.2">
      <c r="B714" s="111" t="s">
        <v>453</v>
      </c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3"/>
    </row>
    <row r="715" spans="2:18" ht="42.75" customHeight="1" outlineLevel="1" x14ac:dyDescent="0.2">
      <c r="B715" s="117" t="s">
        <v>867</v>
      </c>
      <c r="C715" s="117"/>
      <c r="D715" s="117" t="s">
        <v>453</v>
      </c>
      <c r="E715" s="117" t="s">
        <v>75</v>
      </c>
      <c r="F715" s="117" t="s">
        <v>868</v>
      </c>
      <c r="G715" s="117" t="s">
        <v>869</v>
      </c>
      <c r="H715" s="95" t="s">
        <v>3</v>
      </c>
      <c r="I715" s="94">
        <f>SUM(J715:O715)</f>
        <v>21</v>
      </c>
      <c r="J715" s="94">
        <f t="shared" ref="J715:O715" si="239">J716+J717+J718</f>
        <v>0</v>
      </c>
      <c r="K715" s="94">
        <f t="shared" si="239"/>
        <v>21</v>
      </c>
      <c r="L715" s="94">
        <f t="shared" si="239"/>
        <v>0</v>
      </c>
      <c r="M715" s="94">
        <f t="shared" si="239"/>
        <v>0</v>
      </c>
      <c r="N715" s="94">
        <f t="shared" si="239"/>
        <v>0</v>
      </c>
      <c r="O715" s="94">
        <f t="shared" si="239"/>
        <v>0</v>
      </c>
      <c r="P715" s="117">
        <v>300</v>
      </c>
    </row>
    <row r="716" spans="2:18" outlineLevel="1" x14ac:dyDescent="0.2">
      <c r="B716" s="118"/>
      <c r="C716" s="132"/>
      <c r="D716" s="118"/>
      <c r="E716" s="118"/>
      <c r="F716" s="118"/>
      <c r="G716" s="118"/>
      <c r="H716" s="95" t="s">
        <v>4</v>
      </c>
      <c r="I716" s="94"/>
      <c r="J716" s="94"/>
      <c r="K716" s="94"/>
      <c r="L716" s="94"/>
      <c r="M716" s="94"/>
      <c r="N716" s="94"/>
      <c r="O716" s="94"/>
      <c r="P716" s="118"/>
    </row>
    <row r="717" spans="2:18" outlineLevel="1" x14ac:dyDescent="0.2">
      <c r="B717" s="118"/>
      <c r="C717" s="132"/>
      <c r="D717" s="118"/>
      <c r="E717" s="118"/>
      <c r="F717" s="118"/>
      <c r="G717" s="118"/>
      <c r="H717" s="95" t="s">
        <v>6</v>
      </c>
      <c r="I717" s="94">
        <f>SUM(J717:O717)</f>
        <v>21</v>
      </c>
      <c r="J717" s="94"/>
      <c r="K717" s="94">
        <v>21</v>
      </c>
      <c r="L717" s="94"/>
      <c r="M717" s="94"/>
      <c r="N717" s="94"/>
      <c r="O717" s="94"/>
      <c r="P717" s="118"/>
    </row>
    <row r="718" spans="2:18" outlineLevel="1" x14ac:dyDescent="0.2">
      <c r="B718" s="119"/>
      <c r="C718" s="133"/>
      <c r="D718" s="119"/>
      <c r="E718" s="119"/>
      <c r="F718" s="119"/>
      <c r="G718" s="119"/>
      <c r="H718" s="95" t="s">
        <v>5</v>
      </c>
      <c r="I718" s="94"/>
      <c r="J718" s="94"/>
      <c r="K718" s="94"/>
      <c r="L718" s="94"/>
      <c r="M718" s="94"/>
      <c r="N718" s="94"/>
      <c r="O718" s="94"/>
      <c r="P718" s="119"/>
    </row>
    <row r="719" spans="2:18" ht="42.75" customHeight="1" outlineLevel="1" x14ac:dyDescent="0.2">
      <c r="B719" s="117" t="s">
        <v>870</v>
      </c>
      <c r="C719" s="117"/>
      <c r="D719" s="117" t="s">
        <v>453</v>
      </c>
      <c r="E719" s="117" t="s">
        <v>75</v>
      </c>
      <c r="F719" s="117" t="s">
        <v>87</v>
      </c>
      <c r="G719" s="117" t="s">
        <v>871</v>
      </c>
      <c r="H719" s="95" t="s">
        <v>3</v>
      </c>
      <c r="I719" s="94">
        <f>SUM(J719:O719)</f>
        <v>5</v>
      </c>
      <c r="J719" s="94">
        <f t="shared" ref="J719:O719" si="240">J720+J721+J722</f>
        <v>0</v>
      </c>
      <c r="K719" s="94">
        <f t="shared" si="240"/>
        <v>0</v>
      </c>
      <c r="L719" s="94">
        <f t="shared" si="240"/>
        <v>5</v>
      </c>
      <c r="M719" s="94">
        <f t="shared" si="240"/>
        <v>0</v>
      </c>
      <c r="N719" s="94">
        <f t="shared" si="240"/>
        <v>0</v>
      </c>
      <c r="O719" s="94">
        <f t="shared" si="240"/>
        <v>0</v>
      </c>
      <c r="P719" s="117">
        <v>54</v>
      </c>
    </row>
    <row r="720" spans="2:18" outlineLevel="1" x14ac:dyDescent="0.2">
      <c r="B720" s="118"/>
      <c r="C720" s="132"/>
      <c r="D720" s="118"/>
      <c r="E720" s="118"/>
      <c r="F720" s="118"/>
      <c r="G720" s="118"/>
      <c r="H720" s="95" t="s">
        <v>4</v>
      </c>
      <c r="I720" s="94"/>
      <c r="J720" s="94"/>
      <c r="K720" s="94"/>
      <c r="L720" s="94"/>
      <c r="M720" s="94"/>
      <c r="N720" s="94"/>
      <c r="O720" s="94"/>
      <c r="P720" s="118"/>
    </row>
    <row r="721" spans="2:16" outlineLevel="1" x14ac:dyDescent="0.2">
      <c r="B721" s="118"/>
      <c r="C721" s="132"/>
      <c r="D721" s="118"/>
      <c r="E721" s="118"/>
      <c r="F721" s="118"/>
      <c r="G721" s="118"/>
      <c r="H721" s="95" t="s">
        <v>6</v>
      </c>
      <c r="I721" s="94">
        <f>SUM(J721:O721)</f>
        <v>5</v>
      </c>
      <c r="J721" s="94"/>
      <c r="K721" s="94"/>
      <c r="L721" s="94">
        <v>5</v>
      </c>
      <c r="M721" s="94"/>
      <c r="N721" s="94"/>
      <c r="O721" s="94"/>
      <c r="P721" s="118"/>
    </row>
    <row r="722" spans="2:16" outlineLevel="1" x14ac:dyDescent="0.2">
      <c r="B722" s="119"/>
      <c r="C722" s="133"/>
      <c r="D722" s="119"/>
      <c r="E722" s="119"/>
      <c r="F722" s="119"/>
      <c r="G722" s="119"/>
      <c r="H722" s="95" t="s">
        <v>5</v>
      </c>
      <c r="I722" s="94"/>
      <c r="J722" s="94"/>
      <c r="K722" s="94"/>
      <c r="L722" s="94"/>
      <c r="M722" s="94"/>
      <c r="N722" s="94"/>
      <c r="O722" s="94"/>
      <c r="P722" s="119"/>
    </row>
    <row r="723" spans="2:16" ht="42.75" customHeight="1" outlineLevel="1" x14ac:dyDescent="0.2">
      <c r="B723" s="117" t="s">
        <v>872</v>
      </c>
      <c r="C723" s="117"/>
      <c r="D723" s="117" t="s">
        <v>453</v>
      </c>
      <c r="E723" s="117" t="s">
        <v>568</v>
      </c>
      <c r="F723" s="117" t="s">
        <v>873</v>
      </c>
      <c r="G723" s="117" t="s">
        <v>874</v>
      </c>
      <c r="H723" s="95" t="s">
        <v>3</v>
      </c>
      <c r="I723" s="94">
        <f>SUM(J723:O723)</f>
        <v>95</v>
      </c>
      <c r="J723" s="94">
        <f t="shared" ref="J723:O723" si="241">J724+J725+J726</f>
        <v>0</v>
      </c>
      <c r="K723" s="94">
        <f t="shared" si="241"/>
        <v>0</v>
      </c>
      <c r="L723" s="94">
        <f t="shared" si="241"/>
        <v>95</v>
      </c>
      <c r="M723" s="94">
        <f t="shared" si="241"/>
        <v>0</v>
      </c>
      <c r="N723" s="94">
        <f t="shared" si="241"/>
        <v>0</v>
      </c>
      <c r="O723" s="94">
        <f t="shared" si="241"/>
        <v>0</v>
      </c>
      <c r="P723" s="117">
        <v>800</v>
      </c>
    </row>
    <row r="724" spans="2:16" outlineLevel="1" x14ac:dyDescent="0.2">
      <c r="B724" s="118"/>
      <c r="C724" s="132"/>
      <c r="D724" s="118"/>
      <c r="E724" s="118"/>
      <c r="F724" s="118"/>
      <c r="G724" s="118"/>
      <c r="H724" s="95" t="s">
        <v>4</v>
      </c>
      <c r="I724" s="94"/>
      <c r="J724" s="94"/>
      <c r="K724" s="94"/>
      <c r="L724" s="94"/>
      <c r="M724" s="94"/>
      <c r="N724" s="94"/>
      <c r="O724" s="94"/>
      <c r="P724" s="118"/>
    </row>
    <row r="725" spans="2:16" outlineLevel="1" x14ac:dyDescent="0.2">
      <c r="B725" s="118"/>
      <c r="C725" s="132"/>
      <c r="D725" s="118"/>
      <c r="E725" s="118"/>
      <c r="F725" s="118"/>
      <c r="G725" s="118"/>
      <c r="H725" s="95" t="s">
        <v>6</v>
      </c>
      <c r="I725" s="94">
        <f>SUM(J725:O725)</f>
        <v>95</v>
      </c>
      <c r="J725" s="94"/>
      <c r="K725" s="94"/>
      <c r="L725" s="94">
        <v>95</v>
      </c>
      <c r="M725" s="94"/>
      <c r="N725" s="94"/>
      <c r="O725" s="94"/>
      <c r="P725" s="118"/>
    </row>
    <row r="726" spans="2:16" outlineLevel="1" x14ac:dyDescent="0.2">
      <c r="B726" s="119"/>
      <c r="C726" s="133"/>
      <c r="D726" s="119"/>
      <c r="E726" s="119"/>
      <c r="F726" s="119"/>
      <c r="G726" s="119"/>
      <c r="H726" s="95" t="s">
        <v>5</v>
      </c>
      <c r="I726" s="94"/>
      <c r="J726" s="94"/>
      <c r="K726" s="94"/>
      <c r="L726" s="94"/>
      <c r="M726" s="94"/>
      <c r="N726" s="94"/>
      <c r="O726" s="94"/>
      <c r="P726" s="119"/>
    </row>
    <row r="727" spans="2:16" ht="42.75" customHeight="1" outlineLevel="1" x14ac:dyDescent="0.2">
      <c r="B727" s="117" t="s">
        <v>875</v>
      </c>
      <c r="C727" s="117"/>
      <c r="D727" s="117" t="s">
        <v>453</v>
      </c>
      <c r="E727" s="117" t="s">
        <v>698</v>
      </c>
      <c r="F727" s="117" t="s">
        <v>131</v>
      </c>
      <c r="G727" s="117" t="s">
        <v>876</v>
      </c>
      <c r="H727" s="95" t="s">
        <v>3</v>
      </c>
      <c r="I727" s="94">
        <f>SUM(J727:O727)</f>
        <v>39</v>
      </c>
      <c r="J727" s="94">
        <f t="shared" ref="J727:O727" si="242">J728+J729+J730</f>
        <v>0</v>
      </c>
      <c r="K727" s="94">
        <f t="shared" si="242"/>
        <v>0</v>
      </c>
      <c r="L727" s="94">
        <f t="shared" si="242"/>
        <v>0</v>
      </c>
      <c r="M727" s="94">
        <f t="shared" si="242"/>
        <v>0</v>
      </c>
      <c r="N727" s="94">
        <f t="shared" si="242"/>
        <v>39</v>
      </c>
      <c r="O727" s="94">
        <f t="shared" si="242"/>
        <v>0</v>
      </c>
      <c r="P727" s="117">
        <v>230</v>
      </c>
    </row>
    <row r="728" spans="2:16" outlineLevel="1" x14ac:dyDescent="0.2">
      <c r="B728" s="118"/>
      <c r="C728" s="132"/>
      <c r="D728" s="118"/>
      <c r="E728" s="118"/>
      <c r="F728" s="118"/>
      <c r="G728" s="118"/>
      <c r="H728" s="95" t="s">
        <v>4</v>
      </c>
      <c r="I728" s="94"/>
      <c r="J728" s="94"/>
      <c r="K728" s="94"/>
      <c r="L728" s="94"/>
      <c r="M728" s="94"/>
      <c r="N728" s="94"/>
      <c r="O728" s="94"/>
      <c r="P728" s="118"/>
    </row>
    <row r="729" spans="2:16" outlineLevel="1" x14ac:dyDescent="0.2">
      <c r="B729" s="118"/>
      <c r="C729" s="132"/>
      <c r="D729" s="118"/>
      <c r="E729" s="118"/>
      <c r="F729" s="118"/>
      <c r="G729" s="118"/>
      <c r="H729" s="95" t="s">
        <v>6</v>
      </c>
      <c r="I729" s="94">
        <f>SUM(J729:O729)</f>
        <v>39</v>
      </c>
      <c r="J729" s="94"/>
      <c r="K729" s="94"/>
      <c r="L729" s="94"/>
      <c r="M729" s="94"/>
      <c r="N729" s="94">
        <v>39</v>
      </c>
      <c r="O729" s="94"/>
      <c r="P729" s="118"/>
    </row>
    <row r="730" spans="2:16" outlineLevel="1" x14ac:dyDescent="0.2">
      <c r="B730" s="119"/>
      <c r="C730" s="133"/>
      <c r="D730" s="119"/>
      <c r="E730" s="119"/>
      <c r="F730" s="119"/>
      <c r="G730" s="119"/>
      <c r="H730" s="95" t="s">
        <v>5</v>
      </c>
      <c r="I730" s="94"/>
      <c r="J730" s="94"/>
      <c r="K730" s="94"/>
      <c r="L730" s="94"/>
      <c r="M730" s="94"/>
      <c r="N730" s="94"/>
      <c r="O730" s="94"/>
      <c r="P730" s="119"/>
    </row>
    <row r="731" spans="2:16" ht="42.75" customHeight="1" outlineLevel="1" x14ac:dyDescent="0.2">
      <c r="B731" s="117" t="s">
        <v>877</v>
      </c>
      <c r="C731" s="117"/>
      <c r="D731" s="117" t="s">
        <v>453</v>
      </c>
      <c r="E731" s="117" t="s">
        <v>50</v>
      </c>
      <c r="F731" s="117" t="s">
        <v>878</v>
      </c>
      <c r="G731" s="117" t="s">
        <v>879</v>
      </c>
      <c r="H731" s="95" t="s">
        <v>3</v>
      </c>
      <c r="I731" s="94">
        <f>SUM(J731:O731)</f>
        <v>40</v>
      </c>
      <c r="J731" s="94">
        <f t="shared" ref="J731:O731" si="243">J732+J733+J734</f>
        <v>0</v>
      </c>
      <c r="K731" s="94">
        <f t="shared" si="243"/>
        <v>0</v>
      </c>
      <c r="L731" s="94">
        <f t="shared" si="243"/>
        <v>0</v>
      </c>
      <c r="M731" s="94">
        <f t="shared" si="243"/>
        <v>40</v>
      </c>
      <c r="N731" s="94">
        <f t="shared" si="243"/>
        <v>0</v>
      </c>
      <c r="O731" s="94">
        <f t="shared" si="243"/>
        <v>0</v>
      </c>
      <c r="P731" s="117">
        <v>356</v>
      </c>
    </row>
    <row r="732" spans="2:16" outlineLevel="1" x14ac:dyDescent="0.2">
      <c r="B732" s="118"/>
      <c r="C732" s="132"/>
      <c r="D732" s="118"/>
      <c r="E732" s="118"/>
      <c r="F732" s="118"/>
      <c r="G732" s="118"/>
      <c r="H732" s="95" t="s">
        <v>4</v>
      </c>
      <c r="I732" s="94"/>
      <c r="J732" s="94"/>
      <c r="K732" s="94"/>
      <c r="L732" s="94"/>
      <c r="M732" s="94"/>
      <c r="N732" s="94"/>
      <c r="O732" s="94"/>
      <c r="P732" s="118"/>
    </row>
    <row r="733" spans="2:16" outlineLevel="1" x14ac:dyDescent="0.2">
      <c r="B733" s="118"/>
      <c r="C733" s="132"/>
      <c r="D733" s="118"/>
      <c r="E733" s="118"/>
      <c r="F733" s="118"/>
      <c r="G733" s="118"/>
      <c r="H733" s="95" t="s">
        <v>6</v>
      </c>
      <c r="I733" s="94">
        <f>SUM(J733:O733)</f>
        <v>40</v>
      </c>
      <c r="J733" s="94"/>
      <c r="K733" s="94"/>
      <c r="L733" s="94"/>
      <c r="M733" s="94">
        <v>40</v>
      </c>
      <c r="N733" s="94"/>
      <c r="O733" s="94"/>
      <c r="P733" s="118"/>
    </row>
    <row r="734" spans="2:16" outlineLevel="1" x14ac:dyDescent="0.2">
      <c r="B734" s="119"/>
      <c r="C734" s="133"/>
      <c r="D734" s="119"/>
      <c r="E734" s="119"/>
      <c r="F734" s="119"/>
      <c r="G734" s="119"/>
      <c r="H734" s="95" t="s">
        <v>5</v>
      </c>
      <c r="I734" s="94"/>
      <c r="J734" s="94"/>
      <c r="K734" s="94"/>
      <c r="L734" s="94"/>
      <c r="M734" s="94"/>
      <c r="N734" s="94"/>
      <c r="O734" s="94"/>
      <c r="P734" s="119"/>
    </row>
    <row r="735" spans="2:16" ht="42.75" customHeight="1" outlineLevel="1" x14ac:dyDescent="0.2">
      <c r="B735" s="117" t="s">
        <v>880</v>
      </c>
      <c r="C735" s="117"/>
      <c r="D735" s="117" t="s">
        <v>453</v>
      </c>
      <c r="E735" s="117" t="s">
        <v>203</v>
      </c>
      <c r="F735" s="117" t="s">
        <v>881</v>
      </c>
      <c r="G735" s="117" t="s">
        <v>882</v>
      </c>
      <c r="H735" s="95" t="s">
        <v>3</v>
      </c>
      <c r="I735" s="94">
        <f>SUM(J735:O735)</f>
        <v>36</v>
      </c>
      <c r="J735" s="94">
        <f t="shared" ref="J735:O735" si="244">J736+J737+J738</f>
        <v>0</v>
      </c>
      <c r="K735" s="94">
        <f t="shared" si="244"/>
        <v>36</v>
      </c>
      <c r="L735" s="94">
        <f t="shared" si="244"/>
        <v>0</v>
      </c>
      <c r="M735" s="94">
        <f t="shared" si="244"/>
        <v>0</v>
      </c>
      <c r="N735" s="94">
        <f t="shared" si="244"/>
        <v>0</v>
      </c>
      <c r="O735" s="94">
        <f t="shared" si="244"/>
        <v>0</v>
      </c>
      <c r="P735" s="117">
        <v>483</v>
      </c>
    </row>
    <row r="736" spans="2:16" outlineLevel="1" x14ac:dyDescent="0.2">
      <c r="B736" s="118"/>
      <c r="C736" s="132"/>
      <c r="D736" s="118"/>
      <c r="E736" s="118"/>
      <c r="F736" s="118"/>
      <c r="G736" s="118"/>
      <c r="H736" s="95" t="s">
        <v>4</v>
      </c>
      <c r="I736" s="94"/>
      <c r="J736" s="94"/>
      <c r="K736" s="94"/>
      <c r="L736" s="94"/>
      <c r="M736" s="94"/>
      <c r="N736" s="94"/>
      <c r="O736" s="94"/>
      <c r="P736" s="118"/>
    </row>
    <row r="737" spans="2:16" outlineLevel="1" x14ac:dyDescent="0.2">
      <c r="B737" s="118"/>
      <c r="C737" s="132"/>
      <c r="D737" s="118"/>
      <c r="E737" s="118"/>
      <c r="F737" s="118"/>
      <c r="G737" s="118"/>
      <c r="H737" s="95" t="s">
        <v>6</v>
      </c>
      <c r="I737" s="94">
        <f>SUM(J737:O737)</f>
        <v>36</v>
      </c>
      <c r="J737" s="94"/>
      <c r="K737" s="94">
        <v>36</v>
      </c>
      <c r="L737" s="94"/>
      <c r="M737" s="94"/>
      <c r="N737" s="94"/>
      <c r="O737" s="94"/>
      <c r="P737" s="118"/>
    </row>
    <row r="738" spans="2:16" outlineLevel="1" x14ac:dyDescent="0.2">
      <c r="B738" s="119"/>
      <c r="C738" s="133"/>
      <c r="D738" s="119"/>
      <c r="E738" s="119"/>
      <c r="F738" s="119"/>
      <c r="G738" s="119"/>
      <c r="H738" s="95" t="s">
        <v>5</v>
      </c>
      <c r="I738" s="94"/>
      <c r="J738" s="94"/>
      <c r="K738" s="94"/>
      <c r="L738" s="94"/>
      <c r="M738" s="94"/>
      <c r="N738" s="94"/>
      <c r="O738" s="94"/>
      <c r="P738" s="119"/>
    </row>
    <row r="739" spans="2:16" ht="42.75" customHeight="1" outlineLevel="1" x14ac:dyDescent="0.2">
      <c r="B739" s="117" t="s">
        <v>883</v>
      </c>
      <c r="C739" s="117"/>
      <c r="D739" s="117" t="s">
        <v>453</v>
      </c>
      <c r="E739" s="117" t="s">
        <v>75</v>
      </c>
      <c r="F739" s="117" t="s">
        <v>884</v>
      </c>
      <c r="G739" s="117" t="s">
        <v>879</v>
      </c>
      <c r="H739" s="95" t="s">
        <v>3</v>
      </c>
      <c r="I739" s="94">
        <f>SUM(J739:O739)</f>
        <v>29.25</v>
      </c>
      <c r="J739" s="94">
        <f t="shared" ref="J739:O739" si="245">J740+J741+J742</f>
        <v>0</v>
      </c>
      <c r="K739" s="94">
        <f t="shared" si="245"/>
        <v>0</v>
      </c>
      <c r="L739" s="94">
        <f t="shared" si="245"/>
        <v>0</v>
      </c>
      <c r="M739" s="94">
        <f t="shared" si="245"/>
        <v>0</v>
      </c>
      <c r="N739" s="94">
        <f t="shared" si="245"/>
        <v>29.25</v>
      </c>
      <c r="O739" s="94">
        <f t="shared" si="245"/>
        <v>0</v>
      </c>
      <c r="P739" s="117">
        <v>168</v>
      </c>
    </row>
    <row r="740" spans="2:16" outlineLevel="1" x14ac:dyDescent="0.2">
      <c r="B740" s="118"/>
      <c r="C740" s="132"/>
      <c r="D740" s="118"/>
      <c r="E740" s="118"/>
      <c r="F740" s="118"/>
      <c r="G740" s="118"/>
      <c r="H740" s="95" t="s">
        <v>4</v>
      </c>
      <c r="I740" s="94"/>
      <c r="J740" s="94"/>
      <c r="K740" s="94"/>
      <c r="L740" s="94"/>
      <c r="M740" s="94"/>
      <c r="N740" s="94"/>
      <c r="O740" s="94"/>
      <c r="P740" s="118"/>
    </row>
    <row r="741" spans="2:16" outlineLevel="1" x14ac:dyDescent="0.2">
      <c r="B741" s="118"/>
      <c r="C741" s="132"/>
      <c r="D741" s="118"/>
      <c r="E741" s="118"/>
      <c r="F741" s="118"/>
      <c r="G741" s="118"/>
      <c r="H741" s="95" t="s">
        <v>6</v>
      </c>
      <c r="I741" s="94">
        <f>SUM(J741:O741)</f>
        <v>29.25</v>
      </c>
      <c r="J741" s="94"/>
      <c r="K741" s="94"/>
      <c r="L741" s="94"/>
      <c r="M741" s="94"/>
      <c r="N741" s="94">
        <v>29.25</v>
      </c>
      <c r="O741" s="94"/>
      <c r="P741" s="118"/>
    </row>
    <row r="742" spans="2:16" outlineLevel="1" x14ac:dyDescent="0.2">
      <c r="B742" s="119"/>
      <c r="C742" s="133"/>
      <c r="D742" s="119"/>
      <c r="E742" s="119"/>
      <c r="F742" s="119"/>
      <c r="G742" s="119"/>
      <c r="H742" s="95" t="s">
        <v>5</v>
      </c>
      <c r="I742" s="94"/>
      <c r="J742" s="94"/>
      <c r="K742" s="94"/>
      <c r="L742" s="94"/>
      <c r="M742" s="94"/>
      <c r="N742" s="94"/>
      <c r="O742" s="94"/>
      <c r="P742" s="119"/>
    </row>
    <row r="743" spans="2:16" ht="42.75" customHeight="1" outlineLevel="1" x14ac:dyDescent="0.2">
      <c r="B743" s="117" t="s">
        <v>885</v>
      </c>
      <c r="C743" s="117"/>
      <c r="D743" s="117" t="s">
        <v>453</v>
      </c>
      <c r="E743" s="117" t="s">
        <v>50</v>
      </c>
      <c r="F743" s="117" t="s">
        <v>886</v>
      </c>
      <c r="G743" s="117" t="s">
        <v>887</v>
      </c>
      <c r="H743" s="95" t="s">
        <v>3</v>
      </c>
      <c r="I743" s="94">
        <f>SUM(J743:O743)</f>
        <v>13.5</v>
      </c>
      <c r="J743" s="94">
        <f t="shared" ref="J743:O743" si="246">J744+J745+J746</f>
        <v>0</v>
      </c>
      <c r="K743" s="94">
        <f t="shared" si="246"/>
        <v>0</v>
      </c>
      <c r="L743" s="94">
        <f t="shared" si="246"/>
        <v>0</v>
      </c>
      <c r="M743" s="94">
        <f t="shared" si="246"/>
        <v>0</v>
      </c>
      <c r="N743" s="94">
        <f t="shared" si="246"/>
        <v>13.5</v>
      </c>
      <c r="O743" s="94">
        <f t="shared" si="246"/>
        <v>0</v>
      </c>
      <c r="P743" s="117">
        <v>234</v>
      </c>
    </row>
    <row r="744" spans="2:16" outlineLevel="1" x14ac:dyDescent="0.2">
      <c r="B744" s="118"/>
      <c r="C744" s="132"/>
      <c r="D744" s="118"/>
      <c r="E744" s="118"/>
      <c r="F744" s="118"/>
      <c r="G744" s="118"/>
      <c r="H744" s="95" t="s">
        <v>4</v>
      </c>
      <c r="I744" s="94"/>
      <c r="J744" s="94"/>
      <c r="K744" s="94"/>
      <c r="L744" s="94"/>
      <c r="M744" s="94"/>
      <c r="N744" s="94"/>
      <c r="O744" s="94"/>
      <c r="P744" s="118"/>
    </row>
    <row r="745" spans="2:16" outlineLevel="1" x14ac:dyDescent="0.2">
      <c r="B745" s="118"/>
      <c r="C745" s="132"/>
      <c r="D745" s="118"/>
      <c r="E745" s="118"/>
      <c r="F745" s="118"/>
      <c r="G745" s="118"/>
      <c r="H745" s="95" t="s">
        <v>6</v>
      </c>
      <c r="I745" s="94">
        <f>SUM(J745:O745)</f>
        <v>13.5</v>
      </c>
      <c r="J745" s="94"/>
      <c r="K745" s="94"/>
      <c r="L745" s="94"/>
      <c r="M745" s="94"/>
      <c r="N745" s="94">
        <v>13.5</v>
      </c>
      <c r="O745" s="94"/>
      <c r="P745" s="118"/>
    </row>
    <row r="746" spans="2:16" outlineLevel="1" x14ac:dyDescent="0.2">
      <c r="B746" s="119"/>
      <c r="C746" s="133"/>
      <c r="D746" s="119"/>
      <c r="E746" s="119"/>
      <c r="F746" s="119"/>
      <c r="G746" s="119"/>
      <c r="H746" s="95" t="s">
        <v>5</v>
      </c>
      <c r="I746" s="94"/>
      <c r="J746" s="94"/>
      <c r="K746" s="94"/>
      <c r="L746" s="94"/>
      <c r="M746" s="94"/>
      <c r="N746" s="94"/>
      <c r="O746" s="94"/>
      <c r="P746" s="119"/>
    </row>
    <row r="747" spans="2:16" ht="42.75" customHeight="1" outlineLevel="1" x14ac:dyDescent="0.2">
      <c r="B747" s="117" t="s">
        <v>888</v>
      </c>
      <c r="C747" s="117"/>
      <c r="D747" s="117" t="s">
        <v>453</v>
      </c>
      <c r="E747" s="117" t="s">
        <v>568</v>
      </c>
      <c r="F747" s="117" t="s">
        <v>886</v>
      </c>
      <c r="G747" s="117" t="s">
        <v>889</v>
      </c>
      <c r="H747" s="95" t="s">
        <v>3</v>
      </c>
      <c r="I747" s="94">
        <f>SUM(J747:O747)</f>
        <v>22</v>
      </c>
      <c r="J747" s="94">
        <f t="shared" ref="J747:O747" si="247">J748+J749+J750</f>
        <v>0</v>
      </c>
      <c r="K747" s="94">
        <f t="shared" si="247"/>
        <v>0</v>
      </c>
      <c r="L747" s="94">
        <f t="shared" si="247"/>
        <v>0</v>
      </c>
      <c r="M747" s="94">
        <f t="shared" si="247"/>
        <v>0</v>
      </c>
      <c r="N747" s="94">
        <f t="shared" si="247"/>
        <v>0</v>
      </c>
      <c r="O747" s="94">
        <f t="shared" si="247"/>
        <v>22</v>
      </c>
      <c r="P747" s="117">
        <v>123</v>
      </c>
    </row>
    <row r="748" spans="2:16" outlineLevel="1" x14ac:dyDescent="0.2">
      <c r="B748" s="118"/>
      <c r="C748" s="132"/>
      <c r="D748" s="118"/>
      <c r="E748" s="118"/>
      <c r="F748" s="118"/>
      <c r="G748" s="118"/>
      <c r="H748" s="95" t="s">
        <v>4</v>
      </c>
      <c r="I748" s="94"/>
      <c r="J748" s="94"/>
      <c r="K748" s="94"/>
      <c r="L748" s="94"/>
      <c r="M748" s="94"/>
      <c r="N748" s="94"/>
      <c r="O748" s="94"/>
      <c r="P748" s="118"/>
    </row>
    <row r="749" spans="2:16" outlineLevel="1" x14ac:dyDescent="0.2">
      <c r="B749" s="118"/>
      <c r="C749" s="132"/>
      <c r="D749" s="118"/>
      <c r="E749" s="118"/>
      <c r="F749" s="118"/>
      <c r="G749" s="118"/>
      <c r="H749" s="95" t="s">
        <v>6</v>
      </c>
      <c r="I749" s="94">
        <f>SUM(J749:O749)</f>
        <v>22</v>
      </c>
      <c r="J749" s="94"/>
      <c r="K749" s="94"/>
      <c r="L749" s="94"/>
      <c r="M749" s="94"/>
      <c r="N749" s="94"/>
      <c r="O749" s="94">
        <v>22</v>
      </c>
      <c r="P749" s="118"/>
    </row>
    <row r="750" spans="2:16" outlineLevel="1" x14ac:dyDescent="0.2">
      <c r="B750" s="119"/>
      <c r="C750" s="133"/>
      <c r="D750" s="119"/>
      <c r="E750" s="119"/>
      <c r="F750" s="119"/>
      <c r="G750" s="119"/>
      <c r="H750" s="95" t="s">
        <v>5</v>
      </c>
      <c r="I750" s="94"/>
      <c r="J750" s="94"/>
      <c r="K750" s="94"/>
      <c r="L750" s="94"/>
      <c r="M750" s="94"/>
      <c r="N750" s="94"/>
      <c r="O750" s="94"/>
      <c r="P750" s="119"/>
    </row>
    <row r="751" spans="2:16" ht="42.75" customHeight="1" outlineLevel="1" x14ac:dyDescent="0.2">
      <c r="B751" s="117" t="s">
        <v>890</v>
      </c>
      <c r="C751" s="117"/>
      <c r="D751" s="117" t="s">
        <v>453</v>
      </c>
      <c r="E751" s="117" t="s">
        <v>568</v>
      </c>
      <c r="F751" s="117"/>
      <c r="G751" s="117" t="s">
        <v>887</v>
      </c>
      <c r="H751" s="95" t="s">
        <v>3</v>
      </c>
      <c r="I751" s="94">
        <f>SUM(J751:O751)</f>
        <v>445</v>
      </c>
      <c r="J751" s="94">
        <f t="shared" ref="J751:O751" si="248">J752+J753+J754</f>
        <v>0</v>
      </c>
      <c r="K751" s="94">
        <f t="shared" si="248"/>
        <v>0</v>
      </c>
      <c r="L751" s="94">
        <f t="shared" si="248"/>
        <v>0</v>
      </c>
      <c r="M751" s="94">
        <f t="shared" si="248"/>
        <v>0</v>
      </c>
      <c r="N751" s="94">
        <f t="shared" si="248"/>
        <v>0</v>
      </c>
      <c r="O751" s="94">
        <f t="shared" si="248"/>
        <v>445</v>
      </c>
      <c r="P751" s="117">
        <v>385</v>
      </c>
    </row>
    <row r="752" spans="2:16" outlineLevel="1" x14ac:dyDescent="0.2">
      <c r="B752" s="118"/>
      <c r="C752" s="132"/>
      <c r="D752" s="118"/>
      <c r="E752" s="118"/>
      <c r="F752" s="118"/>
      <c r="G752" s="118"/>
      <c r="H752" s="95" t="s">
        <v>4</v>
      </c>
      <c r="I752" s="94"/>
      <c r="J752" s="94"/>
      <c r="K752" s="94"/>
      <c r="L752" s="94"/>
      <c r="M752" s="94"/>
      <c r="N752" s="94"/>
      <c r="O752" s="94"/>
      <c r="P752" s="118"/>
    </row>
    <row r="753" spans="2:18" outlineLevel="1" x14ac:dyDescent="0.2">
      <c r="B753" s="118"/>
      <c r="C753" s="132"/>
      <c r="D753" s="118"/>
      <c r="E753" s="118"/>
      <c r="F753" s="118"/>
      <c r="G753" s="118"/>
      <c r="H753" s="95" t="s">
        <v>6</v>
      </c>
      <c r="I753" s="94">
        <f>SUM(J753:O753)</f>
        <v>445</v>
      </c>
      <c r="J753" s="94"/>
      <c r="K753" s="94"/>
      <c r="L753" s="94"/>
      <c r="M753" s="94"/>
      <c r="N753" s="94"/>
      <c r="O753" s="94">
        <v>445</v>
      </c>
      <c r="P753" s="118"/>
    </row>
    <row r="754" spans="2:18" outlineLevel="1" x14ac:dyDescent="0.2">
      <c r="B754" s="119"/>
      <c r="C754" s="133"/>
      <c r="D754" s="119"/>
      <c r="E754" s="119"/>
      <c r="F754" s="119"/>
      <c r="G754" s="119"/>
      <c r="H754" s="95" t="s">
        <v>5</v>
      </c>
      <c r="I754" s="94"/>
      <c r="J754" s="94"/>
      <c r="K754" s="94"/>
      <c r="L754" s="94"/>
      <c r="M754" s="94"/>
      <c r="N754" s="94"/>
      <c r="O754" s="94"/>
      <c r="P754" s="119"/>
    </row>
    <row r="755" spans="2:18" ht="42.75" x14ac:dyDescent="0.2">
      <c r="B755" s="128" t="s">
        <v>492</v>
      </c>
      <c r="C755" s="128" t="s">
        <v>38</v>
      </c>
      <c r="D755" s="128" t="s">
        <v>38</v>
      </c>
      <c r="E755" s="128" t="s">
        <v>38</v>
      </c>
      <c r="F755" s="128" t="s">
        <v>38</v>
      </c>
      <c r="G755" s="128" t="s">
        <v>38</v>
      </c>
      <c r="H755" s="95" t="s">
        <v>3</v>
      </c>
      <c r="I755" s="14">
        <f>SUMIF($H$715:$H$754,"Объем*",I$715:I$754)</f>
        <v>745.75</v>
      </c>
      <c r="J755" s="14">
        <f t="shared" ref="J755:O755" si="249">SUMIF($H$715:$H$754,"Объем*",J$715:J$754)</f>
        <v>0</v>
      </c>
      <c r="K755" s="14">
        <f t="shared" si="249"/>
        <v>57</v>
      </c>
      <c r="L755" s="14">
        <f t="shared" si="249"/>
        <v>100</v>
      </c>
      <c r="M755" s="14">
        <f t="shared" si="249"/>
        <v>40</v>
      </c>
      <c r="N755" s="14">
        <f t="shared" si="249"/>
        <v>81.75</v>
      </c>
      <c r="O755" s="14">
        <f t="shared" si="249"/>
        <v>467</v>
      </c>
      <c r="P755" s="128"/>
      <c r="Q755" s="7"/>
      <c r="R755" s="7"/>
    </row>
    <row r="756" spans="2:18" ht="15.75" x14ac:dyDescent="0.2">
      <c r="B756" s="129"/>
      <c r="C756" s="129"/>
      <c r="D756" s="129"/>
      <c r="E756" s="129"/>
      <c r="F756" s="129"/>
      <c r="G756" s="129"/>
      <c r="H756" s="95" t="s">
        <v>4</v>
      </c>
      <c r="I756" s="14">
        <f>SUMIF($H$715:$H$754,"фед*",I$715:I$754)</f>
        <v>0</v>
      </c>
      <c r="J756" s="14">
        <f t="shared" ref="J756:O756" si="250">SUMIF($H$715:$H$754,"фед*",J$715:J$754)</f>
        <v>0</v>
      </c>
      <c r="K756" s="14">
        <f t="shared" si="250"/>
        <v>0</v>
      </c>
      <c r="L756" s="14">
        <f t="shared" si="250"/>
        <v>0</v>
      </c>
      <c r="M756" s="14">
        <f t="shared" si="250"/>
        <v>0</v>
      </c>
      <c r="N756" s="14">
        <f t="shared" si="250"/>
        <v>0</v>
      </c>
      <c r="O756" s="14">
        <f t="shared" si="250"/>
        <v>0</v>
      </c>
      <c r="P756" s="129"/>
      <c r="Q756" s="7"/>
    </row>
    <row r="757" spans="2:18" ht="15.75" x14ac:dyDescent="0.2">
      <c r="B757" s="129"/>
      <c r="C757" s="129"/>
      <c r="D757" s="129"/>
      <c r="E757" s="129"/>
      <c r="F757" s="129"/>
      <c r="G757" s="129"/>
      <c r="H757" s="95" t="s">
        <v>6</v>
      </c>
      <c r="I757" s="14">
        <f>SUMIF($H$715:$H$754,"конс*",I$715:I$754)</f>
        <v>745.75</v>
      </c>
      <c r="J757" s="14">
        <f t="shared" ref="J757:O757" si="251">SUMIF($H$715:$H$754,"конс*",J$715:J$754)</f>
        <v>0</v>
      </c>
      <c r="K757" s="14">
        <f t="shared" si="251"/>
        <v>57</v>
      </c>
      <c r="L757" s="14">
        <f t="shared" si="251"/>
        <v>100</v>
      </c>
      <c r="M757" s="14">
        <f t="shared" si="251"/>
        <v>40</v>
      </c>
      <c r="N757" s="14">
        <f t="shared" si="251"/>
        <v>81.75</v>
      </c>
      <c r="O757" s="14">
        <f t="shared" si="251"/>
        <v>467</v>
      </c>
      <c r="P757" s="129"/>
      <c r="Q757" s="7"/>
    </row>
    <row r="758" spans="2:18" ht="15.75" x14ac:dyDescent="0.2">
      <c r="B758" s="130"/>
      <c r="C758" s="130"/>
      <c r="D758" s="130"/>
      <c r="E758" s="130"/>
      <c r="F758" s="130"/>
      <c r="G758" s="130"/>
      <c r="H758" s="95" t="s">
        <v>5</v>
      </c>
      <c r="I758" s="14">
        <f>SUMIF($H$715:$H$754,"вне*",I$715:I$754)</f>
        <v>0</v>
      </c>
      <c r="J758" s="14">
        <f t="shared" ref="J758:O758" si="252">SUMIF($H$715:$H$754,"вне*",J$715:J$754)</f>
        <v>0</v>
      </c>
      <c r="K758" s="14">
        <f t="shared" si="252"/>
        <v>0</v>
      </c>
      <c r="L758" s="14">
        <f t="shared" si="252"/>
        <v>0</v>
      </c>
      <c r="M758" s="14">
        <f t="shared" si="252"/>
        <v>0</v>
      </c>
      <c r="N758" s="14">
        <f t="shared" si="252"/>
        <v>0</v>
      </c>
      <c r="O758" s="14">
        <f t="shared" si="252"/>
        <v>0</v>
      </c>
      <c r="P758" s="130"/>
      <c r="Q758" s="7"/>
    </row>
    <row r="759" spans="2:18" ht="25.5" customHeight="1" x14ac:dyDescent="0.2">
      <c r="B759" s="111" t="s">
        <v>493</v>
      </c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3"/>
    </row>
    <row r="760" spans="2:18" ht="42.75" outlineLevel="1" x14ac:dyDescent="0.2">
      <c r="B760" s="117" t="s">
        <v>891</v>
      </c>
      <c r="C760" s="117" t="s">
        <v>628</v>
      </c>
      <c r="D760" s="117" t="s">
        <v>892</v>
      </c>
      <c r="E760" s="117" t="s">
        <v>99</v>
      </c>
      <c r="F760" s="117"/>
      <c r="G760" s="117" t="s">
        <v>138</v>
      </c>
      <c r="H760" s="95" t="s">
        <v>3</v>
      </c>
      <c r="I760" s="94">
        <f t="shared" ref="I760:I763" si="253">SUM(J760:O760)</f>
        <v>409.4</v>
      </c>
      <c r="J760" s="94">
        <f t="shared" ref="J760:O760" si="254">J761+J762+J763</f>
        <v>15</v>
      </c>
      <c r="K760" s="94">
        <f t="shared" si="254"/>
        <v>305.7</v>
      </c>
      <c r="L760" s="94">
        <f t="shared" si="254"/>
        <v>88.699999999999989</v>
      </c>
      <c r="M760" s="94">
        <f t="shared" si="254"/>
        <v>0</v>
      </c>
      <c r="N760" s="94">
        <f t="shared" si="254"/>
        <v>0</v>
      </c>
      <c r="O760" s="94">
        <f t="shared" si="254"/>
        <v>0</v>
      </c>
      <c r="P760" s="117"/>
    </row>
    <row r="761" spans="2:18" outlineLevel="1" x14ac:dyDescent="0.2">
      <c r="B761" s="118"/>
      <c r="C761" s="132"/>
      <c r="D761" s="118"/>
      <c r="E761" s="118"/>
      <c r="F761" s="118"/>
      <c r="G761" s="118"/>
      <c r="H761" s="95" t="s">
        <v>4</v>
      </c>
      <c r="I761" s="94">
        <f t="shared" si="253"/>
        <v>242.2</v>
      </c>
      <c r="J761" s="94">
        <v>0</v>
      </c>
      <c r="K761" s="94">
        <v>154.6</v>
      </c>
      <c r="L761" s="94">
        <v>87.6</v>
      </c>
      <c r="M761" s="94"/>
      <c r="N761" s="94"/>
      <c r="O761" s="94"/>
      <c r="P761" s="118"/>
    </row>
    <row r="762" spans="2:18" outlineLevel="1" x14ac:dyDescent="0.2">
      <c r="B762" s="118"/>
      <c r="C762" s="132"/>
      <c r="D762" s="118"/>
      <c r="E762" s="118"/>
      <c r="F762" s="118"/>
      <c r="G762" s="118"/>
      <c r="H762" s="95" t="s">
        <v>6</v>
      </c>
      <c r="I762" s="94">
        <f t="shared" si="253"/>
        <v>167.2</v>
      </c>
      <c r="J762" s="94">
        <v>15</v>
      </c>
      <c r="K762" s="94">
        <v>151.1</v>
      </c>
      <c r="L762" s="94">
        <v>1.1000000000000001</v>
      </c>
      <c r="M762" s="94"/>
      <c r="N762" s="94"/>
      <c r="O762" s="94"/>
      <c r="P762" s="118"/>
    </row>
    <row r="763" spans="2:18" outlineLevel="1" x14ac:dyDescent="0.2">
      <c r="B763" s="119"/>
      <c r="C763" s="133"/>
      <c r="D763" s="119"/>
      <c r="E763" s="119"/>
      <c r="F763" s="119"/>
      <c r="G763" s="119"/>
      <c r="H763" s="95" t="s">
        <v>5</v>
      </c>
      <c r="I763" s="94">
        <f t="shared" si="253"/>
        <v>0</v>
      </c>
      <c r="J763" s="94"/>
      <c r="K763" s="94"/>
      <c r="L763" s="94"/>
      <c r="M763" s="94"/>
      <c r="N763" s="94"/>
      <c r="O763" s="94"/>
      <c r="P763" s="119"/>
    </row>
    <row r="764" spans="2:18" ht="42.75" x14ac:dyDescent="0.2">
      <c r="B764" s="128" t="s">
        <v>510</v>
      </c>
      <c r="C764" s="128" t="s">
        <v>38</v>
      </c>
      <c r="D764" s="128" t="s">
        <v>38</v>
      </c>
      <c r="E764" s="128" t="s">
        <v>38</v>
      </c>
      <c r="F764" s="128" t="s">
        <v>38</v>
      </c>
      <c r="G764" s="128" t="s">
        <v>38</v>
      </c>
      <c r="H764" s="95" t="s">
        <v>3</v>
      </c>
      <c r="I764" s="14">
        <f>SUMIF($H$760:$H$763,"Объем*",I$760:I$763)</f>
        <v>409.4</v>
      </c>
      <c r="J764" s="14">
        <f t="shared" ref="J764:O764" si="255">SUMIF($H$760:$H$763,"Объем*",J$760:J$763)</f>
        <v>15</v>
      </c>
      <c r="K764" s="14">
        <f t="shared" si="255"/>
        <v>305.7</v>
      </c>
      <c r="L764" s="14">
        <f t="shared" si="255"/>
        <v>88.699999999999989</v>
      </c>
      <c r="M764" s="14">
        <f t="shared" si="255"/>
        <v>0</v>
      </c>
      <c r="N764" s="14">
        <f t="shared" si="255"/>
        <v>0</v>
      </c>
      <c r="O764" s="14">
        <f t="shared" si="255"/>
        <v>0</v>
      </c>
      <c r="P764" s="128"/>
      <c r="Q764" s="7"/>
      <c r="R764" s="7"/>
    </row>
    <row r="765" spans="2:18" ht="15.75" x14ac:dyDescent="0.2">
      <c r="B765" s="129"/>
      <c r="C765" s="129"/>
      <c r="D765" s="129"/>
      <c r="E765" s="129"/>
      <c r="F765" s="129"/>
      <c r="G765" s="129"/>
      <c r="H765" s="95" t="s">
        <v>4</v>
      </c>
      <c r="I765" s="14">
        <f>SUMIF($H$760:$H$763,"фед*",I$760:I$763)</f>
        <v>242.2</v>
      </c>
      <c r="J765" s="14">
        <f t="shared" ref="J765:O765" si="256">SUMIF($H$760:$H$763,"фед*",J$760:J$763)</f>
        <v>0</v>
      </c>
      <c r="K765" s="14">
        <f t="shared" si="256"/>
        <v>154.6</v>
      </c>
      <c r="L765" s="14">
        <f t="shared" si="256"/>
        <v>87.6</v>
      </c>
      <c r="M765" s="14">
        <f t="shared" si="256"/>
        <v>0</v>
      </c>
      <c r="N765" s="14">
        <f t="shared" si="256"/>
        <v>0</v>
      </c>
      <c r="O765" s="14">
        <f t="shared" si="256"/>
        <v>0</v>
      </c>
      <c r="P765" s="129"/>
      <c r="Q765" s="7"/>
    </row>
    <row r="766" spans="2:18" ht="15.75" x14ac:dyDescent="0.2">
      <c r="B766" s="129"/>
      <c r="C766" s="129"/>
      <c r="D766" s="129"/>
      <c r="E766" s="129"/>
      <c r="F766" s="129"/>
      <c r="G766" s="129"/>
      <c r="H766" s="95" t="s">
        <v>6</v>
      </c>
      <c r="I766" s="14">
        <f>SUMIF($H$760:$H$763,"конс*",I$760:I$763)</f>
        <v>167.2</v>
      </c>
      <c r="J766" s="14">
        <f t="shared" ref="J766:O766" si="257">SUMIF($H$760:$H$763,"конс*",J$760:J$763)</f>
        <v>15</v>
      </c>
      <c r="K766" s="14">
        <f t="shared" si="257"/>
        <v>151.1</v>
      </c>
      <c r="L766" s="14">
        <f t="shared" si="257"/>
        <v>1.1000000000000001</v>
      </c>
      <c r="M766" s="14">
        <f t="shared" si="257"/>
        <v>0</v>
      </c>
      <c r="N766" s="14">
        <f t="shared" si="257"/>
        <v>0</v>
      </c>
      <c r="O766" s="14">
        <f t="shared" si="257"/>
        <v>0</v>
      </c>
      <c r="P766" s="129"/>
      <c r="Q766" s="7"/>
    </row>
    <row r="767" spans="2:18" ht="15.75" x14ac:dyDescent="0.2">
      <c r="B767" s="130"/>
      <c r="C767" s="130"/>
      <c r="D767" s="130"/>
      <c r="E767" s="130"/>
      <c r="F767" s="130"/>
      <c r="G767" s="130"/>
      <c r="H767" s="95" t="s">
        <v>5</v>
      </c>
      <c r="I767" s="14">
        <f>SUMIF($H$760:$H$763,"вне*",I$760:I$763)</f>
        <v>0</v>
      </c>
      <c r="J767" s="14">
        <f t="shared" ref="J767:O767" si="258">SUMIF($H$760:$H$763,"вне*",J$760:J$763)</f>
        <v>0</v>
      </c>
      <c r="K767" s="14">
        <f t="shared" si="258"/>
        <v>0</v>
      </c>
      <c r="L767" s="14">
        <f t="shared" si="258"/>
        <v>0</v>
      </c>
      <c r="M767" s="14">
        <f t="shared" si="258"/>
        <v>0</v>
      </c>
      <c r="N767" s="14">
        <f t="shared" si="258"/>
        <v>0</v>
      </c>
      <c r="O767" s="14">
        <f t="shared" si="258"/>
        <v>0</v>
      </c>
      <c r="P767" s="130"/>
      <c r="Q767" s="7"/>
    </row>
    <row r="768" spans="2:18" ht="25.5" customHeight="1" x14ac:dyDescent="0.2">
      <c r="B768" s="111" t="s">
        <v>520</v>
      </c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3"/>
    </row>
    <row r="769" spans="2:16" ht="42.75" outlineLevel="1" x14ac:dyDescent="0.2">
      <c r="B769" s="117" t="s">
        <v>893</v>
      </c>
      <c r="C769" s="117"/>
      <c r="D769" s="117" t="s">
        <v>894</v>
      </c>
      <c r="E769" s="117">
        <v>2020</v>
      </c>
      <c r="F769" s="117" t="s">
        <v>895</v>
      </c>
      <c r="G769" s="117" t="s">
        <v>138</v>
      </c>
      <c r="H769" s="95" t="s">
        <v>3</v>
      </c>
      <c r="I769" s="94">
        <f t="shared" ref="I769:I788" si="259">SUM(J769:O769)</f>
        <v>50.4</v>
      </c>
      <c r="J769" s="94">
        <f t="shared" ref="J769:O769" si="260">J770+J771+J772</f>
        <v>50.4</v>
      </c>
      <c r="K769" s="94">
        <f t="shared" si="260"/>
        <v>0</v>
      </c>
      <c r="L769" s="94">
        <f t="shared" si="260"/>
        <v>0</v>
      </c>
      <c r="M769" s="94">
        <f t="shared" si="260"/>
        <v>0</v>
      </c>
      <c r="N769" s="94">
        <f t="shared" si="260"/>
        <v>0</v>
      </c>
      <c r="O769" s="94">
        <f t="shared" si="260"/>
        <v>0</v>
      </c>
      <c r="P769" s="117"/>
    </row>
    <row r="770" spans="2:16" ht="17.25" outlineLevel="1" x14ac:dyDescent="0.2">
      <c r="B770" s="118"/>
      <c r="C770" s="132"/>
      <c r="D770" s="118"/>
      <c r="E770" s="118"/>
      <c r="F770" s="118"/>
      <c r="G770" s="118"/>
      <c r="H770" s="95" t="s">
        <v>4</v>
      </c>
      <c r="I770" s="94">
        <f t="shared" si="259"/>
        <v>0</v>
      </c>
      <c r="J770" s="52"/>
      <c r="K770" s="52"/>
      <c r="L770" s="52"/>
      <c r="M770" s="52"/>
      <c r="N770" s="52"/>
      <c r="O770" s="52"/>
      <c r="P770" s="118"/>
    </row>
    <row r="771" spans="2:16" ht="17.25" outlineLevel="1" x14ac:dyDescent="0.2">
      <c r="B771" s="118"/>
      <c r="C771" s="132"/>
      <c r="D771" s="118"/>
      <c r="E771" s="118"/>
      <c r="F771" s="118"/>
      <c r="G771" s="118"/>
      <c r="H771" s="95" t="s">
        <v>6</v>
      </c>
      <c r="I771" s="94">
        <f t="shared" si="259"/>
        <v>50.4</v>
      </c>
      <c r="J771" s="52">
        <v>50.4</v>
      </c>
      <c r="K771" s="52"/>
      <c r="L771" s="52"/>
      <c r="M771" s="52"/>
      <c r="N771" s="52"/>
      <c r="O771" s="52"/>
      <c r="P771" s="118"/>
    </row>
    <row r="772" spans="2:16" ht="17.25" outlineLevel="1" x14ac:dyDescent="0.2">
      <c r="B772" s="119"/>
      <c r="C772" s="133"/>
      <c r="D772" s="119"/>
      <c r="E772" s="119"/>
      <c r="F772" s="119"/>
      <c r="G772" s="119"/>
      <c r="H772" s="95" t="s">
        <v>5</v>
      </c>
      <c r="I772" s="94">
        <f t="shared" si="259"/>
        <v>0</v>
      </c>
      <c r="J772" s="52"/>
      <c r="K772" s="52"/>
      <c r="L772" s="52"/>
      <c r="M772" s="52"/>
      <c r="N772" s="52"/>
      <c r="O772" s="52"/>
      <c r="P772" s="119"/>
    </row>
    <row r="773" spans="2:16" ht="42.75" outlineLevel="1" x14ac:dyDescent="0.2">
      <c r="B773" s="117" t="s">
        <v>896</v>
      </c>
      <c r="C773" s="117" t="s">
        <v>628</v>
      </c>
      <c r="D773" s="117" t="s">
        <v>897</v>
      </c>
      <c r="E773" s="117">
        <v>2021</v>
      </c>
      <c r="F773" s="117"/>
      <c r="G773" s="117" t="s">
        <v>138</v>
      </c>
      <c r="H773" s="95" t="s">
        <v>3</v>
      </c>
      <c r="I773" s="94">
        <f t="shared" si="259"/>
        <v>19.52</v>
      </c>
      <c r="J773" s="94">
        <f t="shared" ref="J773:O773" si="261">J774+J775+J776</f>
        <v>0</v>
      </c>
      <c r="K773" s="94">
        <f t="shared" si="261"/>
        <v>19.52</v>
      </c>
      <c r="L773" s="94">
        <f t="shared" si="261"/>
        <v>0</v>
      </c>
      <c r="M773" s="94">
        <f t="shared" si="261"/>
        <v>0</v>
      </c>
      <c r="N773" s="94">
        <f t="shared" si="261"/>
        <v>0</v>
      </c>
      <c r="O773" s="94">
        <f t="shared" si="261"/>
        <v>0</v>
      </c>
      <c r="P773" s="117"/>
    </row>
    <row r="774" spans="2:16" outlineLevel="1" x14ac:dyDescent="0.2">
      <c r="B774" s="118"/>
      <c r="C774" s="132"/>
      <c r="D774" s="118"/>
      <c r="E774" s="118"/>
      <c r="F774" s="118"/>
      <c r="G774" s="118"/>
      <c r="H774" s="95" t="s">
        <v>4</v>
      </c>
      <c r="I774" s="94">
        <f t="shared" si="259"/>
        <v>0</v>
      </c>
      <c r="J774" s="94"/>
      <c r="K774" s="94"/>
      <c r="L774" s="94"/>
      <c r="M774" s="94"/>
      <c r="N774" s="94"/>
      <c r="O774" s="94"/>
      <c r="P774" s="118"/>
    </row>
    <row r="775" spans="2:16" outlineLevel="1" x14ac:dyDescent="0.2">
      <c r="B775" s="118"/>
      <c r="C775" s="132"/>
      <c r="D775" s="118"/>
      <c r="E775" s="118"/>
      <c r="F775" s="118"/>
      <c r="G775" s="118"/>
      <c r="H775" s="95" t="s">
        <v>6</v>
      </c>
      <c r="I775" s="94">
        <f t="shared" si="259"/>
        <v>19.52</v>
      </c>
      <c r="J775" s="94"/>
      <c r="K775" s="94">
        <v>19.52</v>
      </c>
      <c r="L775" s="94"/>
      <c r="M775" s="94"/>
      <c r="N775" s="94"/>
      <c r="O775" s="94"/>
      <c r="P775" s="118"/>
    </row>
    <row r="776" spans="2:16" outlineLevel="1" x14ac:dyDescent="0.2">
      <c r="B776" s="119"/>
      <c r="C776" s="133"/>
      <c r="D776" s="119"/>
      <c r="E776" s="119"/>
      <c r="F776" s="119"/>
      <c r="G776" s="119"/>
      <c r="H776" s="95" t="s">
        <v>5</v>
      </c>
      <c r="I776" s="94">
        <f t="shared" si="259"/>
        <v>0</v>
      </c>
      <c r="J776" s="94"/>
      <c r="K776" s="94"/>
      <c r="L776" s="94"/>
      <c r="M776" s="94"/>
      <c r="N776" s="94"/>
      <c r="O776" s="94"/>
      <c r="P776" s="119"/>
    </row>
    <row r="777" spans="2:16" ht="42.75" outlineLevel="1" x14ac:dyDescent="0.2">
      <c r="B777" s="117" t="s">
        <v>898</v>
      </c>
      <c r="C777" s="117" t="s">
        <v>628</v>
      </c>
      <c r="D777" s="117" t="s">
        <v>899</v>
      </c>
      <c r="E777" s="117">
        <v>2021</v>
      </c>
      <c r="F777" s="117"/>
      <c r="G777" s="117" t="s">
        <v>138</v>
      </c>
      <c r="H777" s="95" t="s">
        <v>3</v>
      </c>
      <c r="I777" s="94">
        <f t="shared" si="259"/>
        <v>25.024999999999999</v>
      </c>
      <c r="J777" s="94">
        <f t="shared" ref="J777:O777" si="262">J778+J779+J780</f>
        <v>0</v>
      </c>
      <c r="K777" s="94">
        <f t="shared" si="262"/>
        <v>25.024999999999999</v>
      </c>
      <c r="L777" s="94">
        <f t="shared" si="262"/>
        <v>0</v>
      </c>
      <c r="M777" s="94">
        <f t="shared" si="262"/>
        <v>0</v>
      </c>
      <c r="N777" s="94">
        <f t="shared" si="262"/>
        <v>0</v>
      </c>
      <c r="O777" s="94">
        <f t="shared" si="262"/>
        <v>0</v>
      </c>
      <c r="P777" s="117"/>
    </row>
    <row r="778" spans="2:16" outlineLevel="1" x14ac:dyDescent="0.2">
      <c r="B778" s="118"/>
      <c r="C778" s="132"/>
      <c r="D778" s="118"/>
      <c r="E778" s="118"/>
      <c r="F778" s="118"/>
      <c r="G778" s="118"/>
      <c r="H778" s="95" t="s">
        <v>4</v>
      </c>
      <c r="I778" s="94">
        <f t="shared" si="259"/>
        <v>0</v>
      </c>
      <c r="J778" s="94"/>
      <c r="K778" s="94"/>
      <c r="L778" s="94"/>
      <c r="M778" s="94"/>
      <c r="N778" s="94"/>
      <c r="O778" s="94"/>
      <c r="P778" s="118"/>
    </row>
    <row r="779" spans="2:16" outlineLevel="1" x14ac:dyDescent="0.2">
      <c r="B779" s="118"/>
      <c r="C779" s="132"/>
      <c r="D779" s="118"/>
      <c r="E779" s="118"/>
      <c r="F779" s="118"/>
      <c r="G779" s="118"/>
      <c r="H779" s="95" t="s">
        <v>6</v>
      </c>
      <c r="I779" s="94">
        <f t="shared" si="259"/>
        <v>25.024999999999999</v>
      </c>
      <c r="J779" s="94"/>
      <c r="K779" s="94">
        <v>25.024999999999999</v>
      </c>
      <c r="L779" s="94"/>
      <c r="M779" s="94"/>
      <c r="N779" s="94"/>
      <c r="O779" s="94"/>
      <c r="P779" s="118"/>
    </row>
    <row r="780" spans="2:16" outlineLevel="1" x14ac:dyDescent="0.2">
      <c r="B780" s="119"/>
      <c r="C780" s="133"/>
      <c r="D780" s="119"/>
      <c r="E780" s="119"/>
      <c r="F780" s="119"/>
      <c r="G780" s="119"/>
      <c r="H780" s="95" t="s">
        <v>5</v>
      </c>
      <c r="I780" s="94">
        <f t="shared" si="259"/>
        <v>0</v>
      </c>
      <c r="J780" s="94"/>
      <c r="K780" s="94"/>
      <c r="L780" s="94"/>
      <c r="M780" s="94"/>
      <c r="N780" s="94"/>
      <c r="O780" s="94"/>
      <c r="P780" s="119"/>
    </row>
    <row r="781" spans="2:16" ht="42.75" outlineLevel="1" x14ac:dyDescent="0.2">
      <c r="B781" s="117" t="s">
        <v>900</v>
      </c>
      <c r="C781" s="117" t="s">
        <v>628</v>
      </c>
      <c r="D781" s="117" t="s">
        <v>520</v>
      </c>
      <c r="E781" s="117">
        <v>2022</v>
      </c>
      <c r="F781" s="117" t="s">
        <v>629</v>
      </c>
      <c r="G781" s="117" t="s">
        <v>138</v>
      </c>
      <c r="H781" s="95" t="s">
        <v>3</v>
      </c>
      <c r="I781" s="94">
        <f t="shared" si="259"/>
        <v>20.599999999999998</v>
      </c>
      <c r="J781" s="94">
        <f t="shared" ref="J781:O781" si="263">J782+J783+J784</f>
        <v>0</v>
      </c>
      <c r="K781" s="94">
        <f t="shared" si="263"/>
        <v>0</v>
      </c>
      <c r="L781" s="94">
        <f t="shared" si="263"/>
        <v>20.599999999999998</v>
      </c>
      <c r="M781" s="94">
        <f t="shared" si="263"/>
        <v>0</v>
      </c>
      <c r="N781" s="94">
        <f t="shared" si="263"/>
        <v>0</v>
      </c>
      <c r="O781" s="94">
        <f t="shared" si="263"/>
        <v>0</v>
      </c>
      <c r="P781" s="117"/>
    </row>
    <row r="782" spans="2:16" outlineLevel="1" x14ac:dyDescent="0.2">
      <c r="B782" s="118"/>
      <c r="C782" s="132"/>
      <c r="D782" s="118"/>
      <c r="E782" s="118"/>
      <c r="F782" s="118"/>
      <c r="G782" s="118"/>
      <c r="H782" s="95" t="s">
        <v>4</v>
      </c>
      <c r="I782" s="94">
        <f t="shared" si="259"/>
        <v>20.399999999999999</v>
      </c>
      <c r="J782" s="94"/>
      <c r="K782" s="94"/>
      <c r="L782" s="94">
        <v>20.399999999999999</v>
      </c>
      <c r="M782" s="94"/>
      <c r="N782" s="94"/>
      <c r="O782" s="94"/>
      <c r="P782" s="118"/>
    </row>
    <row r="783" spans="2:16" outlineLevel="1" x14ac:dyDescent="0.2">
      <c r="B783" s="118"/>
      <c r="C783" s="132"/>
      <c r="D783" s="118"/>
      <c r="E783" s="118"/>
      <c r="F783" s="118"/>
      <c r="G783" s="118"/>
      <c r="H783" s="95" t="s">
        <v>6</v>
      </c>
      <c r="I783" s="94">
        <f t="shared" si="259"/>
        <v>0.2</v>
      </c>
      <c r="J783" s="94"/>
      <c r="K783" s="94"/>
      <c r="L783" s="94">
        <v>0.2</v>
      </c>
      <c r="M783" s="94"/>
      <c r="N783" s="94"/>
      <c r="O783" s="94"/>
      <c r="P783" s="118"/>
    </row>
    <row r="784" spans="2:16" outlineLevel="1" x14ac:dyDescent="0.2">
      <c r="B784" s="119"/>
      <c r="C784" s="133"/>
      <c r="D784" s="119"/>
      <c r="E784" s="119"/>
      <c r="F784" s="119"/>
      <c r="G784" s="119"/>
      <c r="H784" s="95" t="s">
        <v>5</v>
      </c>
      <c r="I784" s="94">
        <f t="shared" si="259"/>
        <v>0</v>
      </c>
      <c r="J784" s="94"/>
      <c r="K784" s="94"/>
      <c r="L784" s="94"/>
      <c r="M784" s="94"/>
      <c r="N784" s="94"/>
      <c r="O784" s="94"/>
      <c r="P784" s="119"/>
    </row>
    <row r="785" spans="2:18" ht="42.75" outlineLevel="1" x14ac:dyDescent="0.2">
      <c r="B785" s="117" t="s">
        <v>901</v>
      </c>
      <c r="C785" s="117" t="s">
        <v>628</v>
      </c>
      <c r="D785" s="117" t="s">
        <v>520</v>
      </c>
      <c r="E785" s="117">
        <v>2024</v>
      </c>
      <c r="F785" s="117" t="s">
        <v>629</v>
      </c>
      <c r="G785" s="117" t="s">
        <v>138</v>
      </c>
      <c r="H785" s="95" t="s">
        <v>3</v>
      </c>
      <c r="I785" s="94">
        <f t="shared" si="259"/>
        <v>13.299999999999999</v>
      </c>
      <c r="J785" s="94">
        <f t="shared" ref="J785:O785" si="264">J786+J787+J788</f>
        <v>0</v>
      </c>
      <c r="K785" s="94">
        <f t="shared" si="264"/>
        <v>0</v>
      </c>
      <c r="L785" s="94">
        <f t="shared" si="264"/>
        <v>0</v>
      </c>
      <c r="M785" s="94">
        <f t="shared" si="264"/>
        <v>0</v>
      </c>
      <c r="N785" s="94">
        <f t="shared" si="264"/>
        <v>13.299999999999999</v>
      </c>
      <c r="O785" s="94">
        <f t="shared" si="264"/>
        <v>0</v>
      </c>
      <c r="P785" s="117"/>
    </row>
    <row r="786" spans="2:18" outlineLevel="1" x14ac:dyDescent="0.2">
      <c r="B786" s="118"/>
      <c r="C786" s="132"/>
      <c r="D786" s="118"/>
      <c r="E786" s="118"/>
      <c r="F786" s="118"/>
      <c r="G786" s="118"/>
      <c r="H786" s="95" t="s">
        <v>4</v>
      </c>
      <c r="I786" s="94">
        <f t="shared" si="259"/>
        <v>13.2</v>
      </c>
      <c r="J786" s="94"/>
      <c r="K786" s="94"/>
      <c r="L786" s="94"/>
      <c r="M786" s="94"/>
      <c r="N786" s="94">
        <v>13.2</v>
      </c>
      <c r="O786" s="94"/>
      <c r="P786" s="118"/>
    </row>
    <row r="787" spans="2:18" outlineLevel="1" x14ac:dyDescent="0.2">
      <c r="B787" s="118"/>
      <c r="C787" s="132"/>
      <c r="D787" s="118"/>
      <c r="E787" s="118"/>
      <c r="F787" s="118"/>
      <c r="G787" s="118"/>
      <c r="H787" s="95" t="s">
        <v>6</v>
      </c>
      <c r="I787" s="94">
        <f t="shared" si="259"/>
        <v>0.1</v>
      </c>
      <c r="J787" s="94"/>
      <c r="K787" s="94"/>
      <c r="L787" s="94"/>
      <c r="M787" s="94"/>
      <c r="N787" s="94">
        <v>0.1</v>
      </c>
      <c r="O787" s="94"/>
      <c r="P787" s="118"/>
    </row>
    <row r="788" spans="2:18" outlineLevel="1" x14ac:dyDescent="0.2">
      <c r="B788" s="119"/>
      <c r="C788" s="133"/>
      <c r="D788" s="119"/>
      <c r="E788" s="119"/>
      <c r="F788" s="119"/>
      <c r="G788" s="119"/>
      <c r="H788" s="95" t="s">
        <v>5</v>
      </c>
      <c r="I788" s="94">
        <f t="shared" si="259"/>
        <v>0</v>
      </c>
      <c r="J788" s="94"/>
      <c r="K788" s="94"/>
      <c r="L788" s="94"/>
      <c r="M788" s="94"/>
      <c r="N788" s="94"/>
      <c r="O788" s="94"/>
      <c r="P788" s="119"/>
    </row>
    <row r="789" spans="2:18" ht="42.75" x14ac:dyDescent="0.2">
      <c r="B789" s="128" t="s">
        <v>530</v>
      </c>
      <c r="C789" s="128" t="s">
        <v>38</v>
      </c>
      <c r="D789" s="128" t="s">
        <v>38</v>
      </c>
      <c r="E789" s="128" t="s">
        <v>38</v>
      </c>
      <c r="F789" s="128" t="s">
        <v>38</v>
      </c>
      <c r="G789" s="128" t="s">
        <v>38</v>
      </c>
      <c r="H789" s="95" t="s">
        <v>3</v>
      </c>
      <c r="I789" s="14">
        <f>SUMIF($H$769:$H$788,"Объем*",I$769:I$788)</f>
        <v>128.845</v>
      </c>
      <c r="J789" s="14">
        <f t="shared" ref="J789:O789" si="265">SUMIF($H$769:$H$788,"Объем*",J$769:J$788)</f>
        <v>50.4</v>
      </c>
      <c r="K789" s="14">
        <f t="shared" si="265"/>
        <v>44.545000000000002</v>
      </c>
      <c r="L789" s="14">
        <f t="shared" si="265"/>
        <v>20.599999999999998</v>
      </c>
      <c r="M789" s="14">
        <f t="shared" si="265"/>
        <v>0</v>
      </c>
      <c r="N789" s="14">
        <f t="shared" si="265"/>
        <v>13.299999999999999</v>
      </c>
      <c r="O789" s="14">
        <f t="shared" si="265"/>
        <v>0</v>
      </c>
      <c r="P789" s="128"/>
      <c r="Q789" s="7"/>
      <c r="R789" s="7"/>
    </row>
    <row r="790" spans="2:18" ht="15.75" x14ac:dyDescent="0.2">
      <c r="B790" s="129"/>
      <c r="C790" s="129"/>
      <c r="D790" s="129"/>
      <c r="E790" s="129"/>
      <c r="F790" s="129"/>
      <c r="G790" s="129"/>
      <c r="H790" s="95" t="s">
        <v>4</v>
      </c>
      <c r="I790" s="14">
        <f>SUMIF($H$769:$H$788,"фед*",I$769:I$788)</f>
        <v>33.599999999999994</v>
      </c>
      <c r="J790" s="14">
        <f t="shared" ref="J790:O790" si="266">SUMIF($H$769:$H$788,"фед*",J$769:J$788)</f>
        <v>0</v>
      </c>
      <c r="K790" s="14">
        <f t="shared" si="266"/>
        <v>0</v>
      </c>
      <c r="L790" s="14">
        <f t="shared" si="266"/>
        <v>20.399999999999999</v>
      </c>
      <c r="M790" s="14">
        <f t="shared" si="266"/>
        <v>0</v>
      </c>
      <c r="N790" s="14">
        <f t="shared" si="266"/>
        <v>13.2</v>
      </c>
      <c r="O790" s="14">
        <f t="shared" si="266"/>
        <v>0</v>
      </c>
      <c r="P790" s="129"/>
      <c r="Q790" s="7"/>
    </row>
    <row r="791" spans="2:18" ht="15.75" x14ac:dyDescent="0.2">
      <c r="B791" s="129"/>
      <c r="C791" s="129"/>
      <c r="D791" s="129"/>
      <c r="E791" s="129"/>
      <c r="F791" s="129"/>
      <c r="G791" s="129"/>
      <c r="H791" s="95" t="s">
        <v>6</v>
      </c>
      <c r="I791" s="14">
        <f>SUMIF($H$769:$H$788,"конс*",I$769:I$788)</f>
        <v>95.24499999999999</v>
      </c>
      <c r="J791" s="14">
        <f t="shared" ref="J791:O791" si="267">SUMIF($H$769:$H$788,"конс*",J$769:J$788)</f>
        <v>50.4</v>
      </c>
      <c r="K791" s="14">
        <f t="shared" si="267"/>
        <v>44.545000000000002</v>
      </c>
      <c r="L791" s="14">
        <f t="shared" si="267"/>
        <v>0.2</v>
      </c>
      <c r="M791" s="14">
        <f t="shared" si="267"/>
        <v>0</v>
      </c>
      <c r="N791" s="14">
        <f t="shared" si="267"/>
        <v>0.1</v>
      </c>
      <c r="O791" s="14">
        <f t="shared" si="267"/>
        <v>0</v>
      </c>
      <c r="P791" s="129"/>
      <c r="Q791" s="7"/>
    </row>
    <row r="792" spans="2:18" ht="15.75" x14ac:dyDescent="0.2">
      <c r="B792" s="130"/>
      <c r="C792" s="130"/>
      <c r="D792" s="130"/>
      <c r="E792" s="130"/>
      <c r="F792" s="130"/>
      <c r="G792" s="130"/>
      <c r="H792" s="95" t="s">
        <v>5</v>
      </c>
      <c r="I792" s="14">
        <f>SUMIF($H$769:$H$788,"вне*",I$769:I$788)</f>
        <v>0</v>
      </c>
      <c r="J792" s="14">
        <f t="shared" ref="J792:O792" si="268">SUMIF($H$769:$H$788,"вне*",J$769:J$788)</f>
        <v>0</v>
      </c>
      <c r="K792" s="14">
        <f t="shared" si="268"/>
        <v>0</v>
      </c>
      <c r="L792" s="14">
        <f t="shared" si="268"/>
        <v>0</v>
      </c>
      <c r="M792" s="14">
        <f t="shared" si="268"/>
        <v>0</v>
      </c>
      <c r="N792" s="14">
        <f t="shared" si="268"/>
        <v>0</v>
      </c>
      <c r="O792" s="14">
        <f t="shared" si="268"/>
        <v>0</v>
      </c>
      <c r="P792" s="130"/>
      <c r="Q792" s="7"/>
    </row>
    <row r="793" spans="2:18" ht="25.5" customHeight="1" x14ac:dyDescent="0.2">
      <c r="B793" s="131" t="s">
        <v>531</v>
      </c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</row>
    <row r="794" spans="2:18" s="21" customFormat="1" ht="42.75" customHeight="1" outlineLevel="1" x14ac:dyDescent="0.2">
      <c r="B794" s="114" t="s">
        <v>902</v>
      </c>
      <c r="C794" s="114"/>
      <c r="D794" s="114" t="s">
        <v>531</v>
      </c>
      <c r="E794" s="114">
        <v>2022</v>
      </c>
      <c r="F794" s="114" t="s">
        <v>629</v>
      </c>
      <c r="G794" s="114" t="s">
        <v>138</v>
      </c>
      <c r="H794" s="19" t="s">
        <v>3</v>
      </c>
      <c r="I794" s="94">
        <f>SUM(J794:O794)</f>
        <v>58.1</v>
      </c>
      <c r="J794" s="94">
        <f t="shared" ref="J794:O794" si="269">J795+J796+J797</f>
        <v>0</v>
      </c>
      <c r="K794" s="94">
        <f t="shared" si="269"/>
        <v>0</v>
      </c>
      <c r="L794" s="94">
        <f t="shared" si="269"/>
        <v>58.1</v>
      </c>
      <c r="M794" s="94">
        <f t="shared" si="269"/>
        <v>0</v>
      </c>
      <c r="N794" s="94">
        <f t="shared" si="269"/>
        <v>0</v>
      </c>
      <c r="O794" s="94">
        <f t="shared" si="269"/>
        <v>0</v>
      </c>
      <c r="P794" s="114">
        <v>33745</v>
      </c>
    </row>
    <row r="795" spans="2:18" s="21" customFormat="1" outlineLevel="1" x14ac:dyDescent="0.2">
      <c r="B795" s="115"/>
      <c r="C795" s="137"/>
      <c r="D795" s="115"/>
      <c r="E795" s="115"/>
      <c r="F795" s="115"/>
      <c r="G795" s="115"/>
      <c r="H795" s="19" t="s">
        <v>4</v>
      </c>
      <c r="I795" s="94">
        <f t="shared" ref="I795:I801" si="270">SUM(J795:O795)</f>
        <v>57.5</v>
      </c>
      <c r="J795" s="94"/>
      <c r="K795" s="94"/>
      <c r="L795" s="93">
        <v>57.5</v>
      </c>
      <c r="M795" s="94"/>
      <c r="N795" s="94"/>
      <c r="O795" s="94"/>
      <c r="P795" s="115"/>
    </row>
    <row r="796" spans="2:18" s="21" customFormat="1" outlineLevel="1" x14ac:dyDescent="0.2">
      <c r="B796" s="115"/>
      <c r="C796" s="137"/>
      <c r="D796" s="115"/>
      <c r="E796" s="115"/>
      <c r="F796" s="115"/>
      <c r="G796" s="115"/>
      <c r="H796" s="19" t="s">
        <v>6</v>
      </c>
      <c r="I796" s="94">
        <f t="shared" si="270"/>
        <v>0.6</v>
      </c>
      <c r="J796" s="94">
        <v>0</v>
      </c>
      <c r="K796" s="35"/>
      <c r="L796" s="93">
        <v>0.6</v>
      </c>
      <c r="M796" s="94">
        <v>0</v>
      </c>
      <c r="N796" s="94">
        <v>0</v>
      </c>
      <c r="O796" s="94">
        <v>0</v>
      </c>
      <c r="P796" s="115"/>
    </row>
    <row r="797" spans="2:18" s="21" customFormat="1" outlineLevel="1" x14ac:dyDescent="0.2">
      <c r="B797" s="116"/>
      <c r="C797" s="138"/>
      <c r="D797" s="116"/>
      <c r="E797" s="116"/>
      <c r="F797" s="116"/>
      <c r="G797" s="116"/>
      <c r="H797" s="19" t="s">
        <v>5</v>
      </c>
      <c r="I797" s="94">
        <f t="shared" si="270"/>
        <v>0</v>
      </c>
      <c r="J797" s="94"/>
      <c r="K797" s="94"/>
      <c r="L797" s="94"/>
      <c r="M797" s="94"/>
      <c r="N797" s="94"/>
      <c r="O797" s="94"/>
      <c r="P797" s="116"/>
    </row>
    <row r="798" spans="2:18" s="21" customFormat="1" ht="42.75" customHeight="1" outlineLevel="1" x14ac:dyDescent="0.2">
      <c r="B798" s="114" t="s">
        <v>903</v>
      </c>
      <c r="C798" s="114" t="s">
        <v>904</v>
      </c>
      <c r="D798" s="114" t="s">
        <v>531</v>
      </c>
      <c r="E798" s="114" t="s">
        <v>99</v>
      </c>
      <c r="F798" s="114" t="s">
        <v>629</v>
      </c>
      <c r="G798" s="114" t="s">
        <v>138</v>
      </c>
      <c r="H798" s="19" t="s">
        <v>3</v>
      </c>
      <c r="I798" s="94">
        <f t="shared" si="270"/>
        <v>77.5</v>
      </c>
      <c r="J798" s="94">
        <f t="shared" ref="J798:O798" si="271">J799+J800+J801</f>
        <v>27.5</v>
      </c>
      <c r="K798" s="94">
        <f t="shared" si="271"/>
        <v>0</v>
      </c>
      <c r="L798" s="94">
        <f t="shared" si="271"/>
        <v>50</v>
      </c>
      <c r="M798" s="94">
        <f t="shared" si="271"/>
        <v>0</v>
      </c>
      <c r="N798" s="94">
        <f t="shared" si="271"/>
        <v>0</v>
      </c>
      <c r="O798" s="94">
        <f t="shared" si="271"/>
        <v>0</v>
      </c>
      <c r="P798" s="114">
        <v>33745</v>
      </c>
    </row>
    <row r="799" spans="2:18" s="21" customFormat="1" outlineLevel="1" x14ac:dyDescent="0.2">
      <c r="B799" s="115"/>
      <c r="C799" s="137"/>
      <c r="D799" s="115"/>
      <c r="E799" s="115"/>
      <c r="F799" s="115"/>
      <c r="G799" s="115"/>
      <c r="H799" s="19" t="s">
        <v>4</v>
      </c>
      <c r="I799" s="94">
        <f t="shared" si="270"/>
        <v>0</v>
      </c>
      <c r="J799" s="94"/>
      <c r="K799" s="94"/>
      <c r="L799" s="94"/>
      <c r="M799" s="94"/>
      <c r="N799" s="94"/>
      <c r="O799" s="94"/>
      <c r="P799" s="115"/>
    </row>
    <row r="800" spans="2:18" s="21" customFormat="1" outlineLevel="1" x14ac:dyDescent="0.2">
      <c r="B800" s="115"/>
      <c r="C800" s="137"/>
      <c r="D800" s="115"/>
      <c r="E800" s="115"/>
      <c r="F800" s="115"/>
      <c r="G800" s="115"/>
      <c r="H800" s="19" t="s">
        <v>6</v>
      </c>
      <c r="I800" s="94">
        <f t="shared" si="270"/>
        <v>77.5</v>
      </c>
      <c r="J800" s="53">
        <v>27.5</v>
      </c>
      <c r="K800" s="53"/>
      <c r="L800" s="53">
        <v>50</v>
      </c>
      <c r="M800" s="94"/>
      <c r="N800" s="94"/>
      <c r="O800" s="94"/>
      <c r="P800" s="115"/>
    </row>
    <row r="801" spans="2:18" s="21" customFormat="1" outlineLevel="1" x14ac:dyDescent="0.2">
      <c r="B801" s="116"/>
      <c r="C801" s="138"/>
      <c r="D801" s="116"/>
      <c r="E801" s="116"/>
      <c r="F801" s="116"/>
      <c r="G801" s="116"/>
      <c r="H801" s="19" t="s">
        <v>5</v>
      </c>
      <c r="I801" s="94">
        <f t="shared" si="270"/>
        <v>0</v>
      </c>
      <c r="J801" s="94"/>
      <c r="K801" s="94"/>
      <c r="L801" s="94"/>
      <c r="M801" s="94"/>
      <c r="N801" s="94"/>
      <c r="O801" s="94"/>
      <c r="P801" s="116"/>
    </row>
    <row r="802" spans="2:18" ht="42.75" x14ac:dyDescent="0.2">
      <c r="B802" s="128" t="s">
        <v>539</v>
      </c>
      <c r="C802" s="128" t="s">
        <v>38</v>
      </c>
      <c r="D802" s="128" t="s">
        <v>38</v>
      </c>
      <c r="E802" s="128" t="s">
        <v>38</v>
      </c>
      <c r="F802" s="128" t="s">
        <v>38</v>
      </c>
      <c r="G802" s="128" t="s">
        <v>38</v>
      </c>
      <c r="H802" s="95" t="s">
        <v>3</v>
      </c>
      <c r="I802" s="14">
        <f>SUMIF($H$794:$H$801,"Объем*",I$794:I$801)</f>
        <v>135.6</v>
      </c>
      <c r="J802" s="14">
        <f t="shared" ref="J802:O802" si="272">SUMIF($H$794:$H$801,"Объем*",J$794:J$801)</f>
        <v>27.5</v>
      </c>
      <c r="K802" s="14">
        <f t="shared" si="272"/>
        <v>0</v>
      </c>
      <c r="L802" s="14">
        <f t="shared" si="272"/>
        <v>108.1</v>
      </c>
      <c r="M802" s="14">
        <f t="shared" si="272"/>
        <v>0</v>
      </c>
      <c r="N802" s="14">
        <f t="shared" si="272"/>
        <v>0</v>
      </c>
      <c r="O802" s="14">
        <f t="shared" si="272"/>
        <v>0</v>
      </c>
      <c r="P802" s="128"/>
      <c r="Q802" s="7"/>
      <c r="R802" s="7"/>
    </row>
    <row r="803" spans="2:18" ht="15.75" x14ac:dyDescent="0.2">
      <c r="B803" s="129"/>
      <c r="C803" s="129"/>
      <c r="D803" s="129"/>
      <c r="E803" s="129"/>
      <c r="F803" s="129"/>
      <c r="G803" s="129"/>
      <c r="H803" s="95" t="s">
        <v>4</v>
      </c>
      <c r="I803" s="14">
        <f>SUMIF($H$794:$H$801,"фед*",I$794:I$801)</f>
        <v>57.5</v>
      </c>
      <c r="J803" s="14">
        <f t="shared" ref="J803:O803" si="273">SUMIF($H$794:$H$801,"фед*",J$794:J$801)</f>
        <v>0</v>
      </c>
      <c r="K803" s="14">
        <f t="shared" si="273"/>
        <v>0</v>
      </c>
      <c r="L803" s="14">
        <f t="shared" si="273"/>
        <v>57.5</v>
      </c>
      <c r="M803" s="14">
        <f t="shared" si="273"/>
        <v>0</v>
      </c>
      <c r="N803" s="14">
        <f t="shared" si="273"/>
        <v>0</v>
      </c>
      <c r="O803" s="14">
        <f t="shared" si="273"/>
        <v>0</v>
      </c>
      <c r="P803" s="129"/>
      <c r="Q803" s="7"/>
    </row>
    <row r="804" spans="2:18" ht="15.75" x14ac:dyDescent="0.2">
      <c r="B804" s="129"/>
      <c r="C804" s="129"/>
      <c r="D804" s="129"/>
      <c r="E804" s="129"/>
      <c r="F804" s="129"/>
      <c r="G804" s="129"/>
      <c r="H804" s="95" t="s">
        <v>6</v>
      </c>
      <c r="I804" s="14">
        <f>SUMIF($H$794:$H$801,"конс*",I$794:I$801)</f>
        <v>78.099999999999994</v>
      </c>
      <c r="J804" s="14">
        <f t="shared" ref="J804:O804" si="274">SUMIF($H$794:$H$801,"конс*",J$794:J$801)</f>
        <v>27.5</v>
      </c>
      <c r="K804" s="14">
        <f t="shared" si="274"/>
        <v>0</v>
      </c>
      <c r="L804" s="14">
        <f t="shared" si="274"/>
        <v>50.6</v>
      </c>
      <c r="M804" s="14">
        <f t="shared" si="274"/>
        <v>0</v>
      </c>
      <c r="N804" s="14">
        <f t="shared" si="274"/>
        <v>0</v>
      </c>
      <c r="O804" s="14">
        <f t="shared" si="274"/>
        <v>0</v>
      </c>
      <c r="P804" s="129"/>
      <c r="Q804" s="7"/>
    </row>
    <row r="805" spans="2:18" ht="15.75" x14ac:dyDescent="0.2">
      <c r="B805" s="130"/>
      <c r="C805" s="130"/>
      <c r="D805" s="130"/>
      <c r="E805" s="130"/>
      <c r="F805" s="130"/>
      <c r="G805" s="130"/>
      <c r="H805" s="95" t="s">
        <v>5</v>
      </c>
      <c r="I805" s="14">
        <f>SUMIF($H$794:$H$801,"вне*",I$794:I$801)</f>
        <v>0</v>
      </c>
      <c r="J805" s="14">
        <f t="shared" ref="J805:O805" si="275">SUMIF($H$794:$H$801,"вне*",J$794:J$801)</f>
        <v>0</v>
      </c>
      <c r="K805" s="14">
        <f t="shared" si="275"/>
        <v>0</v>
      </c>
      <c r="L805" s="14">
        <f t="shared" si="275"/>
        <v>0</v>
      </c>
      <c r="M805" s="14">
        <f t="shared" si="275"/>
        <v>0</v>
      </c>
      <c r="N805" s="14">
        <f t="shared" si="275"/>
        <v>0</v>
      </c>
      <c r="O805" s="14">
        <f t="shared" si="275"/>
        <v>0</v>
      </c>
      <c r="P805" s="130"/>
      <c r="Q805" s="7"/>
    </row>
    <row r="806" spans="2:18" ht="25.5" customHeight="1" x14ac:dyDescent="0.2">
      <c r="B806" s="111" t="s">
        <v>540</v>
      </c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3"/>
    </row>
    <row r="807" spans="2:18" ht="42.75" customHeight="1" outlineLevel="1" x14ac:dyDescent="0.2">
      <c r="B807" s="117" t="s">
        <v>905</v>
      </c>
      <c r="C807" s="117"/>
      <c r="D807" s="117" t="s">
        <v>540</v>
      </c>
      <c r="E807" s="117" t="s">
        <v>791</v>
      </c>
      <c r="F807" s="117" t="s">
        <v>906</v>
      </c>
      <c r="G807" s="117" t="s">
        <v>83</v>
      </c>
      <c r="H807" s="95" t="s">
        <v>3</v>
      </c>
      <c r="I807" s="94">
        <f t="shared" ref="I807:I838" si="276">SUM(J807:O807)</f>
        <v>171</v>
      </c>
      <c r="J807" s="94">
        <f t="shared" ref="J807:O807" si="277">J808+J809+J810</f>
        <v>51</v>
      </c>
      <c r="K807" s="94">
        <f t="shared" si="277"/>
        <v>120</v>
      </c>
      <c r="L807" s="94">
        <f t="shared" si="277"/>
        <v>0</v>
      </c>
      <c r="M807" s="94">
        <f t="shared" si="277"/>
        <v>0</v>
      </c>
      <c r="N807" s="94">
        <f t="shared" si="277"/>
        <v>0</v>
      </c>
      <c r="O807" s="94">
        <f t="shared" si="277"/>
        <v>0</v>
      </c>
      <c r="P807" s="117"/>
    </row>
    <row r="808" spans="2:18" outlineLevel="1" x14ac:dyDescent="0.2">
      <c r="B808" s="118"/>
      <c r="C808" s="132"/>
      <c r="D808" s="118"/>
      <c r="E808" s="118"/>
      <c r="F808" s="118"/>
      <c r="G808" s="118"/>
      <c r="H808" s="95" t="s">
        <v>4</v>
      </c>
      <c r="I808" s="94">
        <f t="shared" si="276"/>
        <v>0</v>
      </c>
      <c r="J808" s="94"/>
      <c r="K808" s="94"/>
      <c r="L808" s="94"/>
      <c r="M808" s="94"/>
      <c r="N808" s="94"/>
      <c r="O808" s="94"/>
      <c r="P808" s="118"/>
    </row>
    <row r="809" spans="2:18" outlineLevel="1" x14ac:dyDescent="0.2">
      <c r="B809" s="118"/>
      <c r="C809" s="132"/>
      <c r="D809" s="118"/>
      <c r="E809" s="118"/>
      <c r="F809" s="118"/>
      <c r="G809" s="118"/>
      <c r="H809" s="95" t="s">
        <v>6</v>
      </c>
      <c r="I809" s="94">
        <f t="shared" si="276"/>
        <v>171</v>
      </c>
      <c r="J809" s="94">
        <v>51</v>
      </c>
      <c r="K809" s="94">
        <v>120</v>
      </c>
      <c r="L809" s="94">
        <v>0</v>
      </c>
      <c r="M809" s="94">
        <v>0</v>
      </c>
      <c r="N809" s="94">
        <v>0</v>
      </c>
      <c r="O809" s="94">
        <v>0</v>
      </c>
      <c r="P809" s="118"/>
    </row>
    <row r="810" spans="2:18" outlineLevel="1" x14ac:dyDescent="0.2">
      <c r="B810" s="119"/>
      <c r="C810" s="133"/>
      <c r="D810" s="119"/>
      <c r="E810" s="119"/>
      <c r="F810" s="119"/>
      <c r="G810" s="119"/>
      <c r="H810" s="95" t="s">
        <v>5</v>
      </c>
      <c r="I810" s="94">
        <f t="shared" si="276"/>
        <v>0</v>
      </c>
      <c r="J810" s="94"/>
      <c r="K810" s="94"/>
      <c r="L810" s="94"/>
      <c r="M810" s="94"/>
      <c r="N810" s="94"/>
      <c r="O810" s="94"/>
      <c r="P810" s="119"/>
    </row>
    <row r="811" spans="2:18" ht="40.5" customHeight="1" outlineLevel="1" x14ac:dyDescent="0.2">
      <c r="B811" s="117" t="s">
        <v>907</v>
      </c>
      <c r="C811" s="117"/>
      <c r="D811" s="117" t="s">
        <v>540</v>
      </c>
      <c r="E811" s="117">
        <v>2021</v>
      </c>
      <c r="F811" s="117"/>
      <c r="G811" s="117" t="s">
        <v>138</v>
      </c>
      <c r="H811" s="95" t="s">
        <v>3</v>
      </c>
      <c r="I811" s="94">
        <f t="shared" si="276"/>
        <v>61.6</v>
      </c>
      <c r="J811" s="94">
        <f t="shared" ref="J811:O811" si="278">J812+J813+J814</f>
        <v>0</v>
      </c>
      <c r="K811" s="94">
        <f t="shared" si="278"/>
        <v>61.6</v>
      </c>
      <c r="L811" s="94">
        <f t="shared" si="278"/>
        <v>0</v>
      </c>
      <c r="M811" s="94">
        <f t="shared" si="278"/>
        <v>0</v>
      </c>
      <c r="N811" s="94">
        <f t="shared" si="278"/>
        <v>0</v>
      </c>
      <c r="O811" s="94">
        <f t="shared" si="278"/>
        <v>0</v>
      </c>
      <c r="P811" s="117"/>
    </row>
    <row r="812" spans="2:18" ht="21.75" customHeight="1" outlineLevel="1" x14ac:dyDescent="0.2">
      <c r="B812" s="118"/>
      <c r="C812" s="132"/>
      <c r="D812" s="118"/>
      <c r="E812" s="118"/>
      <c r="F812" s="118"/>
      <c r="G812" s="118"/>
      <c r="H812" s="95" t="s">
        <v>4</v>
      </c>
      <c r="I812" s="94">
        <f t="shared" si="276"/>
        <v>61</v>
      </c>
      <c r="J812" s="94">
        <v>0</v>
      </c>
      <c r="K812" s="94">
        <v>61</v>
      </c>
      <c r="L812" s="94">
        <v>0</v>
      </c>
      <c r="M812" s="94">
        <v>0</v>
      </c>
      <c r="N812" s="94">
        <v>0</v>
      </c>
      <c r="O812" s="94">
        <v>0</v>
      </c>
      <c r="P812" s="118"/>
    </row>
    <row r="813" spans="2:18" ht="21.75" customHeight="1" outlineLevel="1" x14ac:dyDescent="0.2">
      <c r="B813" s="118"/>
      <c r="C813" s="132"/>
      <c r="D813" s="118"/>
      <c r="E813" s="118"/>
      <c r="F813" s="118"/>
      <c r="G813" s="118"/>
      <c r="H813" s="95" t="s">
        <v>6</v>
      </c>
      <c r="I813" s="94">
        <f t="shared" si="276"/>
        <v>0.6</v>
      </c>
      <c r="J813" s="94">
        <v>0</v>
      </c>
      <c r="K813" s="94">
        <v>0.6</v>
      </c>
      <c r="L813" s="94">
        <v>0</v>
      </c>
      <c r="M813" s="94">
        <v>0</v>
      </c>
      <c r="N813" s="94">
        <v>0</v>
      </c>
      <c r="O813" s="94">
        <v>0</v>
      </c>
      <c r="P813" s="118"/>
    </row>
    <row r="814" spans="2:18" outlineLevel="1" x14ac:dyDescent="0.2">
      <c r="B814" s="119"/>
      <c r="C814" s="133"/>
      <c r="D814" s="119"/>
      <c r="E814" s="119"/>
      <c r="F814" s="119"/>
      <c r="G814" s="119"/>
      <c r="H814" s="95" t="s">
        <v>5</v>
      </c>
      <c r="I814" s="94">
        <f t="shared" si="276"/>
        <v>0</v>
      </c>
      <c r="J814" s="94"/>
      <c r="K814" s="94"/>
      <c r="L814" s="94"/>
      <c r="M814" s="94"/>
      <c r="N814" s="94"/>
      <c r="O814" s="94"/>
      <c r="P814" s="119"/>
    </row>
    <row r="815" spans="2:18" ht="42.75" outlineLevel="1" x14ac:dyDescent="0.2">
      <c r="B815" s="117" t="s">
        <v>908</v>
      </c>
      <c r="C815" s="117" t="s">
        <v>628</v>
      </c>
      <c r="D815" s="117" t="s">
        <v>540</v>
      </c>
      <c r="E815" s="117">
        <v>2022</v>
      </c>
      <c r="F815" s="117" t="s">
        <v>629</v>
      </c>
      <c r="G815" s="117" t="s">
        <v>138</v>
      </c>
      <c r="H815" s="95" t="s">
        <v>3</v>
      </c>
      <c r="I815" s="94">
        <f t="shared" si="276"/>
        <v>45.4</v>
      </c>
      <c r="J815" s="94">
        <f t="shared" ref="J815:O815" si="279">J816+J817+J818</f>
        <v>0</v>
      </c>
      <c r="K815" s="94">
        <f t="shared" si="279"/>
        <v>0</v>
      </c>
      <c r="L815" s="94">
        <f t="shared" si="279"/>
        <v>45.4</v>
      </c>
      <c r="M815" s="94">
        <f t="shared" si="279"/>
        <v>0</v>
      </c>
      <c r="N815" s="94">
        <f t="shared" si="279"/>
        <v>0</v>
      </c>
      <c r="O815" s="94">
        <f t="shared" si="279"/>
        <v>0</v>
      </c>
      <c r="P815" s="117"/>
    </row>
    <row r="816" spans="2:18" outlineLevel="1" x14ac:dyDescent="0.2">
      <c r="B816" s="118"/>
      <c r="C816" s="118"/>
      <c r="D816" s="118"/>
      <c r="E816" s="118"/>
      <c r="F816" s="118"/>
      <c r="G816" s="118"/>
      <c r="H816" s="95" t="s">
        <v>4</v>
      </c>
      <c r="I816" s="94">
        <f t="shared" si="276"/>
        <v>45</v>
      </c>
      <c r="J816" s="94">
        <v>0</v>
      </c>
      <c r="K816" s="94">
        <v>0</v>
      </c>
      <c r="L816" s="94">
        <v>45</v>
      </c>
      <c r="M816" s="94">
        <v>0</v>
      </c>
      <c r="N816" s="94">
        <v>0</v>
      </c>
      <c r="O816" s="94">
        <v>0</v>
      </c>
      <c r="P816" s="118"/>
    </row>
    <row r="817" spans="2:16" outlineLevel="1" x14ac:dyDescent="0.2">
      <c r="B817" s="118"/>
      <c r="C817" s="118"/>
      <c r="D817" s="118"/>
      <c r="E817" s="118"/>
      <c r="F817" s="118"/>
      <c r="G817" s="118"/>
      <c r="H817" s="95" t="s">
        <v>6</v>
      </c>
      <c r="I817" s="94">
        <f t="shared" si="276"/>
        <v>0.4</v>
      </c>
      <c r="J817" s="94">
        <v>0</v>
      </c>
      <c r="K817" s="94">
        <v>0</v>
      </c>
      <c r="L817" s="94">
        <v>0.4</v>
      </c>
      <c r="M817" s="94">
        <v>0</v>
      </c>
      <c r="N817" s="94">
        <v>0</v>
      </c>
      <c r="O817" s="94">
        <v>0</v>
      </c>
      <c r="P817" s="118"/>
    </row>
    <row r="818" spans="2:16" outlineLevel="1" x14ac:dyDescent="0.2">
      <c r="B818" s="119"/>
      <c r="C818" s="119"/>
      <c r="D818" s="119"/>
      <c r="E818" s="119"/>
      <c r="F818" s="119"/>
      <c r="G818" s="119"/>
      <c r="H818" s="95" t="s">
        <v>5</v>
      </c>
      <c r="I818" s="94">
        <f t="shared" si="276"/>
        <v>0</v>
      </c>
      <c r="J818" s="94"/>
      <c r="K818" s="94"/>
      <c r="L818" s="94"/>
      <c r="M818" s="94"/>
      <c r="N818" s="94"/>
      <c r="O818" s="94"/>
      <c r="P818" s="119"/>
    </row>
    <row r="819" spans="2:16" ht="42.75" customHeight="1" outlineLevel="1" x14ac:dyDescent="0.2">
      <c r="B819" s="117" t="s">
        <v>909</v>
      </c>
      <c r="C819" s="117"/>
      <c r="D819" s="117" t="s">
        <v>540</v>
      </c>
      <c r="E819" s="117" t="s">
        <v>99</v>
      </c>
      <c r="F819" s="117"/>
      <c r="G819" s="117" t="s">
        <v>138</v>
      </c>
      <c r="H819" s="95" t="s">
        <v>3</v>
      </c>
      <c r="I819" s="94">
        <f t="shared" si="276"/>
        <v>10.5</v>
      </c>
      <c r="J819" s="94">
        <f t="shared" ref="J819:O819" si="280">J820+J821+J822</f>
        <v>10.5</v>
      </c>
      <c r="K819" s="94">
        <f t="shared" si="280"/>
        <v>0</v>
      </c>
      <c r="L819" s="94">
        <f t="shared" si="280"/>
        <v>0</v>
      </c>
      <c r="M819" s="94">
        <f t="shared" si="280"/>
        <v>0</v>
      </c>
      <c r="N819" s="94">
        <f t="shared" si="280"/>
        <v>0</v>
      </c>
      <c r="O819" s="94">
        <f t="shared" si="280"/>
        <v>0</v>
      </c>
      <c r="P819" s="117">
        <v>45222</v>
      </c>
    </row>
    <row r="820" spans="2:16" outlineLevel="1" x14ac:dyDescent="0.2">
      <c r="B820" s="118"/>
      <c r="C820" s="132"/>
      <c r="D820" s="118"/>
      <c r="E820" s="118"/>
      <c r="F820" s="118"/>
      <c r="G820" s="118"/>
      <c r="H820" s="95" t="s">
        <v>4</v>
      </c>
      <c r="I820" s="94">
        <f t="shared" si="276"/>
        <v>0</v>
      </c>
      <c r="J820" s="94"/>
      <c r="K820" s="94"/>
      <c r="L820" s="94"/>
      <c r="M820" s="94"/>
      <c r="N820" s="94"/>
      <c r="O820" s="94"/>
      <c r="P820" s="118"/>
    </row>
    <row r="821" spans="2:16" outlineLevel="1" x14ac:dyDescent="0.2">
      <c r="B821" s="118"/>
      <c r="C821" s="132"/>
      <c r="D821" s="118"/>
      <c r="E821" s="118"/>
      <c r="F821" s="118"/>
      <c r="G821" s="118"/>
      <c r="H821" s="95" t="s">
        <v>6</v>
      </c>
      <c r="I821" s="94">
        <f t="shared" si="276"/>
        <v>10.5</v>
      </c>
      <c r="J821" s="94">
        <v>10.5</v>
      </c>
      <c r="K821" s="94"/>
      <c r="L821" s="94"/>
      <c r="M821" s="94"/>
      <c r="N821" s="94"/>
      <c r="O821" s="94"/>
      <c r="P821" s="118"/>
    </row>
    <row r="822" spans="2:16" outlineLevel="1" x14ac:dyDescent="0.2">
      <c r="B822" s="119"/>
      <c r="C822" s="133"/>
      <c r="D822" s="119"/>
      <c r="E822" s="119"/>
      <c r="F822" s="119"/>
      <c r="G822" s="119"/>
      <c r="H822" s="95" t="s">
        <v>5</v>
      </c>
      <c r="I822" s="94">
        <f t="shared" si="276"/>
        <v>0</v>
      </c>
      <c r="J822" s="94"/>
      <c r="K822" s="94"/>
      <c r="L822" s="94"/>
      <c r="M822" s="94"/>
      <c r="N822" s="94"/>
      <c r="O822" s="94"/>
      <c r="P822" s="119"/>
    </row>
    <row r="823" spans="2:16" ht="42.75" outlineLevel="1" x14ac:dyDescent="0.2">
      <c r="B823" s="117" t="s">
        <v>910</v>
      </c>
      <c r="C823" s="117"/>
      <c r="D823" s="117" t="s">
        <v>540</v>
      </c>
      <c r="E823" s="117" t="s">
        <v>99</v>
      </c>
      <c r="F823" s="117"/>
      <c r="G823" s="117" t="s">
        <v>138</v>
      </c>
      <c r="H823" s="95" t="s">
        <v>3</v>
      </c>
      <c r="I823" s="94">
        <f t="shared" si="276"/>
        <v>12.2</v>
      </c>
      <c r="J823" s="94">
        <f t="shared" ref="J823:O823" si="281">J824+J825+J826</f>
        <v>12.2</v>
      </c>
      <c r="K823" s="94">
        <f t="shared" si="281"/>
        <v>0</v>
      </c>
      <c r="L823" s="94">
        <f t="shared" si="281"/>
        <v>0</v>
      </c>
      <c r="M823" s="94">
        <f t="shared" si="281"/>
        <v>0</v>
      </c>
      <c r="N823" s="94">
        <f t="shared" si="281"/>
        <v>0</v>
      </c>
      <c r="O823" s="94">
        <f t="shared" si="281"/>
        <v>0</v>
      </c>
      <c r="P823" s="117">
        <v>45222</v>
      </c>
    </row>
    <row r="824" spans="2:16" outlineLevel="1" x14ac:dyDescent="0.2">
      <c r="B824" s="118"/>
      <c r="C824" s="132"/>
      <c r="D824" s="118"/>
      <c r="E824" s="118"/>
      <c r="F824" s="118"/>
      <c r="G824" s="118"/>
      <c r="H824" s="95" t="s">
        <v>4</v>
      </c>
      <c r="I824" s="94">
        <f t="shared" si="276"/>
        <v>0</v>
      </c>
      <c r="J824" s="94"/>
      <c r="K824" s="94"/>
      <c r="L824" s="94"/>
      <c r="M824" s="94"/>
      <c r="N824" s="94"/>
      <c r="O824" s="94"/>
      <c r="P824" s="118"/>
    </row>
    <row r="825" spans="2:16" outlineLevel="1" x14ac:dyDescent="0.2">
      <c r="B825" s="118"/>
      <c r="C825" s="132"/>
      <c r="D825" s="118"/>
      <c r="E825" s="118"/>
      <c r="F825" s="118"/>
      <c r="G825" s="118"/>
      <c r="H825" s="95" t="s">
        <v>6</v>
      </c>
      <c r="I825" s="94">
        <f t="shared" si="276"/>
        <v>12.2</v>
      </c>
      <c r="J825" s="94">
        <v>12.2</v>
      </c>
      <c r="K825" s="94"/>
      <c r="L825" s="94"/>
      <c r="M825" s="94"/>
      <c r="N825" s="94"/>
      <c r="O825" s="94"/>
      <c r="P825" s="118"/>
    </row>
    <row r="826" spans="2:16" outlineLevel="1" x14ac:dyDescent="0.2">
      <c r="B826" s="119"/>
      <c r="C826" s="133"/>
      <c r="D826" s="119"/>
      <c r="E826" s="119"/>
      <c r="F826" s="119"/>
      <c r="G826" s="119"/>
      <c r="H826" s="95" t="s">
        <v>5</v>
      </c>
      <c r="I826" s="94">
        <f t="shared" si="276"/>
        <v>0</v>
      </c>
      <c r="J826" s="94"/>
      <c r="K826" s="94"/>
      <c r="L826" s="94"/>
      <c r="M826" s="94"/>
      <c r="N826" s="94"/>
      <c r="O826" s="94"/>
      <c r="P826" s="119"/>
    </row>
    <row r="827" spans="2:16" ht="42.75" outlineLevel="1" x14ac:dyDescent="0.2">
      <c r="B827" s="117" t="s">
        <v>911</v>
      </c>
      <c r="C827" s="117"/>
      <c r="D827" s="117" t="s">
        <v>540</v>
      </c>
      <c r="E827" s="117" t="s">
        <v>99</v>
      </c>
      <c r="F827" s="117"/>
      <c r="G827" s="117" t="s">
        <v>138</v>
      </c>
      <c r="H827" s="95" t="s">
        <v>3</v>
      </c>
      <c r="I827" s="94">
        <f t="shared" si="276"/>
        <v>18.899999999999999</v>
      </c>
      <c r="J827" s="94">
        <f t="shared" ref="J827:O827" si="282">J828+J829+J830</f>
        <v>18.899999999999999</v>
      </c>
      <c r="K827" s="94">
        <f t="shared" si="282"/>
        <v>0</v>
      </c>
      <c r="L827" s="94">
        <f t="shared" si="282"/>
        <v>0</v>
      </c>
      <c r="M827" s="94">
        <f t="shared" si="282"/>
        <v>0</v>
      </c>
      <c r="N827" s="94">
        <f t="shared" si="282"/>
        <v>0</v>
      </c>
      <c r="O827" s="94">
        <f t="shared" si="282"/>
        <v>0</v>
      </c>
      <c r="P827" s="117">
        <v>45222</v>
      </c>
    </row>
    <row r="828" spans="2:16" outlineLevel="1" x14ac:dyDescent="0.2">
      <c r="B828" s="118"/>
      <c r="C828" s="118"/>
      <c r="D828" s="118"/>
      <c r="E828" s="118"/>
      <c r="F828" s="118"/>
      <c r="G828" s="118"/>
      <c r="H828" s="95" t="s">
        <v>4</v>
      </c>
      <c r="I828" s="94">
        <f t="shared" si="276"/>
        <v>0</v>
      </c>
      <c r="J828" s="94"/>
      <c r="K828" s="94"/>
      <c r="L828" s="94"/>
      <c r="M828" s="94"/>
      <c r="N828" s="94"/>
      <c r="O828" s="94"/>
      <c r="P828" s="118"/>
    </row>
    <row r="829" spans="2:16" outlineLevel="1" x14ac:dyDescent="0.2">
      <c r="B829" s="118"/>
      <c r="C829" s="118"/>
      <c r="D829" s="118"/>
      <c r="E829" s="118"/>
      <c r="F829" s="118"/>
      <c r="G829" s="118"/>
      <c r="H829" s="95" t="s">
        <v>6</v>
      </c>
      <c r="I829" s="94">
        <f t="shared" si="276"/>
        <v>18.899999999999999</v>
      </c>
      <c r="J829" s="94">
        <v>18.899999999999999</v>
      </c>
      <c r="K829" s="94"/>
      <c r="L829" s="94"/>
      <c r="M829" s="94"/>
      <c r="N829" s="94"/>
      <c r="O829" s="94"/>
      <c r="P829" s="118"/>
    </row>
    <row r="830" spans="2:16" outlineLevel="1" x14ac:dyDescent="0.2">
      <c r="B830" s="119"/>
      <c r="C830" s="119"/>
      <c r="D830" s="119"/>
      <c r="E830" s="119"/>
      <c r="F830" s="119"/>
      <c r="G830" s="119"/>
      <c r="H830" s="95" t="s">
        <v>5</v>
      </c>
      <c r="I830" s="94">
        <f t="shared" si="276"/>
        <v>0</v>
      </c>
      <c r="J830" s="94"/>
      <c r="K830" s="94"/>
      <c r="L830" s="94"/>
      <c r="M830" s="94"/>
      <c r="N830" s="94"/>
      <c r="O830" s="94"/>
      <c r="P830" s="119"/>
    </row>
    <row r="831" spans="2:16" ht="42.75" outlineLevel="1" x14ac:dyDescent="0.2">
      <c r="B831" s="117" t="s">
        <v>912</v>
      </c>
      <c r="C831" s="117"/>
      <c r="D831" s="117" t="s">
        <v>540</v>
      </c>
      <c r="E831" s="117" t="s">
        <v>99</v>
      </c>
      <c r="F831" s="117"/>
      <c r="G831" s="117" t="s">
        <v>913</v>
      </c>
      <c r="H831" s="95" t="s">
        <v>3</v>
      </c>
      <c r="I831" s="94">
        <f t="shared" si="276"/>
        <v>10.6</v>
      </c>
      <c r="J831" s="94">
        <f t="shared" ref="J831:O831" si="283">J832+J833+J834</f>
        <v>10.6</v>
      </c>
      <c r="K831" s="94">
        <f t="shared" si="283"/>
        <v>0</v>
      </c>
      <c r="L831" s="94">
        <f t="shared" si="283"/>
        <v>0</v>
      </c>
      <c r="M831" s="94">
        <f t="shared" si="283"/>
        <v>0</v>
      </c>
      <c r="N831" s="94">
        <f t="shared" si="283"/>
        <v>0</v>
      </c>
      <c r="O831" s="94">
        <f t="shared" si="283"/>
        <v>0</v>
      </c>
      <c r="P831" s="117">
        <v>45222</v>
      </c>
    </row>
    <row r="832" spans="2:16" outlineLevel="1" x14ac:dyDescent="0.2">
      <c r="B832" s="118"/>
      <c r="C832" s="132"/>
      <c r="D832" s="118"/>
      <c r="E832" s="118"/>
      <c r="F832" s="118"/>
      <c r="G832" s="118"/>
      <c r="H832" s="95" t="s">
        <v>4</v>
      </c>
      <c r="I832" s="94">
        <f t="shared" si="276"/>
        <v>0</v>
      </c>
      <c r="J832" s="94"/>
      <c r="K832" s="94"/>
      <c r="L832" s="94"/>
      <c r="M832" s="94"/>
      <c r="N832" s="94"/>
      <c r="O832" s="94"/>
      <c r="P832" s="118"/>
    </row>
    <row r="833" spans="2:18" outlineLevel="1" x14ac:dyDescent="0.2">
      <c r="B833" s="118"/>
      <c r="C833" s="132"/>
      <c r="D833" s="118"/>
      <c r="E833" s="118"/>
      <c r="F833" s="118"/>
      <c r="G833" s="118"/>
      <c r="H833" s="95" t="s">
        <v>6</v>
      </c>
      <c r="I833" s="94">
        <f t="shared" si="276"/>
        <v>10.6</v>
      </c>
      <c r="J833" s="94">
        <v>10.6</v>
      </c>
      <c r="K833" s="94"/>
      <c r="L833" s="94"/>
      <c r="M833" s="94"/>
      <c r="N833" s="94"/>
      <c r="O833" s="94"/>
      <c r="P833" s="118"/>
    </row>
    <row r="834" spans="2:18" outlineLevel="1" x14ac:dyDescent="0.2">
      <c r="B834" s="119"/>
      <c r="C834" s="133"/>
      <c r="D834" s="119"/>
      <c r="E834" s="119"/>
      <c r="F834" s="119"/>
      <c r="G834" s="119"/>
      <c r="H834" s="95" t="s">
        <v>5</v>
      </c>
      <c r="I834" s="94">
        <f t="shared" si="276"/>
        <v>0</v>
      </c>
      <c r="J834" s="94"/>
      <c r="K834" s="94"/>
      <c r="L834" s="94"/>
      <c r="M834" s="94"/>
      <c r="N834" s="94"/>
      <c r="O834" s="94"/>
      <c r="P834" s="119"/>
    </row>
    <row r="835" spans="2:18" ht="42.75" outlineLevel="1" x14ac:dyDescent="0.2">
      <c r="B835" s="117" t="s">
        <v>914</v>
      </c>
      <c r="C835" s="117"/>
      <c r="D835" s="117" t="s">
        <v>540</v>
      </c>
      <c r="E835" s="117" t="s">
        <v>99</v>
      </c>
      <c r="F835" s="117"/>
      <c r="G835" s="117" t="s">
        <v>913</v>
      </c>
      <c r="H835" s="95" t="s">
        <v>3</v>
      </c>
      <c r="I835" s="94">
        <f t="shared" si="276"/>
        <v>8.4499999999999993</v>
      </c>
      <c r="J835" s="94">
        <f t="shared" ref="J835:O835" si="284">J836+J837+J838</f>
        <v>8.4499999999999993</v>
      </c>
      <c r="K835" s="94">
        <f t="shared" si="284"/>
        <v>0</v>
      </c>
      <c r="L835" s="94">
        <f t="shared" si="284"/>
        <v>0</v>
      </c>
      <c r="M835" s="94">
        <f t="shared" si="284"/>
        <v>0</v>
      </c>
      <c r="N835" s="94">
        <f t="shared" si="284"/>
        <v>0</v>
      </c>
      <c r="O835" s="94">
        <f t="shared" si="284"/>
        <v>0</v>
      </c>
      <c r="P835" s="117">
        <v>45222</v>
      </c>
    </row>
    <row r="836" spans="2:18" outlineLevel="1" x14ac:dyDescent="0.2">
      <c r="B836" s="118"/>
      <c r="C836" s="118"/>
      <c r="D836" s="118"/>
      <c r="E836" s="118"/>
      <c r="F836" s="118"/>
      <c r="G836" s="118"/>
      <c r="H836" s="95" t="s">
        <v>4</v>
      </c>
      <c r="I836" s="94">
        <f t="shared" si="276"/>
        <v>0</v>
      </c>
      <c r="J836" s="94"/>
      <c r="K836" s="94"/>
      <c r="L836" s="94"/>
      <c r="M836" s="94"/>
      <c r="N836" s="94"/>
      <c r="O836" s="94"/>
      <c r="P836" s="118"/>
    </row>
    <row r="837" spans="2:18" outlineLevel="1" x14ac:dyDescent="0.2">
      <c r="B837" s="118"/>
      <c r="C837" s="118"/>
      <c r="D837" s="118"/>
      <c r="E837" s="118"/>
      <c r="F837" s="118"/>
      <c r="G837" s="118"/>
      <c r="H837" s="95" t="s">
        <v>6</v>
      </c>
      <c r="I837" s="94">
        <f t="shared" si="276"/>
        <v>8.4499999999999993</v>
      </c>
      <c r="J837" s="94">
        <v>8.4499999999999993</v>
      </c>
      <c r="K837" s="94"/>
      <c r="L837" s="94"/>
      <c r="M837" s="94"/>
      <c r="N837" s="94"/>
      <c r="O837" s="94"/>
      <c r="P837" s="118"/>
    </row>
    <row r="838" spans="2:18" outlineLevel="1" x14ac:dyDescent="0.2">
      <c r="B838" s="119"/>
      <c r="C838" s="119"/>
      <c r="D838" s="119"/>
      <c r="E838" s="119"/>
      <c r="F838" s="119"/>
      <c r="G838" s="119"/>
      <c r="H838" s="95" t="s">
        <v>5</v>
      </c>
      <c r="I838" s="94">
        <f t="shared" si="276"/>
        <v>0</v>
      </c>
      <c r="J838" s="94"/>
      <c r="K838" s="94"/>
      <c r="L838" s="94"/>
      <c r="M838" s="94"/>
      <c r="N838" s="94"/>
      <c r="O838" s="94"/>
      <c r="P838" s="119"/>
    </row>
    <row r="839" spans="2:18" ht="42.75" x14ac:dyDescent="0.2">
      <c r="B839" s="128" t="s">
        <v>556</v>
      </c>
      <c r="C839" s="128" t="s">
        <v>38</v>
      </c>
      <c r="D839" s="128" t="s">
        <v>38</v>
      </c>
      <c r="E839" s="128" t="s">
        <v>38</v>
      </c>
      <c r="F839" s="128" t="s">
        <v>38</v>
      </c>
      <c r="G839" s="128" t="s">
        <v>38</v>
      </c>
      <c r="H839" s="95" t="s">
        <v>3</v>
      </c>
      <c r="I839" s="14">
        <f>SUMIF($H$807:$H$838,"Объем*",I$807:I$838)</f>
        <v>338.65</v>
      </c>
      <c r="J839" s="14">
        <f t="shared" ref="J839:O839" si="285">SUMIF($H$807:$H$838,"Объем*",J$807:J$838)</f>
        <v>111.64999999999999</v>
      </c>
      <c r="K839" s="14">
        <f t="shared" si="285"/>
        <v>181.6</v>
      </c>
      <c r="L839" s="14">
        <f t="shared" si="285"/>
        <v>45.4</v>
      </c>
      <c r="M839" s="14">
        <f t="shared" si="285"/>
        <v>0</v>
      </c>
      <c r="N839" s="14">
        <f t="shared" si="285"/>
        <v>0</v>
      </c>
      <c r="O839" s="14">
        <f t="shared" si="285"/>
        <v>0</v>
      </c>
      <c r="P839" s="128"/>
      <c r="Q839" s="7"/>
      <c r="R839" s="7"/>
    </row>
    <row r="840" spans="2:18" ht="15.75" x14ac:dyDescent="0.2">
      <c r="B840" s="129"/>
      <c r="C840" s="129"/>
      <c r="D840" s="129"/>
      <c r="E840" s="129"/>
      <c r="F840" s="129"/>
      <c r="G840" s="129"/>
      <c r="H840" s="95" t="s">
        <v>4</v>
      </c>
      <c r="I840" s="14">
        <f>SUMIF($H$807:$H$838,"фед*",I$807:I$838)</f>
        <v>106</v>
      </c>
      <c r="J840" s="14">
        <f t="shared" ref="J840:O840" si="286">SUMIF($H$807:$H$838,"фед*",J$807:J$838)</f>
        <v>0</v>
      </c>
      <c r="K840" s="14">
        <f t="shared" si="286"/>
        <v>61</v>
      </c>
      <c r="L840" s="14">
        <f t="shared" si="286"/>
        <v>45</v>
      </c>
      <c r="M840" s="14">
        <f t="shared" si="286"/>
        <v>0</v>
      </c>
      <c r="N840" s="14">
        <f t="shared" si="286"/>
        <v>0</v>
      </c>
      <c r="O840" s="14">
        <f t="shared" si="286"/>
        <v>0</v>
      </c>
      <c r="P840" s="129"/>
      <c r="Q840" s="7"/>
    </row>
    <row r="841" spans="2:18" ht="15.75" x14ac:dyDescent="0.2">
      <c r="B841" s="129"/>
      <c r="C841" s="129"/>
      <c r="D841" s="129"/>
      <c r="E841" s="129"/>
      <c r="F841" s="129"/>
      <c r="G841" s="129"/>
      <c r="H841" s="95" t="s">
        <v>6</v>
      </c>
      <c r="I841" s="14">
        <f>SUMIF($H$807:$H$838,"конс*",I$807:I$838)</f>
        <v>232.64999999999998</v>
      </c>
      <c r="J841" s="14">
        <f t="shared" ref="J841:O841" si="287">SUMIF($H$807:$H$838,"конс*",J$807:J$838)</f>
        <v>111.64999999999999</v>
      </c>
      <c r="K841" s="14">
        <f t="shared" si="287"/>
        <v>120.6</v>
      </c>
      <c r="L841" s="14">
        <f t="shared" si="287"/>
        <v>0.4</v>
      </c>
      <c r="M841" s="14">
        <f t="shared" si="287"/>
        <v>0</v>
      </c>
      <c r="N841" s="14">
        <f t="shared" si="287"/>
        <v>0</v>
      </c>
      <c r="O841" s="14">
        <f t="shared" si="287"/>
        <v>0</v>
      </c>
      <c r="P841" s="129"/>
      <c r="Q841" s="7"/>
    </row>
    <row r="842" spans="2:18" ht="15.75" x14ac:dyDescent="0.2">
      <c r="B842" s="130"/>
      <c r="C842" s="130"/>
      <c r="D842" s="130"/>
      <c r="E842" s="130"/>
      <c r="F842" s="130"/>
      <c r="G842" s="130"/>
      <c r="H842" s="95" t="s">
        <v>5</v>
      </c>
      <c r="I842" s="14">
        <f>SUMIF($H$807:$H$838,"вне*",I$807:I$838)</f>
        <v>0</v>
      </c>
      <c r="J842" s="14">
        <f t="shared" ref="J842:O842" si="288">SUMIF($H$807:$H$838,"вне*",J$807:J$838)</f>
        <v>0</v>
      </c>
      <c r="K842" s="14">
        <f t="shared" si="288"/>
        <v>0</v>
      </c>
      <c r="L842" s="14">
        <f t="shared" si="288"/>
        <v>0</v>
      </c>
      <c r="M842" s="14">
        <f t="shared" si="288"/>
        <v>0</v>
      </c>
      <c r="N842" s="14">
        <f t="shared" si="288"/>
        <v>0</v>
      </c>
      <c r="O842" s="14">
        <f t="shared" si="288"/>
        <v>0</v>
      </c>
      <c r="P842" s="130"/>
      <c r="Q842" s="7"/>
    </row>
    <row r="843" spans="2:18" ht="25.5" customHeight="1" x14ac:dyDescent="0.2">
      <c r="B843" s="111" t="s">
        <v>557</v>
      </c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3"/>
    </row>
    <row r="844" spans="2:18" ht="62.25" customHeight="1" outlineLevel="1" x14ac:dyDescent="0.2">
      <c r="B844" s="117" t="s">
        <v>915</v>
      </c>
      <c r="C844" s="117"/>
      <c r="D844" s="117" t="s">
        <v>557</v>
      </c>
      <c r="E844" s="117" t="s">
        <v>698</v>
      </c>
      <c r="F844" s="117"/>
      <c r="G844" s="117" t="s">
        <v>916</v>
      </c>
      <c r="H844" s="95" t="s">
        <v>3</v>
      </c>
      <c r="I844" s="94">
        <f t="shared" ref="I844:I871" si="289">SUM(J844:O844)</f>
        <v>1053.98</v>
      </c>
      <c r="J844" s="94">
        <f t="shared" ref="J844:O844" si="290">J845+J846+J847</f>
        <v>100.25</v>
      </c>
      <c r="K844" s="94">
        <f t="shared" si="290"/>
        <v>74.53</v>
      </c>
      <c r="L844" s="94">
        <f t="shared" si="290"/>
        <v>250</v>
      </c>
      <c r="M844" s="94">
        <f t="shared" si="290"/>
        <v>300</v>
      </c>
      <c r="N844" s="94">
        <f t="shared" si="290"/>
        <v>329.2</v>
      </c>
      <c r="O844" s="94">
        <f t="shared" si="290"/>
        <v>0</v>
      </c>
      <c r="P844" s="117"/>
    </row>
    <row r="845" spans="2:18" outlineLevel="1" x14ac:dyDescent="0.2">
      <c r="B845" s="118"/>
      <c r="C845" s="132"/>
      <c r="D845" s="118"/>
      <c r="E845" s="118"/>
      <c r="F845" s="118"/>
      <c r="G845" s="118"/>
      <c r="H845" s="95" t="s">
        <v>4</v>
      </c>
      <c r="I845" s="94">
        <f t="shared" si="289"/>
        <v>984.03</v>
      </c>
      <c r="J845" s="94">
        <v>60.15</v>
      </c>
      <c r="K845" s="94">
        <v>44.68</v>
      </c>
      <c r="L845" s="94">
        <v>250</v>
      </c>
      <c r="M845" s="94">
        <v>300</v>
      </c>
      <c r="N845" s="94">
        <v>329.2</v>
      </c>
      <c r="O845" s="94"/>
      <c r="P845" s="118"/>
    </row>
    <row r="846" spans="2:18" outlineLevel="1" x14ac:dyDescent="0.2">
      <c r="B846" s="118"/>
      <c r="C846" s="132"/>
      <c r="D846" s="118"/>
      <c r="E846" s="118"/>
      <c r="F846" s="118"/>
      <c r="G846" s="118"/>
      <c r="H846" s="95" t="s">
        <v>6</v>
      </c>
      <c r="I846" s="94">
        <f t="shared" si="289"/>
        <v>33.230000000000004</v>
      </c>
      <c r="J846" s="94">
        <v>19.05</v>
      </c>
      <c r="K846" s="94">
        <v>14.18</v>
      </c>
      <c r="L846" s="94">
        <v>0</v>
      </c>
      <c r="M846" s="94">
        <v>0</v>
      </c>
      <c r="N846" s="94">
        <v>0</v>
      </c>
      <c r="O846" s="94">
        <v>0</v>
      </c>
      <c r="P846" s="118"/>
    </row>
    <row r="847" spans="2:18" outlineLevel="1" x14ac:dyDescent="0.2">
      <c r="B847" s="119"/>
      <c r="C847" s="133"/>
      <c r="D847" s="119"/>
      <c r="E847" s="119"/>
      <c r="F847" s="119"/>
      <c r="G847" s="119"/>
      <c r="H847" s="95" t="s">
        <v>5</v>
      </c>
      <c r="I847" s="94">
        <f t="shared" si="289"/>
        <v>36.72</v>
      </c>
      <c r="J847" s="94">
        <v>21.05</v>
      </c>
      <c r="K847" s="94">
        <v>15.67</v>
      </c>
      <c r="L847" s="94"/>
      <c r="M847" s="94"/>
      <c r="N847" s="94"/>
      <c r="O847" s="94"/>
      <c r="P847" s="119"/>
    </row>
    <row r="848" spans="2:18" ht="42.75" outlineLevel="1" x14ac:dyDescent="0.2">
      <c r="B848" s="117" t="s">
        <v>917</v>
      </c>
      <c r="C848" s="117"/>
      <c r="D848" s="117" t="s">
        <v>557</v>
      </c>
      <c r="E848" s="117">
        <v>2021</v>
      </c>
      <c r="F848" s="117"/>
      <c r="G848" s="117" t="s">
        <v>138</v>
      </c>
      <c r="H848" s="95" t="s">
        <v>3</v>
      </c>
      <c r="I848" s="94">
        <f t="shared" si="289"/>
        <v>48.7</v>
      </c>
      <c r="J848" s="94"/>
      <c r="K848" s="94">
        <v>48.7</v>
      </c>
      <c r="L848" s="94"/>
      <c r="M848" s="94"/>
      <c r="N848" s="94"/>
      <c r="O848" s="94"/>
      <c r="P848" s="117"/>
    </row>
    <row r="849" spans="2:16" outlineLevel="1" x14ac:dyDescent="0.2">
      <c r="B849" s="118"/>
      <c r="C849" s="132"/>
      <c r="D849" s="118"/>
      <c r="E849" s="118"/>
      <c r="F849" s="118"/>
      <c r="G849" s="118"/>
      <c r="H849" s="95" t="s">
        <v>4</v>
      </c>
      <c r="I849" s="94">
        <f t="shared" si="289"/>
        <v>0</v>
      </c>
      <c r="J849" s="94"/>
      <c r="K849" s="94"/>
      <c r="L849" s="94"/>
      <c r="M849" s="94"/>
      <c r="N849" s="94"/>
      <c r="O849" s="94"/>
      <c r="P849" s="118"/>
    </row>
    <row r="850" spans="2:16" outlineLevel="1" x14ac:dyDescent="0.2">
      <c r="B850" s="118"/>
      <c r="C850" s="132"/>
      <c r="D850" s="118"/>
      <c r="E850" s="118"/>
      <c r="F850" s="118"/>
      <c r="G850" s="118"/>
      <c r="H850" s="95" t="s">
        <v>6</v>
      </c>
      <c r="I850" s="94">
        <f t="shared" si="289"/>
        <v>48.7</v>
      </c>
      <c r="J850" s="94"/>
      <c r="K850" s="94">
        <v>48.7</v>
      </c>
      <c r="L850" s="94"/>
      <c r="M850" s="94"/>
      <c r="N850" s="94"/>
      <c r="O850" s="94"/>
      <c r="P850" s="118"/>
    </row>
    <row r="851" spans="2:16" outlineLevel="1" x14ac:dyDescent="0.2">
      <c r="B851" s="119"/>
      <c r="C851" s="133"/>
      <c r="D851" s="119"/>
      <c r="E851" s="119"/>
      <c r="F851" s="119"/>
      <c r="G851" s="119"/>
      <c r="H851" s="95" t="s">
        <v>5</v>
      </c>
      <c r="I851" s="94">
        <f t="shared" si="289"/>
        <v>0</v>
      </c>
      <c r="J851" s="94"/>
      <c r="K851" s="94"/>
      <c r="L851" s="94"/>
      <c r="M851" s="94"/>
      <c r="N851" s="94"/>
      <c r="O851" s="94"/>
      <c r="P851" s="119"/>
    </row>
    <row r="852" spans="2:16" ht="42.75" outlineLevel="1" x14ac:dyDescent="0.2">
      <c r="B852" s="117" t="s">
        <v>918</v>
      </c>
      <c r="C852" s="117" t="s">
        <v>628</v>
      </c>
      <c r="D852" s="117" t="s">
        <v>557</v>
      </c>
      <c r="E852" s="117">
        <v>2024</v>
      </c>
      <c r="F852" s="117"/>
      <c r="G852" s="117" t="s">
        <v>138</v>
      </c>
      <c r="H852" s="95" t="s">
        <v>3</v>
      </c>
      <c r="I852" s="94">
        <f t="shared" si="289"/>
        <v>55.2</v>
      </c>
      <c r="J852" s="94"/>
      <c r="K852" s="94">
        <f>K854</f>
        <v>4.5999999999999996</v>
      </c>
      <c r="L852" s="94"/>
      <c r="M852" s="94"/>
      <c r="N852" s="94">
        <f>N854</f>
        <v>50.6</v>
      </c>
      <c r="O852" s="94"/>
      <c r="P852" s="117"/>
    </row>
    <row r="853" spans="2:16" outlineLevel="1" x14ac:dyDescent="0.2">
      <c r="B853" s="118"/>
      <c r="C853" s="132"/>
      <c r="D853" s="118"/>
      <c r="E853" s="118"/>
      <c r="F853" s="118"/>
      <c r="G853" s="118"/>
      <c r="H853" s="95" t="s">
        <v>4</v>
      </c>
      <c r="I853" s="94">
        <f t="shared" si="289"/>
        <v>0</v>
      </c>
      <c r="J853" s="94"/>
      <c r="K853" s="94"/>
      <c r="L853" s="94"/>
      <c r="M853" s="94"/>
      <c r="N853" s="94"/>
      <c r="O853" s="94"/>
      <c r="P853" s="118"/>
    </row>
    <row r="854" spans="2:16" outlineLevel="1" x14ac:dyDescent="0.2">
      <c r="B854" s="118"/>
      <c r="C854" s="132"/>
      <c r="D854" s="118"/>
      <c r="E854" s="118"/>
      <c r="F854" s="118"/>
      <c r="G854" s="118"/>
      <c r="H854" s="95" t="s">
        <v>6</v>
      </c>
      <c r="I854" s="94">
        <f t="shared" si="289"/>
        <v>55.2</v>
      </c>
      <c r="J854" s="94"/>
      <c r="K854" s="94">
        <v>4.5999999999999996</v>
      </c>
      <c r="L854" s="94"/>
      <c r="M854" s="94"/>
      <c r="N854" s="94">
        <v>50.6</v>
      </c>
      <c r="O854" s="94"/>
      <c r="P854" s="118"/>
    </row>
    <row r="855" spans="2:16" outlineLevel="1" x14ac:dyDescent="0.2">
      <c r="B855" s="119"/>
      <c r="C855" s="133"/>
      <c r="D855" s="119"/>
      <c r="E855" s="119"/>
      <c r="F855" s="119"/>
      <c r="G855" s="119"/>
      <c r="H855" s="95" t="s">
        <v>5</v>
      </c>
      <c r="I855" s="94">
        <f t="shared" si="289"/>
        <v>0</v>
      </c>
      <c r="J855" s="94"/>
      <c r="K855" s="94"/>
      <c r="L855" s="94"/>
      <c r="M855" s="94"/>
      <c r="N855" s="94"/>
      <c r="O855" s="94"/>
      <c r="P855" s="119"/>
    </row>
    <row r="856" spans="2:16" ht="42.75" outlineLevel="1" x14ac:dyDescent="0.2">
      <c r="B856" s="117" t="s">
        <v>919</v>
      </c>
      <c r="C856" s="117" t="s">
        <v>628</v>
      </c>
      <c r="D856" s="117" t="s">
        <v>557</v>
      </c>
      <c r="E856" s="117" t="s">
        <v>34</v>
      </c>
      <c r="F856" s="117"/>
      <c r="G856" s="117" t="s">
        <v>920</v>
      </c>
      <c r="H856" s="95" t="s">
        <v>3</v>
      </c>
      <c r="I856" s="94">
        <f t="shared" si="289"/>
        <v>722.7</v>
      </c>
      <c r="J856" s="94">
        <f t="shared" ref="J856:O856" si="291">J857+J858+J859</f>
        <v>0</v>
      </c>
      <c r="K856" s="94">
        <f t="shared" si="291"/>
        <v>31.1</v>
      </c>
      <c r="L856" s="94">
        <f t="shared" si="291"/>
        <v>511.6</v>
      </c>
      <c r="M856" s="94">
        <f t="shared" si="291"/>
        <v>180</v>
      </c>
      <c r="N856" s="94">
        <f t="shared" si="291"/>
        <v>0</v>
      </c>
      <c r="O856" s="94">
        <f t="shared" si="291"/>
        <v>0</v>
      </c>
      <c r="P856" s="117"/>
    </row>
    <row r="857" spans="2:16" outlineLevel="1" x14ac:dyDescent="0.2">
      <c r="B857" s="118"/>
      <c r="C857" s="132"/>
      <c r="D857" s="118"/>
      <c r="E857" s="118"/>
      <c r="F857" s="118"/>
      <c r="G857" s="118"/>
      <c r="H857" s="95" t="s">
        <v>4</v>
      </c>
      <c r="I857" s="94">
        <f t="shared" si="289"/>
        <v>691.6</v>
      </c>
      <c r="J857" s="94"/>
      <c r="K857" s="94"/>
      <c r="L857" s="87">
        <v>511.6</v>
      </c>
      <c r="M857" s="94">
        <v>180</v>
      </c>
      <c r="N857" s="94"/>
      <c r="O857" s="94"/>
      <c r="P857" s="118"/>
    </row>
    <row r="858" spans="2:16" outlineLevel="1" x14ac:dyDescent="0.2">
      <c r="B858" s="118"/>
      <c r="C858" s="132"/>
      <c r="D858" s="118"/>
      <c r="E858" s="118"/>
      <c r="F858" s="118"/>
      <c r="G858" s="118"/>
      <c r="H858" s="95" t="s">
        <v>6</v>
      </c>
      <c r="I858" s="94">
        <f t="shared" si="289"/>
        <v>31.1</v>
      </c>
      <c r="J858" s="94"/>
      <c r="K858" s="94">
        <v>31.1</v>
      </c>
      <c r="L858" s="94"/>
      <c r="M858" s="94"/>
      <c r="N858" s="94"/>
      <c r="O858" s="94"/>
      <c r="P858" s="118"/>
    </row>
    <row r="859" spans="2:16" outlineLevel="1" x14ac:dyDescent="0.2">
      <c r="B859" s="119"/>
      <c r="C859" s="133"/>
      <c r="D859" s="119"/>
      <c r="E859" s="119"/>
      <c r="F859" s="119"/>
      <c r="G859" s="119"/>
      <c r="H859" s="95" t="s">
        <v>5</v>
      </c>
      <c r="I859" s="94">
        <f t="shared" si="289"/>
        <v>0</v>
      </c>
      <c r="J859" s="94"/>
      <c r="K859" s="94"/>
      <c r="L859" s="94"/>
      <c r="M859" s="94"/>
      <c r="N859" s="94"/>
      <c r="O859" s="94"/>
      <c r="P859" s="119"/>
    </row>
    <row r="860" spans="2:16" ht="42.75" outlineLevel="1" x14ac:dyDescent="0.2">
      <c r="B860" s="117" t="s">
        <v>921</v>
      </c>
      <c r="C860" s="117" t="s">
        <v>628</v>
      </c>
      <c r="D860" s="117" t="s">
        <v>557</v>
      </c>
      <c r="E860" s="117" t="s">
        <v>50</v>
      </c>
      <c r="F860" s="117"/>
      <c r="G860" s="117" t="s">
        <v>920</v>
      </c>
      <c r="H860" s="95" t="s">
        <v>3</v>
      </c>
      <c r="I860" s="94">
        <f t="shared" si="289"/>
        <v>130.32</v>
      </c>
      <c r="J860" s="94">
        <f t="shared" ref="J860:O860" si="292">J861+J862+J863</f>
        <v>0</v>
      </c>
      <c r="K860" s="94">
        <f t="shared" si="292"/>
        <v>10.32</v>
      </c>
      <c r="L860" s="94">
        <f t="shared" si="292"/>
        <v>120</v>
      </c>
      <c r="M860" s="94">
        <f t="shared" si="292"/>
        <v>0</v>
      </c>
      <c r="N860" s="94">
        <f t="shared" si="292"/>
        <v>0</v>
      </c>
      <c r="O860" s="94">
        <f t="shared" si="292"/>
        <v>0</v>
      </c>
      <c r="P860" s="117"/>
    </row>
    <row r="861" spans="2:16" outlineLevel="1" x14ac:dyDescent="0.2">
      <c r="B861" s="118"/>
      <c r="C861" s="132"/>
      <c r="D861" s="118"/>
      <c r="E861" s="118"/>
      <c r="F861" s="118"/>
      <c r="G861" s="118"/>
      <c r="H861" s="95" t="s">
        <v>4</v>
      </c>
      <c r="I861" s="94">
        <f t="shared" si="289"/>
        <v>120</v>
      </c>
      <c r="J861" s="94"/>
      <c r="K861" s="17"/>
      <c r="L861" s="37">
        <v>120</v>
      </c>
      <c r="M861" s="27"/>
      <c r="N861" s="94"/>
      <c r="O861" s="94"/>
      <c r="P861" s="118"/>
    </row>
    <row r="862" spans="2:16" outlineLevel="1" x14ac:dyDescent="0.2">
      <c r="B862" s="118"/>
      <c r="C862" s="132"/>
      <c r="D862" s="118"/>
      <c r="E862" s="118"/>
      <c r="F862" s="118"/>
      <c r="G862" s="118"/>
      <c r="H862" s="95" t="s">
        <v>6</v>
      </c>
      <c r="I862" s="94">
        <f t="shared" si="289"/>
        <v>10.32</v>
      </c>
      <c r="J862" s="27"/>
      <c r="K862" s="17">
        <v>10.32</v>
      </c>
      <c r="L862" s="17"/>
      <c r="M862" s="94"/>
      <c r="N862" s="94"/>
      <c r="O862" s="94"/>
      <c r="P862" s="118"/>
    </row>
    <row r="863" spans="2:16" outlineLevel="1" x14ac:dyDescent="0.2">
      <c r="B863" s="119"/>
      <c r="C863" s="133"/>
      <c r="D863" s="119"/>
      <c r="E863" s="119"/>
      <c r="F863" s="119"/>
      <c r="G863" s="119"/>
      <c r="H863" s="95" t="s">
        <v>5</v>
      </c>
      <c r="I863" s="94">
        <f t="shared" si="289"/>
        <v>0</v>
      </c>
      <c r="J863" s="94"/>
      <c r="K863" s="94"/>
      <c r="L863" s="94"/>
      <c r="M863" s="94"/>
      <c r="N863" s="94"/>
      <c r="O863" s="94"/>
      <c r="P863" s="119"/>
    </row>
    <row r="864" spans="2:16" ht="42.75" outlineLevel="1" x14ac:dyDescent="0.2">
      <c r="B864" s="117" t="s">
        <v>922</v>
      </c>
      <c r="C864" s="117"/>
      <c r="D864" s="117" t="s">
        <v>557</v>
      </c>
      <c r="E864" s="117" t="s">
        <v>69</v>
      </c>
      <c r="F864" s="117"/>
      <c r="G864" s="117" t="s">
        <v>920</v>
      </c>
      <c r="H864" s="95" t="s">
        <v>3</v>
      </c>
      <c r="I864" s="94">
        <f t="shared" si="289"/>
        <v>1601.1</v>
      </c>
      <c r="J864" s="94">
        <f t="shared" ref="J864:O864" si="293">J865+J866+J867</f>
        <v>0</v>
      </c>
      <c r="K864" s="94">
        <f t="shared" si="293"/>
        <v>13.8</v>
      </c>
      <c r="L864" s="94">
        <f t="shared" si="293"/>
        <v>529.1</v>
      </c>
      <c r="M864" s="94">
        <f t="shared" si="293"/>
        <v>529.1</v>
      </c>
      <c r="N864" s="94">
        <f t="shared" si="293"/>
        <v>529.1</v>
      </c>
      <c r="O864" s="94">
        <f t="shared" si="293"/>
        <v>0</v>
      </c>
      <c r="P864" s="117"/>
    </row>
    <row r="865" spans="2:18" outlineLevel="1" x14ac:dyDescent="0.2">
      <c r="B865" s="118"/>
      <c r="C865" s="132"/>
      <c r="D865" s="118"/>
      <c r="E865" s="118"/>
      <c r="F865" s="118"/>
      <c r="G865" s="118"/>
      <c r="H865" s="95" t="s">
        <v>4</v>
      </c>
      <c r="I865" s="94">
        <f t="shared" si="289"/>
        <v>1587.3000000000002</v>
      </c>
      <c r="J865" s="94"/>
      <c r="K865" s="17"/>
      <c r="L865" s="37">
        <v>529.1</v>
      </c>
      <c r="M865" s="27">
        <v>529.1</v>
      </c>
      <c r="N865" s="94">
        <v>529.1</v>
      </c>
      <c r="O865" s="94"/>
      <c r="P865" s="118"/>
    </row>
    <row r="866" spans="2:18" outlineLevel="1" x14ac:dyDescent="0.2">
      <c r="B866" s="118"/>
      <c r="C866" s="132"/>
      <c r="D866" s="118"/>
      <c r="E866" s="118"/>
      <c r="F866" s="118"/>
      <c r="G866" s="118"/>
      <c r="H866" s="95" t="s">
        <v>6</v>
      </c>
      <c r="I866" s="94">
        <f t="shared" si="289"/>
        <v>13.8</v>
      </c>
      <c r="J866" s="27"/>
      <c r="K866" s="17">
        <v>13.8</v>
      </c>
      <c r="L866" s="17"/>
      <c r="M866" s="94"/>
      <c r="N866" s="94"/>
      <c r="O866" s="94"/>
      <c r="P866" s="118"/>
    </row>
    <row r="867" spans="2:18" outlineLevel="1" x14ac:dyDescent="0.2">
      <c r="B867" s="119"/>
      <c r="C867" s="133"/>
      <c r="D867" s="119"/>
      <c r="E867" s="119"/>
      <c r="F867" s="119"/>
      <c r="G867" s="119"/>
      <c r="H867" s="95" t="s">
        <v>5</v>
      </c>
      <c r="I867" s="94">
        <f t="shared" si="289"/>
        <v>0</v>
      </c>
      <c r="J867" s="94"/>
      <c r="K867" s="94"/>
      <c r="L867" s="94"/>
      <c r="M867" s="94"/>
      <c r="N867" s="94"/>
      <c r="O867" s="94"/>
      <c r="P867" s="119"/>
    </row>
    <row r="868" spans="2:18" ht="42.75" outlineLevel="1" x14ac:dyDescent="0.2">
      <c r="B868" s="117" t="s">
        <v>923</v>
      </c>
      <c r="C868" s="117"/>
      <c r="D868" s="117" t="s">
        <v>557</v>
      </c>
      <c r="E868" s="117" t="s">
        <v>34</v>
      </c>
      <c r="F868" s="117"/>
      <c r="G868" s="117" t="s">
        <v>920</v>
      </c>
      <c r="H868" s="95" t="s">
        <v>3</v>
      </c>
      <c r="I868" s="94">
        <f t="shared" si="289"/>
        <v>169.9</v>
      </c>
      <c r="J868" s="94">
        <f t="shared" ref="J868:O868" si="294">J869+J870+J871</f>
        <v>0</v>
      </c>
      <c r="K868" s="94">
        <f t="shared" si="294"/>
        <v>2.5</v>
      </c>
      <c r="L868" s="94">
        <f t="shared" si="294"/>
        <v>83.7</v>
      </c>
      <c r="M868" s="94">
        <f t="shared" si="294"/>
        <v>83.7</v>
      </c>
      <c r="N868" s="94">
        <f t="shared" si="294"/>
        <v>0</v>
      </c>
      <c r="O868" s="94">
        <f t="shared" si="294"/>
        <v>0</v>
      </c>
      <c r="P868" s="117"/>
    </row>
    <row r="869" spans="2:18" outlineLevel="1" x14ac:dyDescent="0.2">
      <c r="B869" s="118"/>
      <c r="C869" s="132"/>
      <c r="D869" s="118"/>
      <c r="E869" s="118"/>
      <c r="F869" s="118"/>
      <c r="G869" s="118"/>
      <c r="H869" s="95" t="s">
        <v>4</v>
      </c>
      <c r="I869" s="94">
        <f t="shared" si="289"/>
        <v>167.4</v>
      </c>
      <c r="J869" s="94"/>
      <c r="K869" s="17"/>
      <c r="L869" s="37">
        <v>83.7</v>
      </c>
      <c r="M869" s="27">
        <v>83.7</v>
      </c>
      <c r="N869" s="94"/>
      <c r="O869" s="94"/>
      <c r="P869" s="118"/>
    </row>
    <row r="870" spans="2:18" outlineLevel="1" x14ac:dyDescent="0.2">
      <c r="B870" s="118"/>
      <c r="C870" s="132"/>
      <c r="D870" s="118"/>
      <c r="E870" s="118"/>
      <c r="F870" s="118"/>
      <c r="G870" s="118"/>
      <c r="H870" s="95" t="s">
        <v>6</v>
      </c>
      <c r="I870" s="94">
        <f t="shared" si="289"/>
        <v>2.5</v>
      </c>
      <c r="J870" s="27"/>
      <c r="K870" s="17">
        <v>2.5</v>
      </c>
      <c r="L870" s="17"/>
      <c r="M870" s="94"/>
      <c r="N870" s="94"/>
      <c r="O870" s="94"/>
      <c r="P870" s="118"/>
    </row>
    <row r="871" spans="2:18" outlineLevel="1" x14ac:dyDescent="0.2">
      <c r="B871" s="119"/>
      <c r="C871" s="133"/>
      <c r="D871" s="119"/>
      <c r="E871" s="119"/>
      <c r="F871" s="119"/>
      <c r="G871" s="119"/>
      <c r="H871" s="95" t="s">
        <v>5</v>
      </c>
      <c r="I871" s="94">
        <f t="shared" si="289"/>
        <v>0</v>
      </c>
      <c r="J871" s="94"/>
      <c r="K871" s="94"/>
      <c r="L871" s="94"/>
      <c r="M871" s="94"/>
      <c r="N871" s="94"/>
      <c r="O871" s="94"/>
      <c r="P871" s="119"/>
    </row>
    <row r="872" spans="2:18" ht="42.75" x14ac:dyDescent="0.2">
      <c r="B872" s="128" t="s">
        <v>560</v>
      </c>
      <c r="C872" s="128" t="s">
        <v>38</v>
      </c>
      <c r="D872" s="128" t="s">
        <v>38</v>
      </c>
      <c r="E872" s="128" t="s">
        <v>38</v>
      </c>
      <c r="F872" s="128" t="s">
        <v>38</v>
      </c>
      <c r="G872" s="128" t="s">
        <v>38</v>
      </c>
      <c r="H872" s="95" t="s">
        <v>3</v>
      </c>
      <c r="I872" s="14">
        <f t="shared" ref="I872:O872" si="295">SUMIF($H$844:$H$871,"Объем*",I$844:I$871)</f>
        <v>3781.9</v>
      </c>
      <c r="J872" s="14">
        <f t="shared" si="295"/>
        <v>100.25</v>
      </c>
      <c r="K872" s="14">
        <f t="shared" si="295"/>
        <v>185.55</v>
      </c>
      <c r="L872" s="14">
        <f t="shared" si="295"/>
        <v>1494.4</v>
      </c>
      <c r="M872" s="14">
        <f t="shared" si="295"/>
        <v>1092.8</v>
      </c>
      <c r="N872" s="14">
        <f t="shared" si="295"/>
        <v>908.90000000000009</v>
      </c>
      <c r="O872" s="14">
        <f t="shared" si="295"/>
        <v>0</v>
      </c>
      <c r="P872" s="128"/>
      <c r="Q872" s="7"/>
      <c r="R872" s="7"/>
    </row>
    <row r="873" spans="2:18" ht="15.75" x14ac:dyDescent="0.2">
      <c r="B873" s="129"/>
      <c r="C873" s="129"/>
      <c r="D873" s="129"/>
      <c r="E873" s="129"/>
      <c r="F873" s="129"/>
      <c r="G873" s="129"/>
      <c r="H873" s="95" t="s">
        <v>4</v>
      </c>
      <c r="I873" s="14">
        <f t="shared" ref="I873:O873" si="296">SUMIF($H$844:$H$871,"фед*",I$844:I$871)</f>
        <v>3550.3300000000004</v>
      </c>
      <c r="J873" s="14">
        <f t="shared" si="296"/>
        <v>60.15</v>
      </c>
      <c r="K873" s="14">
        <f t="shared" si="296"/>
        <v>44.68</v>
      </c>
      <c r="L873" s="14">
        <f t="shared" si="296"/>
        <v>1494.4</v>
      </c>
      <c r="M873" s="14">
        <f t="shared" si="296"/>
        <v>1092.8</v>
      </c>
      <c r="N873" s="14">
        <f t="shared" si="296"/>
        <v>858.3</v>
      </c>
      <c r="O873" s="14">
        <f t="shared" si="296"/>
        <v>0</v>
      </c>
      <c r="P873" s="129"/>
      <c r="Q873" s="7"/>
    </row>
    <row r="874" spans="2:18" ht="15.75" x14ac:dyDescent="0.2">
      <c r="B874" s="129"/>
      <c r="C874" s="129"/>
      <c r="D874" s="129"/>
      <c r="E874" s="129"/>
      <c r="F874" s="129"/>
      <c r="G874" s="129"/>
      <c r="H874" s="95" t="s">
        <v>6</v>
      </c>
      <c r="I874" s="14">
        <f t="shared" ref="I874:O874" si="297">SUMIF($H$844:$H$871,"конс*",I$844:I$871)</f>
        <v>194.85</v>
      </c>
      <c r="J874" s="14">
        <f t="shared" si="297"/>
        <v>19.05</v>
      </c>
      <c r="K874" s="14">
        <f t="shared" si="297"/>
        <v>125.2</v>
      </c>
      <c r="L874" s="14">
        <f t="shared" si="297"/>
        <v>0</v>
      </c>
      <c r="M874" s="14">
        <f t="shared" si="297"/>
        <v>0</v>
      </c>
      <c r="N874" s="14">
        <f t="shared" si="297"/>
        <v>50.6</v>
      </c>
      <c r="O874" s="14">
        <f t="shared" si="297"/>
        <v>0</v>
      </c>
      <c r="P874" s="129"/>
      <c r="Q874" s="7"/>
    </row>
    <row r="875" spans="2:18" ht="15.75" x14ac:dyDescent="0.2">
      <c r="B875" s="130"/>
      <c r="C875" s="130"/>
      <c r="D875" s="130"/>
      <c r="E875" s="130"/>
      <c r="F875" s="130"/>
      <c r="G875" s="130"/>
      <c r="H875" s="95" t="s">
        <v>5</v>
      </c>
      <c r="I875" s="14">
        <f t="shared" ref="I875:O875" si="298">SUMIF($H$844:$H$871,"вне*",I$844:I$871)</f>
        <v>36.72</v>
      </c>
      <c r="J875" s="14">
        <f t="shared" si="298"/>
        <v>21.05</v>
      </c>
      <c r="K875" s="14">
        <f t="shared" si="298"/>
        <v>15.67</v>
      </c>
      <c r="L875" s="14">
        <f t="shared" si="298"/>
        <v>0</v>
      </c>
      <c r="M875" s="14">
        <f t="shared" si="298"/>
        <v>0</v>
      </c>
      <c r="N875" s="14">
        <f t="shared" si="298"/>
        <v>0</v>
      </c>
      <c r="O875" s="14">
        <f t="shared" si="298"/>
        <v>0</v>
      </c>
      <c r="P875" s="130"/>
      <c r="Q875" s="7"/>
    </row>
    <row r="876" spans="2:18" ht="25.5" customHeight="1" x14ac:dyDescent="0.2">
      <c r="B876" s="111" t="s">
        <v>65</v>
      </c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3"/>
    </row>
    <row r="877" spans="2:18" ht="42.75" outlineLevel="1" x14ac:dyDescent="0.2">
      <c r="B877" s="166" t="s">
        <v>924</v>
      </c>
      <c r="C877" s="166"/>
      <c r="D877" s="166" t="s">
        <v>575</v>
      </c>
      <c r="E877" s="166" t="s">
        <v>925</v>
      </c>
      <c r="F877" s="166"/>
      <c r="G877" s="166" t="s">
        <v>138</v>
      </c>
      <c r="H877" s="95" t="s">
        <v>3</v>
      </c>
      <c r="I877" s="54">
        <f>SUM(J877:O877)</f>
        <v>512.1</v>
      </c>
      <c r="J877" s="93">
        <f t="shared" ref="J877:O877" si="299">SUM(J878:J879)</f>
        <v>3.6</v>
      </c>
      <c r="K877" s="93">
        <f t="shared" si="299"/>
        <v>101.7</v>
      </c>
      <c r="L877" s="93">
        <f t="shared" si="299"/>
        <v>203.4</v>
      </c>
      <c r="M877" s="93">
        <f t="shared" si="299"/>
        <v>203.4</v>
      </c>
      <c r="N877" s="93">
        <f t="shared" si="299"/>
        <v>0</v>
      </c>
      <c r="O877" s="93">
        <f t="shared" si="299"/>
        <v>0</v>
      </c>
      <c r="P877" s="150">
        <v>4000</v>
      </c>
    </row>
    <row r="878" spans="2:18" ht="15" customHeight="1" outlineLevel="1" x14ac:dyDescent="0.2">
      <c r="B878" s="166"/>
      <c r="C878" s="166"/>
      <c r="D878" s="166"/>
      <c r="E878" s="166"/>
      <c r="F878" s="166"/>
      <c r="G878" s="166"/>
      <c r="H878" s="95" t="s">
        <v>4</v>
      </c>
      <c r="I878" s="54">
        <f>SUM(J878:O878)</f>
        <v>508.5</v>
      </c>
      <c r="J878" s="93"/>
      <c r="K878" s="93">
        <v>101.7</v>
      </c>
      <c r="L878" s="93">
        <v>203.4</v>
      </c>
      <c r="M878" s="93">
        <v>203.4</v>
      </c>
      <c r="N878" s="93"/>
      <c r="O878" s="93"/>
      <c r="P878" s="151"/>
    </row>
    <row r="879" spans="2:18" ht="15" customHeight="1" outlineLevel="1" x14ac:dyDescent="0.2">
      <c r="B879" s="166"/>
      <c r="C879" s="166"/>
      <c r="D879" s="166"/>
      <c r="E879" s="166"/>
      <c r="F879" s="166"/>
      <c r="G879" s="166"/>
      <c r="H879" s="95" t="s">
        <v>6</v>
      </c>
      <c r="I879" s="54">
        <f>SUM(J879:O879)</f>
        <v>3.6</v>
      </c>
      <c r="J879" s="93">
        <v>3.6</v>
      </c>
      <c r="K879" s="93"/>
      <c r="L879" s="93"/>
      <c r="M879" s="93"/>
      <c r="N879" s="93"/>
      <c r="O879" s="93"/>
      <c r="P879" s="151"/>
    </row>
    <row r="880" spans="2:18" ht="15" customHeight="1" outlineLevel="1" x14ac:dyDescent="0.2">
      <c r="B880" s="166"/>
      <c r="C880" s="166"/>
      <c r="D880" s="166"/>
      <c r="E880" s="166"/>
      <c r="F880" s="166"/>
      <c r="G880" s="166"/>
      <c r="H880" s="95" t="s">
        <v>5</v>
      </c>
      <c r="I880" s="54"/>
      <c r="J880" s="93"/>
      <c r="K880" s="93"/>
      <c r="L880" s="93"/>
      <c r="M880" s="93"/>
      <c r="N880" s="93"/>
      <c r="O880" s="93"/>
      <c r="P880" s="152"/>
    </row>
    <row r="881" spans="2:16" ht="42.75" outlineLevel="1" x14ac:dyDescent="0.2">
      <c r="B881" s="166" t="s">
        <v>926</v>
      </c>
      <c r="C881" s="166"/>
      <c r="D881" s="166" t="s">
        <v>927</v>
      </c>
      <c r="E881" s="166" t="s">
        <v>171</v>
      </c>
      <c r="F881" s="166"/>
      <c r="G881" s="166" t="s">
        <v>138</v>
      </c>
      <c r="H881" s="95" t="s">
        <v>3</v>
      </c>
      <c r="I881" s="55">
        <f>SUM(J881:O881)</f>
        <v>1057</v>
      </c>
      <c r="J881" s="93">
        <f t="shared" ref="J881:O881" si="300">SUM(J882:J883)</f>
        <v>161.5</v>
      </c>
      <c r="K881" s="93">
        <f t="shared" si="300"/>
        <v>179.1</v>
      </c>
      <c r="L881" s="93">
        <f t="shared" si="300"/>
        <v>179.1</v>
      </c>
      <c r="M881" s="93">
        <f t="shared" si="300"/>
        <v>179.1</v>
      </c>
      <c r="N881" s="93">
        <f t="shared" si="300"/>
        <v>179.1</v>
      </c>
      <c r="O881" s="93">
        <f t="shared" si="300"/>
        <v>179.1</v>
      </c>
      <c r="P881" s="150">
        <v>500</v>
      </c>
    </row>
    <row r="882" spans="2:16" ht="15" customHeight="1" outlineLevel="1" x14ac:dyDescent="0.2">
      <c r="B882" s="166"/>
      <c r="C882" s="166"/>
      <c r="D882" s="166"/>
      <c r="E882" s="166"/>
      <c r="F882" s="166"/>
      <c r="G882" s="166"/>
      <c r="H882" s="95" t="s">
        <v>4</v>
      </c>
      <c r="I882" s="54">
        <f>SUM(J882:O882)</f>
        <v>538.20000000000005</v>
      </c>
      <c r="J882" s="93">
        <v>81.7</v>
      </c>
      <c r="K882" s="93">
        <v>91.3</v>
      </c>
      <c r="L882" s="93">
        <v>91.3</v>
      </c>
      <c r="M882" s="93">
        <v>91.3</v>
      </c>
      <c r="N882" s="93">
        <v>91.3</v>
      </c>
      <c r="O882" s="93">
        <v>91.3</v>
      </c>
      <c r="P882" s="151"/>
    </row>
    <row r="883" spans="2:16" ht="15" customHeight="1" outlineLevel="1" x14ac:dyDescent="0.2">
      <c r="B883" s="166"/>
      <c r="C883" s="166"/>
      <c r="D883" s="166"/>
      <c r="E883" s="166"/>
      <c r="F883" s="166"/>
      <c r="G883" s="166"/>
      <c r="H883" s="95" t="s">
        <v>6</v>
      </c>
      <c r="I883" s="54">
        <f>SUM(J883:O883)</f>
        <v>518.79999999999995</v>
      </c>
      <c r="J883" s="93">
        <v>79.8</v>
      </c>
      <c r="K883" s="93">
        <v>87.8</v>
      </c>
      <c r="L883" s="93">
        <v>87.8</v>
      </c>
      <c r="M883" s="93">
        <v>87.8</v>
      </c>
      <c r="N883" s="93">
        <v>87.8</v>
      </c>
      <c r="O883" s="93">
        <v>87.8</v>
      </c>
      <c r="P883" s="151"/>
    </row>
    <row r="884" spans="2:16" ht="15" customHeight="1" outlineLevel="1" x14ac:dyDescent="0.2">
      <c r="B884" s="166"/>
      <c r="C884" s="166"/>
      <c r="D884" s="166"/>
      <c r="E884" s="166"/>
      <c r="F884" s="166"/>
      <c r="G884" s="166"/>
      <c r="H884" s="95" t="s">
        <v>5</v>
      </c>
      <c r="I884" s="54"/>
      <c r="J884" s="93"/>
      <c r="K884" s="93"/>
      <c r="L884" s="93"/>
      <c r="M884" s="93"/>
      <c r="N884" s="93"/>
      <c r="O884" s="93"/>
      <c r="P884" s="152"/>
    </row>
    <row r="885" spans="2:16" ht="42.75" outlineLevel="1" x14ac:dyDescent="0.2">
      <c r="B885" s="166" t="s">
        <v>928</v>
      </c>
      <c r="C885" s="166"/>
      <c r="D885" s="166" t="s">
        <v>65</v>
      </c>
      <c r="E885" s="166" t="s">
        <v>73</v>
      </c>
      <c r="F885" s="166">
        <v>1117</v>
      </c>
      <c r="G885" s="166" t="s">
        <v>572</v>
      </c>
      <c r="H885" s="95" t="s">
        <v>3</v>
      </c>
      <c r="I885" s="55">
        <f t="shared" ref="I885:I891" si="301">SUM(J885:O885)</f>
        <v>2480</v>
      </c>
      <c r="J885" s="93">
        <f t="shared" ref="J885" si="302">SUM(J886:J887)</f>
        <v>0</v>
      </c>
      <c r="K885" s="93">
        <f>SUM(K886:K888)</f>
        <v>549.6</v>
      </c>
      <c r="L885" s="93">
        <f t="shared" ref="L885:O885" si="303">SUM(L886:L888)</f>
        <v>482.6</v>
      </c>
      <c r="M885" s="93">
        <f t="shared" si="303"/>
        <v>482.6</v>
      </c>
      <c r="N885" s="93">
        <f t="shared" si="303"/>
        <v>482.6</v>
      </c>
      <c r="O885" s="93">
        <f t="shared" si="303"/>
        <v>482.6</v>
      </c>
      <c r="P885" s="150">
        <v>150000</v>
      </c>
    </row>
    <row r="886" spans="2:16" ht="15" customHeight="1" outlineLevel="1" x14ac:dyDescent="0.2">
      <c r="B886" s="166"/>
      <c r="C886" s="166"/>
      <c r="D886" s="166"/>
      <c r="E886" s="166"/>
      <c r="F886" s="166"/>
      <c r="G886" s="166"/>
      <c r="H886" s="95" t="s">
        <v>4</v>
      </c>
      <c r="I886" s="55">
        <f t="shared" si="301"/>
        <v>0</v>
      </c>
      <c r="J886" s="93"/>
      <c r="K886" s="93"/>
      <c r="L886" s="93"/>
      <c r="M886" s="93"/>
      <c r="N886" s="93"/>
      <c r="O886" s="93"/>
      <c r="P886" s="151"/>
    </row>
    <row r="887" spans="2:16" ht="15" customHeight="1" outlineLevel="1" x14ac:dyDescent="0.2">
      <c r="B887" s="166"/>
      <c r="C887" s="166"/>
      <c r="D887" s="166"/>
      <c r="E887" s="166"/>
      <c r="F887" s="166"/>
      <c r="G887" s="166"/>
      <c r="H887" s="95" t="s">
        <v>6</v>
      </c>
      <c r="I887" s="55">
        <f t="shared" si="301"/>
        <v>1830</v>
      </c>
      <c r="J887" s="93"/>
      <c r="K887" s="93">
        <v>399.6</v>
      </c>
      <c r="L887" s="93">
        <v>332.6</v>
      </c>
      <c r="M887" s="93">
        <v>332.6</v>
      </c>
      <c r="N887" s="93">
        <v>382.6</v>
      </c>
      <c r="O887" s="93">
        <v>382.6</v>
      </c>
      <c r="P887" s="151"/>
    </row>
    <row r="888" spans="2:16" ht="15" customHeight="1" outlineLevel="1" x14ac:dyDescent="0.2">
      <c r="B888" s="166"/>
      <c r="C888" s="166"/>
      <c r="D888" s="166"/>
      <c r="E888" s="166"/>
      <c r="F888" s="166"/>
      <c r="G888" s="166"/>
      <c r="H888" s="95" t="s">
        <v>5</v>
      </c>
      <c r="I888" s="55">
        <f t="shared" si="301"/>
        <v>650</v>
      </c>
      <c r="J888" s="93"/>
      <c r="K888" s="53">
        <v>150</v>
      </c>
      <c r="L888" s="53">
        <v>150</v>
      </c>
      <c r="M888" s="53">
        <v>150</v>
      </c>
      <c r="N888" s="53">
        <v>100</v>
      </c>
      <c r="O888" s="53">
        <v>100</v>
      </c>
      <c r="P888" s="152"/>
    </row>
    <row r="889" spans="2:16" ht="42.75" outlineLevel="1" x14ac:dyDescent="0.2">
      <c r="B889" s="166" t="s">
        <v>929</v>
      </c>
      <c r="C889" s="166"/>
      <c r="D889" s="166" t="s">
        <v>575</v>
      </c>
      <c r="E889" s="150" t="s">
        <v>73</v>
      </c>
      <c r="F889" s="166"/>
      <c r="G889" s="166" t="s">
        <v>572</v>
      </c>
      <c r="H889" s="95" t="s">
        <v>3</v>
      </c>
      <c r="I889" s="54">
        <f t="shared" si="301"/>
        <v>165</v>
      </c>
      <c r="J889" s="93">
        <f t="shared" ref="J889:O889" si="304">SUM(J890:J891)</f>
        <v>0</v>
      </c>
      <c r="K889" s="93">
        <f t="shared" si="304"/>
        <v>45</v>
      </c>
      <c r="L889" s="93">
        <f t="shared" si="304"/>
        <v>30</v>
      </c>
      <c r="M889" s="93">
        <f t="shared" si="304"/>
        <v>30</v>
      </c>
      <c r="N889" s="93">
        <f t="shared" si="304"/>
        <v>30</v>
      </c>
      <c r="O889" s="93">
        <f t="shared" si="304"/>
        <v>30</v>
      </c>
      <c r="P889" s="150">
        <v>150000</v>
      </c>
    </row>
    <row r="890" spans="2:16" ht="15" customHeight="1" outlineLevel="1" x14ac:dyDescent="0.2">
      <c r="B890" s="166"/>
      <c r="C890" s="166"/>
      <c r="D890" s="166"/>
      <c r="E890" s="151"/>
      <c r="F890" s="166"/>
      <c r="G890" s="166"/>
      <c r="H890" s="95" t="s">
        <v>4</v>
      </c>
      <c r="I890" s="54">
        <f t="shared" si="301"/>
        <v>0</v>
      </c>
      <c r="J890" s="93"/>
      <c r="K890" s="56"/>
      <c r="L890" s="56"/>
      <c r="M890" s="56"/>
      <c r="N890" s="93"/>
      <c r="O890" s="93"/>
      <c r="P890" s="151"/>
    </row>
    <row r="891" spans="2:16" ht="15" customHeight="1" outlineLevel="1" x14ac:dyDescent="0.2">
      <c r="B891" s="166"/>
      <c r="C891" s="166"/>
      <c r="D891" s="166"/>
      <c r="E891" s="151"/>
      <c r="F891" s="166"/>
      <c r="G891" s="166"/>
      <c r="H891" s="95" t="s">
        <v>6</v>
      </c>
      <c r="I891" s="54">
        <f t="shared" si="301"/>
        <v>165</v>
      </c>
      <c r="J891" s="93"/>
      <c r="K891" s="57">
        <v>45</v>
      </c>
      <c r="L891" s="57">
        <v>30</v>
      </c>
      <c r="M891" s="57">
        <v>30</v>
      </c>
      <c r="N891" s="93">
        <v>30</v>
      </c>
      <c r="O891" s="93">
        <v>30</v>
      </c>
      <c r="P891" s="151"/>
    </row>
    <row r="892" spans="2:16" ht="15" customHeight="1" outlineLevel="1" x14ac:dyDescent="0.2">
      <c r="B892" s="166"/>
      <c r="C892" s="166"/>
      <c r="D892" s="166"/>
      <c r="E892" s="152"/>
      <c r="F892" s="166"/>
      <c r="G892" s="166"/>
      <c r="H892" s="95" t="s">
        <v>5</v>
      </c>
      <c r="I892" s="54"/>
      <c r="J892" s="93"/>
      <c r="K892" s="93"/>
      <c r="L892" s="93"/>
      <c r="M892" s="93"/>
      <c r="N892" s="93"/>
      <c r="O892" s="93"/>
      <c r="P892" s="152"/>
    </row>
    <row r="893" spans="2:16" ht="42.75" outlineLevel="1" x14ac:dyDescent="0.2">
      <c r="B893" s="166" t="s">
        <v>930</v>
      </c>
      <c r="C893" s="166"/>
      <c r="D893" s="166" t="s">
        <v>575</v>
      </c>
      <c r="E893" s="166" t="s">
        <v>50</v>
      </c>
      <c r="F893" s="166" t="s">
        <v>931</v>
      </c>
      <c r="G893" s="166" t="s">
        <v>572</v>
      </c>
      <c r="H893" s="95" t="s">
        <v>3</v>
      </c>
      <c r="I893" s="54">
        <f>SUM(J893:O893)</f>
        <v>170</v>
      </c>
      <c r="J893" s="93">
        <f t="shared" ref="J893:O893" si="305">SUM(J894:J895)</f>
        <v>0</v>
      </c>
      <c r="K893" s="93">
        <f t="shared" si="305"/>
        <v>60</v>
      </c>
      <c r="L893" s="93">
        <f t="shared" si="305"/>
        <v>110</v>
      </c>
      <c r="M893" s="93">
        <f t="shared" si="305"/>
        <v>0</v>
      </c>
      <c r="N893" s="93">
        <f t="shared" si="305"/>
        <v>0</v>
      </c>
      <c r="O893" s="93">
        <f t="shared" si="305"/>
        <v>0</v>
      </c>
      <c r="P893" s="150">
        <v>450000</v>
      </c>
    </row>
    <row r="894" spans="2:16" ht="15" customHeight="1" outlineLevel="1" x14ac:dyDescent="0.2">
      <c r="B894" s="166"/>
      <c r="C894" s="166"/>
      <c r="D894" s="166"/>
      <c r="E894" s="166"/>
      <c r="F894" s="166"/>
      <c r="G894" s="166"/>
      <c r="H894" s="95" t="s">
        <v>4</v>
      </c>
      <c r="I894" s="54">
        <f>SUM(J894:O894)</f>
        <v>0</v>
      </c>
      <c r="J894" s="93"/>
      <c r="K894" s="93"/>
      <c r="L894" s="93"/>
      <c r="M894" s="93"/>
      <c r="N894" s="93"/>
      <c r="O894" s="93"/>
      <c r="P894" s="151"/>
    </row>
    <row r="895" spans="2:16" ht="15" customHeight="1" outlineLevel="1" x14ac:dyDescent="0.2">
      <c r="B895" s="166"/>
      <c r="C895" s="166"/>
      <c r="D895" s="166"/>
      <c r="E895" s="166"/>
      <c r="F895" s="166"/>
      <c r="G895" s="166"/>
      <c r="H895" s="95" t="s">
        <v>6</v>
      </c>
      <c r="I895" s="54">
        <f>SUM(J895:O895)</f>
        <v>170</v>
      </c>
      <c r="J895" s="93"/>
      <c r="K895" s="93">
        <v>60</v>
      </c>
      <c r="L895" s="93">
        <v>110</v>
      </c>
      <c r="M895" s="93"/>
      <c r="N895" s="93"/>
      <c r="O895" s="93"/>
      <c r="P895" s="151"/>
    </row>
    <row r="896" spans="2:16" ht="15" customHeight="1" outlineLevel="1" x14ac:dyDescent="0.2">
      <c r="B896" s="166"/>
      <c r="C896" s="166"/>
      <c r="D896" s="166"/>
      <c r="E896" s="166"/>
      <c r="F896" s="166"/>
      <c r="G896" s="166"/>
      <c r="H896" s="95" t="s">
        <v>5</v>
      </c>
      <c r="I896" s="54"/>
      <c r="J896" s="94"/>
      <c r="K896" s="94"/>
      <c r="L896" s="94"/>
      <c r="M896" s="94"/>
      <c r="N896" s="94"/>
      <c r="O896" s="94"/>
      <c r="P896" s="152"/>
    </row>
    <row r="897" spans="2:16" ht="42.75" outlineLevel="1" x14ac:dyDescent="0.2">
      <c r="B897" s="166" t="s">
        <v>1900</v>
      </c>
      <c r="C897" s="166"/>
      <c r="D897" s="166" t="s">
        <v>575</v>
      </c>
      <c r="E897" s="166" t="s">
        <v>99</v>
      </c>
      <c r="F897" s="166">
        <v>2948</v>
      </c>
      <c r="G897" s="166" t="s">
        <v>138</v>
      </c>
      <c r="H897" s="95" t="s">
        <v>3</v>
      </c>
      <c r="I897" s="54">
        <f t="shared" ref="I897:I904" si="306">SUM(J897:O897)</f>
        <v>171.63</v>
      </c>
      <c r="J897" s="100">
        <f t="shared" ref="J897:L897" si="307">J898+J899+J900</f>
        <v>5.16</v>
      </c>
      <c r="K897" s="100">
        <f t="shared" si="307"/>
        <v>127.52000000000001</v>
      </c>
      <c r="L897" s="100">
        <f t="shared" si="307"/>
        <v>38.950000000000003</v>
      </c>
      <c r="M897" s="100"/>
      <c r="N897" s="100"/>
      <c r="O897" s="100"/>
      <c r="P897" s="150">
        <v>124000</v>
      </c>
    </row>
    <row r="898" spans="2:16" ht="15" customHeight="1" outlineLevel="1" x14ac:dyDescent="0.2">
      <c r="B898" s="166"/>
      <c r="C898" s="166"/>
      <c r="D898" s="166"/>
      <c r="E898" s="166"/>
      <c r="F898" s="166"/>
      <c r="G898" s="166"/>
      <c r="H898" s="95" t="s">
        <v>4</v>
      </c>
      <c r="I898" s="54">
        <f t="shared" si="306"/>
        <v>102.98</v>
      </c>
      <c r="J898" s="100">
        <v>3.1</v>
      </c>
      <c r="K898" s="100">
        <v>76.510000000000005</v>
      </c>
      <c r="L898" s="100">
        <v>23.37</v>
      </c>
      <c r="M898" s="100"/>
      <c r="N898" s="100"/>
      <c r="O898" s="100"/>
      <c r="P898" s="151"/>
    </row>
    <row r="899" spans="2:16" ht="15" customHeight="1" outlineLevel="1" x14ac:dyDescent="0.2">
      <c r="B899" s="166"/>
      <c r="C899" s="166"/>
      <c r="D899" s="166"/>
      <c r="E899" s="166"/>
      <c r="F899" s="166"/>
      <c r="G899" s="166"/>
      <c r="H899" s="95" t="s">
        <v>6</v>
      </c>
      <c r="I899" s="54">
        <f t="shared" si="306"/>
        <v>32.61</v>
      </c>
      <c r="J899" s="100">
        <v>0.98</v>
      </c>
      <c r="K899" s="100">
        <v>24.23</v>
      </c>
      <c r="L899" s="100">
        <v>7.4</v>
      </c>
      <c r="M899" s="100"/>
      <c r="N899" s="100"/>
      <c r="O899" s="100"/>
      <c r="P899" s="151"/>
    </row>
    <row r="900" spans="2:16" ht="15" customHeight="1" outlineLevel="1" x14ac:dyDescent="0.2">
      <c r="B900" s="166"/>
      <c r="C900" s="166"/>
      <c r="D900" s="166"/>
      <c r="E900" s="166"/>
      <c r="F900" s="166"/>
      <c r="G900" s="166"/>
      <c r="H900" s="95" t="s">
        <v>5</v>
      </c>
      <c r="I900" s="54">
        <f t="shared" si="306"/>
        <v>36.04</v>
      </c>
      <c r="J900" s="100">
        <v>1.08</v>
      </c>
      <c r="K900" s="100">
        <v>26.78</v>
      </c>
      <c r="L900" s="100">
        <v>8.18</v>
      </c>
      <c r="M900" s="100"/>
      <c r="N900" s="100"/>
      <c r="O900" s="100"/>
      <c r="P900" s="152"/>
    </row>
    <row r="901" spans="2:16" ht="42.75" outlineLevel="1" x14ac:dyDescent="0.2">
      <c r="B901" s="166" t="s">
        <v>1901</v>
      </c>
      <c r="C901" s="166"/>
      <c r="D901" s="166" t="s">
        <v>65</v>
      </c>
      <c r="E901" s="150" t="s">
        <v>50</v>
      </c>
      <c r="F901" s="166">
        <v>7730</v>
      </c>
      <c r="G901" s="166" t="s">
        <v>566</v>
      </c>
      <c r="H901" s="95" t="s">
        <v>3</v>
      </c>
      <c r="I901" s="54">
        <f t="shared" si="306"/>
        <v>545.81000000000006</v>
      </c>
      <c r="J901" s="100"/>
      <c r="K901" s="100">
        <f t="shared" ref="K901:L901" si="308">K902+K903+K904</f>
        <v>504.35</v>
      </c>
      <c r="L901" s="100">
        <f t="shared" si="308"/>
        <v>41.459999999999994</v>
      </c>
      <c r="M901" s="100"/>
      <c r="N901" s="100"/>
      <c r="O901" s="100"/>
      <c r="P901" s="150">
        <v>120000</v>
      </c>
    </row>
    <row r="902" spans="2:16" ht="15" customHeight="1" outlineLevel="1" x14ac:dyDescent="0.2">
      <c r="B902" s="166"/>
      <c r="C902" s="166"/>
      <c r="D902" s="166"/>
      <c r="E902" s="151"/>
      <c r="F902" s="166"/>
      <c r="G902" s="166"/>
      <c r="H902" s="95" t="s">
        <v>4</v>
      </c>
      <c r="I902" s="54">
        <f t="shared" si="306"/>
        <v>327.49</v>
      </c>
      <c r="J902" s="100"/>
      <c r="K902" s="100">
        <v>302.61</v>
      </c>
      <c r="L902" s="100">
        <v>24.88</v>
      </c>
      <c r="M902" s="101"/>
      <c r="N902" s="100"/>
      <c r="O902" s="100"/>
      <c r="P902" s="151"/>
    </row>
    <row r="903" spans="2:16" ht="15" customHeight="1" outlineLevel="1" x14ac:dyDescent="0.2">
      <c r="B903" s="166"/>
      <c r="C903" s="166"/>
      <c r="D903" s="166"/>
      <c r="E903" s="151"/>
      <c r="F903" s="166"/>
      <c r="G903" s="166"/>
      <c r="H903" s="95" t="s">
        <v>6</v>
      </c>
      <c r="I903" s="54">
        <f t="shared" si="306"/>
        <v>103.71</v>
      </c>
      <c r="J903" s="100"/>
      <c r="K903" s="100">
        <v>95.83</v>
      </c>
      <c r="L903" s="100">
        <v>7.88</v>
      </c>
      <c r="M903" s="101"/>
      <c r="N903" s="100"/>
      <c r="O903" s="100"/>
      <c r="P903" s="151"/>
    </row>
    <row r="904" spans="2:16" ht="15" customHeight="1" outlineLevel="1" x14ac:dyDescent="0.2">
      <c r="B904" s="166"/>
      <c r="C904" s="166"/>
      <c r="D904" s="166"/>
      <c r="E904" s="152"/>
      <c r="F904" s="166"/>
      <c r="G904" s="166"/>
      <c r="H904" s="95" t="s">
        <v>5</v>
      </c>
      <c r="I904" s="54">
        <f t="shared" si="306"/>
        <v>114.61</v>
      </c>
      <c r="J904" s="100"/>
      <c r="K904" s="100">
        <v>105.91</v>
      </c>
      <c r="L904" s="100">
        <v>8.6999999999999993</v>
      </c>
      <c r="M904" s="100"/>
      <c r="N904" s="100"/>
      <c r="O904" s="100"/>
      <c r="P904" s="152"/>
    </row>
    <row r="905" spans="2:16" ht="42.75" outlineLevel="1" x14ac:dyDescent="0.2">
      <c r="B905" s="166" t="s">
        <v>1902</v>
      </c>
      <c r="C905" s="166"/>
      <c r="D905" s="166" t="s">
        <v>65</v>
      </c>
      <c r="E905" s="166">
        <v>2021</v>
      </c>
      <c r="F905" s="166">
        <v>1661</v>
      </c>
      <c r="G905" s="166" t="s">
        <v>566</v>
      </c>
      <c r="H905" s="95" t="s">
        <v>3</v>
      </c>
      <c r="I905" s="54">
        <f>SUM(J905:O905)</f>
        <v>104.12</v>
      </c>
      <c r="J905" s="100"/>
      <c r="K905" s="100">
        <f t="shared" ref="K905" si="309">K906+K907+K908</f>
        <v>104.12</v>
      </c>
      <c r="L905" s="100"/>
      <c r="M905" s="100"/>
      <c r="N905" s="100"/>
      <c r="O905" s="100"/>
      <c r="P905" s="150">
        <v>3428</v>
      </c>
    </row>
    <row r="906" spans="2:16" ht="15" customHeight="1" outlineLevel="1" x14ac:dyDescent="0.2">
      <c r="B906" s="166"/>
      <c r="C906" s="166"/>
      <c r="D906" s="166"/>
      <c r="E906" s="166"/>
      <c r="F906" s="166"/>
      <c r="G906" s="166"/>
      <c r="H906" s="95" t="s">
        <v>4</v>
      </c>
      <c r="I906" s="54">
        <f>SUM(J906:O906)</f>
        <v>62.47</v>
      </c>
      <c r="J906" s="100"/>
      <c r="K906" s="100">
        <v>62.47</v>
      </c>
      <c r="L906" s="100"/>
      <c r="M906" s="100"/>
      <c r="N906" s="100"/>
      <c r="O906" s="100"/>
      <c r="P906" s="151"/>
    </row>
    <row r="907" spans="2:16" ht="15" customHeight="1" outlineLevel="1" x14ac:dyDescent="0.2">
      <c r="B907" s="166"/>
      <c r="C907" s="166"/>
      <c r="D907" s="166"/>
      <c r="E907" s="166"/>
      <c r="F907" s="166"/>
      <c r="G907" s="166"/>
      <c r="H907" s="95" t="s">
        <v>6</v>
      </c>
      <c r="I907" s="54">
        <f>SUM(J907:O907)</f>
        <v>19.78</v>
      </c>
      <c r="J907" s="100"/>
      <c r="K907" s="100">
        <v>19.78</v>
      </c>
      <c r="L907" s="100"/>
      <c r="M907" s="100"/>
      <c r="N907" s="100"/>
      <c r="O907" s="100"/>
      <c r="P907" s="151"/>
    </row>
    <row r="908" spans="2:16" ht="15" customHeight="1" outlineLevel="1" x14ac:dyDescent="0.2">
      <c r="B908" s="166"/>
      <c r="C908" s="166"/>
      <c r="D908" s="166"/>
      <c r="E908" s="166"/>
      <c r="F908" s="166"/>
      <c r="G908" s="166"/>
      <c r="H908" s="95" t="s">
        <v>5</v>
      </c>
      <c r="I908" s="54">
        <f>SUM(J908:O908)</f>
        <v>21.87</v>
      </c>
      <c r="J908" s="100"/>
      <c r="K908" s="100">
        <v>21.87</v>
      </c>
      <c r="L908" s="100"/>
      <c r="M908" s="100"/>
      <c r="N908" s="100"/>
      <c r="O908" s="100"/>
      <c r="P908" s="152"/>
    </row>
    <row r="909" spans="2:16" ht="42.75" outlineLevel="1" x14ac:dyDescent="0.2">
      <c r="B909" s="166" t="s">
        <v>1903</v>
      </c>
      <c r="C909" s="166"/>
      <c r="D909" s="166" t="s">
        <v>65</v>
      </c>
      <c r="E909" s="166">
        <v>2022</v>
      </c>
      <c r="F909" s="166">
        <v>1140</v>
      </c>
      <c r="G909" s="166" t="s">
        <v>566</v>
      </c>
      <c r="H909" s="95" t="s">
        <v>3</v>
      </c>
      <c r="I909" s="54">
        <f t="shared" ref="I909:I916" si="310">SUM(J909:O909)</f>
        <v>32.92118</v>
      </c>
      <c r="J909" s="30"/>
      <c r="K909" s="30"/>
      <c r="L909" s="30">
        <f t="shared" ref="L909" si="311">L910+L911+L912</f>
        <v>32.92118</v>
      </c>
      <c r="M909" s="30"/>
      <c r="N909" s="30"/>
      <c r="O909" s="30"/>
      <c r="P909" s="150">
        <v>2000</v>
      </c>
    </row>
    <row r="910" spans="2:16" ht="15" customHeight="1" outlineLevel="1" x14ac:dyDescent="0.2">
      <c r="B910" s="166"/>
      <c r="C910" s="166"/>
      <c r="D910" s="166"/>
      <c r="E910" s="166"/>
      <c r="F910" s="166"/>
      <c r="G910" s="166"/>
      <c r="H910" s="95" t="s">
        <v>4</v>
      </c>
      <c r="I910" s="54">
        <f t="shared" si="310"/>
        <v>19.752707999999998</v>
      </c>
      <c r="J910" s="30"/>
      <c r="K910" s="30"/>
      <c r="L910" s="30">
        <f>32.92118/100*60</f>
        <v>19.752707999999998</v>
      </c>
      <c r="M910" s="30"/>
      <c r="N910" s="30"/>
      <c r="O910" s="30"/>
      <c r="P910" s="151"/>
    </row>
    <row r="911" spans="2:16" ht="15" customHeight="1" outlineLevel="1" x14ac:dyDescent="0.2">
      <c r="B911" s="166"/>
      <c r="C911" s="166"/>
      <c r="D911" s="166"/>
      <c r="E911" s="166"/>
      <c r="F911" s="166"/>
      <c r="G911" s="166"/>
      <c r="H911" s="95" t="s">
        <v>6</v>
      </c>
      <c r="I911" s="54">
        <f t="shared" si="310"/>
        <v>6.2550242000000003</v>
      </c>
      <c r="J911" s="30"/>
      <c r="K911" s="30"/>
      <c r="L911" s="30">
        <f>32.92118/100*19</f>
        <v>6.2550242000000003</v>
      </c>
      <c r="M911" s="30"/>
      <c r="N911" s="30"/>
      <c r="O911" s="30"/>
      <c r="P911" s="151"/>
    </row>
    <row r="912" spans="2:16" ht="15" customHeight="1" outlineLevel="1" x14ac:dyDescent="0.2">
      <c r="B912" s="166"/>
      <c r="C912" s="166"/>
      <c r="D912" s="166"/>
      <c r="E912" s="166"/>
      <c r="F912" s="166"/>
      <c r="G912" s="166"/>
      <c r="H912" s="95" t="s">
        <v>5</v>
      </c>
      <c r="I912" s="54">
        <f t="shared" si="310"/>
        <v>6.9134478000000001</v>
      </c>
      <c r="J912" s="30"/>
      <c r="K912" s="30"/>
      <c r="L912" s="30">
        <f>32.92118/100*21</f>
        <v>6.9134478000000001</v>
      </c>
      <c r="M912" s="30"/>
      <c r="N912" s="30"/>
      <c r="O912" s="30"/>
      <c r="P912" s="152"/>
    </row>
    <row r="913" spans="2:16" ht="42.75" outlineLevel="1" x14ac:dyDescent="0.2">
      <c r="B913" s="166" t="s">
        <v>1904</v>
      </c>
      <c r="C913" s="166"/>
      <c r="D913" s="166" t="s">
        <v>575</v>
      </c>
      <c r="E913" s="150">
        <v>2022</v>
      </c>
      <c r="F913" s="166">
        <v>1087</v>
      </c>
      <c r="G913" s="166" t="s">
        <v>566</v>
      </c>
      <c r="H913" s="95" t="s">
        <v>3</v>
      </c>
      <c r="I913" s="54">
        <f t="shared" si="310"/>
        <v>31.389809999999997</v>
      </c>
      <c r="J913" s="30"/>
      <c r="K913" s="30"/>
      <c r="L913" s="30">
        <f t="shared" ref="L913" si="312">L914+L915+L916</f>
        <v>31.389809999999997</v>
      </c>
      <c r="M913" s="30"/>
      <c r="N913" s="30"/>
      <c r="O913" s="30"/>
      <c r="P913" s="150">
        <v>2000</v>
      </c>
    </row>
    <row r="914" spans="2:16" ht="15" customHeight="1" outlineLevel="1" x14ac:dyDescent="0.2">
      <c r="B914" s="166"/>
      <c r="C914" s="166"/>
      <c r="D914" s="166"/>
      <c r="E914" s="151"/>
      <c r="F914" s="166"/>
      <c r="G914" s="166"/>
      <c r="H914" s="95" t="s">
        <v>4</v>
      </c>
      <c r="I914" s="54">
        <f t="shared" si="310"/>
        <v>18.833886</v>
      </c>
      <c r="J914" s="30"/>
      <c r="K914" s="30"/>
      <c r="L914" s="30">
        <f>31.38981/100*60</f>
        <v>18.833886</v>
      </c>
      <c r="M914" s="30"/>
      <c r="N914" s="30"/>
      <c r="O914" s="30"/>
      <c r="P914" s="151"/>
    </row>
    <row r="915" spans="2:16" ht="15" customHeight="1" outlineLevel="1" x14ac:dyDescent="0.2">
      <c r="B915" s="166"/>
      <c r="C915" s="166"/>
      <c r="D915" s="166"/>
      <c r="E915" s="151"/>
      <c r="F915" s="166"/>
      <c r="G915" s="166"/>
      <c r="H915" s="95" t="s">
        <v>6</v>
      </c>
      <c r="I915" s="54">
        <f t="shared" si="310"/>
        <v>5.9640639000000002</v>
      </c>
      <c r="J915" s="30"/>
      <c r="K915" s="30"/>
      <c r="L915" s="30">
        <f>31.38981/100*19</f>
        <v>5.9640639000000002</v>
      </c>
      <c r="M915" s="30"/>
      <c r="N915" s="30"/>
      <c r="O915" s="30"/>
      <c r="P915" s="151"/>
    </row>
    <row r="916" spans="2:16" ht="15" customHeight="1" outlineLevel="1" x14ac:dyDescent="0.2">
      <c r="B916" s="166"/>
      <c r="C916" s="166"/>
      <c r="D916" s="166"/>
      <c r="E916" s="152"/>
      <c r="F916" s="166"/>
      <c r="G916" s="166"/>
      <c r="H916" s="95" t="s">
        <v>5</v>
      </c>
      <c r="I916" s="54">
        <f t="shared" si="310"/>
        <v>6.5918600999999999</v>
      </c>
      <c r="J916" s="30"/>
      <c r="K916" s="30"/>
      <c r="L916" s="30">
        <f>31.38981/100*21</f>
        <v>6.5918600999999999</v>
      </c>
      <c r="M916" s="30"/>
      <c r="N916" s="30"/>
      <c r="O916" s="30"/>
      <c r="P916" s="152"/>
    </row>
    <row r="917" spans="2:16" ht="42.75" outlineLevel="1" x14ac:dyDescent="0.2">
      <c r="B917" s="166" t="s">
        <v>1905</v>
      </c>
      <c r="C917" s="166"/>
      <c r="D917" s="166" t="s">
        <v>65</v>
      </c>
      <c r="E917" s="166">
        <v>2022</v>
      </c>
      <c r="F917" s="166">
        <v>1898</v>
      </c>
      <c r="G917" s="166" t="s">
        <v>566</v>
      </c>
      <c r="H917" s="95" t="s">
        <v>3</v>
      </c>
      <c r="I917" s="54">
        <f t="shared" ref="I917:I932" si="313">SUM(J917:O917)</f>
        <v>54.810870000000001</v>
      </c>
      <c r="J917" s="30"/>
      <c r="K917" s="30"/>
      <c r="L917" s="30">
        <f t="shared" ref="L917" si="314">L918+L919+L920</f>
        <v>54.810870000000001</v>
      </c>
      <c r="M917" s="30"/>
      <c r="N917" s="30"/>
      <c r="O917" s="30"/>
      <c r="P917" s="150">
        <v>3500</v>
      </c>
    </row>
    <row r="918" spans="2:16" ht="15" customHeight="1" outlineLevel="1" x14ac:dyDescent="0.2">
      <c r="B918" s="166"/>
      <c r="C918" s="166"/>
      <c r="D918" s="166"/>
      <c r="E918" s="166"/>
      <c r="F918" s="166"/>
      <c r="G918" s="166"/>
      <c r="H918" s="95" t="s">
        <v>4</v>
      </c>
      <c r="I918" s="54">
        <f t="shared" si="313"/>
        <v>32.886521999999999</v>
      </c>
      <c r="J918" s="30"/>
      <c r="K918" s="30"/>
      <c r="L918" s="30">
        <f>54.81087/100*60</f>
        <v>32.886521999999999</v>
      </c>
      <c r="M918" s="30"/>
      <c r="N918" s="30"/>
      <c r="O918" s="30"/>
      <c r="P918" s="151"/>
    </row>
    <row r="919" spans="2:16" ht="15" customHeight="1" outlineLevel="1" x14ac:dyDescent="0.2">
      <c r="B919" s="166"/>
      <c r="C919" s="166"/>
      <c r="D919" s="166"/>
      <c r="E919" s="166"/>
      <c r="F919" s="166"/>
      <c r="G919" s="166"/>
      <c r="H919" s="95" t="s">
        <v>6</v>
      </c>
      <c r="I919" s="54">
        <f t="shared" si="313"/>
        <v>10.414065300000001</v>
      </c>
      <c r="J919" s="30"/>
      <c r="K919" s="30"/>
      <c r="L919" s="30">
        <f>54.81087/100*19</f>
        <v>10.414065300000001</v>
      </c>
      <c r="M919" s="30"/>
      <c r="N919" s="30"/>
      <c r="O919" s="30"/>
      <c r="P919" s="151"/>
    </row>
    <row r="920" spans="2:16" ht="15" customHeight="1" outlineLevel="1" x14ac:dyDescent="0.2">
      <c r="B920" s="166"/>
      <c r="C920" s="166"/>
      <c r="D920" s="166"/>
      <c r="E920" s="166"/>
      <c r="F920" s="166"/>
      <c r="G920" s="166"/>
      <c r="H920" s="95" t="s">
        <v>5</v>
      </c>
      <c r="I920" s="54">
        <f t="shared" si="313"/>
        <v>11.510282699999999</v>
      </c>
      <c r="J920" s="30"/>
      <c r="K920" s="30"/>
      <c r="L920" s="30">
        <f>54.81087/100*21</f>
        <v>11.510282699999999</v>
      </c>
      <c r="M920" s="30"/>
      <c r="N920" s="30"/>
      <c r="O920" s="30"/>
      <c r="P920" s="152"/>
    </row>
    <row r="921" spans="2:16" ht="42.75" outlineLevel="1" x14ac:dyDescent="0.2">
      <c r="B921" s="166" t="s">
        <v>1906</v>
      </c>
      <c r="C921" s="166"/>
      <c r="D921" s="166" t="s">
        <v>65</v>
      </c>
      <c r="E921" s="166">
        <v>2022</v>
      </c>
      <c r="F921" s="166">
        <v>1140</v>
      </c>
      <c r="G921" s="166" t="s">
        <v>566</v>
      </c>
      <c r="H921" s="95" t="s">
        <v>3</v>
      </c>
      <c r="I921" s="54">
        <f t="shared" si="313"/>
        <v>32.834539999999997</v>
      </c>
      <c r="J921" s="30"/>
      <c r="K921" s="30"/>
      <c r="L921" s="30">
        <f t="shared" ref="L921" si="315">L922+L923+L924</f>
        <v>32.834539999999997</v>
      </c>
      <c r="M921" s="30"/>
      <c r="N921" s="30"/>
      <c r="O921" s="30"/>
      <c r="P921" s="150">
        <v>3000</v>
      </c>
    </row>
    <row r="922" spans="2:16" ht="15" customHeight="1" outlineLevel="1" x14ac:dyDescent="0.2">
      <c r="B922" s="166"/>
      <c r="C922" s="166"/>
      <c r="D922" s="166"/>
      <c r="E922" s="166"/>
      <c r="F922" s="166"/>
      <c r="G922" s="166"/>
      <c r="H922" s="95" t="s">
        <v>4</v>
      </c>
      <c r="I922" s="54">
        <f t="shared" si="313"/>
        <v>19.700723999999997</v>
      </c>
      <c r="J922" s="30"/>
      <c r="K922" s="30"/>
      <c r="L922" s="30">
        <f>32.83454/100*60</f>
        <v>19.700723999999997</v>
      </c>
      <c r="M922" s="30"/>
      <c r="N922" s="30"/>
      <c r="O922" s="30"/>
      <c r="P922" s="151"/>
    </row>
    <row r="923" spans="2:16" ht="15" customHeight="1" outlineLevel="1" x14ac:dyDescent="0.2">
      <c r="B923" s="166"/>
      <c r="C923" s="166"/>
      <c r="D923" s="166"/>
      <c r="E923" s="166"/>
      <c r="F923" s="166"/>
      <c r="G923" s="166"/>
      <c r="H923" s="95" t="s">
        <v>6</v>
      </c>
      <c r="I923" s="54">
        <f t="shared" si="313"/>
        <v>6.238562599999999</v>
      </c>
      <c r="J923" s="30"/>
      <c r="K923" s="30"/>
      <c r="L923" s="30">
        <f>32.83454/100*19</f>
        <v>6.238562599999999</v>
      </c>
      <c r="M923" s="30"/>
      <c r="N923" s="30"/>
      <c r="O923" s="30"/>
      <c r="P923" s="151"/>
    </row>
    <row r="924" spans="2:16" ht="15" customHeight="1" outlineLevel="1" x14ac:dyDescent="0.2">
      <c r="B924" s="166"/>
      <c r="C924" s="166"/>
      <c r="D924" s="166"/>
      <c r="E924" s="166"/>
      <c r="F924" s="166"/>
      <c r="G924" s="166"/>
      <c r="H924" s="95" t="s">
        <v>5</v>
      </c>
      <c r="I924" s="54">
        <f t="shared" si="313"/>
        <v>6.8952533999999988</v>
      </c>
      <c r="J924" s="30"/>
      <c r="K924" s="30"/>
      <c r="L924" s="30">
        <f>32.83454/100*21</f>
        <v>6.8952533999999988</v>
      </c>
      <c r="M924" s="30"/>
      <c r="N924" s="30"/>
      <c r="O924" s="30"/>
      <c r="P924" s="152"/>
    </row>
    <row r="925" spans="2:16" ht="42.75" outlineLevel="1" x14ac:dyDescent="0.2">
      <c r="B925" s="166" t="s">
        <v>1907</v>
      </c>
      <c r="C925" s="166"/>
      <c r="D925" s="166" t="s">
        <v>65</v>
      </c>
      <c r="E925" s="166">
        <v>2021</v>
      </c>
      <c r="F925" s="166" t="s">
        <v>1908</v>
      </c>
      <c r="G925" s="166" t="s">
        <v>566</v>
      </c>
      <c r="H925" s="95" t="s">
        <v>3</v>
      </c>
      <c r="I925" s="54">
        <f t="shared" si="313"/>
        <v>4.3094999999999999</v>
      </c>
      <c r="J925" s="30"/>
      <c r="K925" s="30">
        <f t="shared" ref="K925" si="316">K926+K927+K928</f>
        <v>4.3094999999999999</v>
      </c>
      <c r="L925" s="30"/>
      <c r="M925" s="30"/>
      <c r="N925" s="30"/>
      <c r="O925" s="30"/>
      <c r="P925" s="150">
        <v>300</v>
      </c>
    </row>
    <row r="926" spans="2:16" ht="15" customHeight="1" outlineLevel="1" x14ac:dyDescent="0.2">
      <c r="B926" s="166"/>
      <c r="C926" s="166"/>
      <c r="D926" s="166"/>
      <c r="E926" s="166"/>
      <c r="F926" s="166"/>
      <c r="G926" s="166"/>
      <c r="H926" s="95" t="s">
        <v>4</v>
      </c>
      <c r="I926" s="54">
        <f t="shared" si="313"/>
        <v>2.5857000000000001</v>
      </c>
      <c r="J926" s="30"/>
      <c r="K926" s="30">
        <f>4.3095/100*60</f>
        <v>2.5857000000000001</v>
      </c>
      <c r="L926" s="30"/>
      <c r="M926" s="30"/>
      <c r="N926" s="30"/>
      <c r="O926" s="30"/>
      <c r="P926" s="151"/>
    </row>
    <row r="927" spans="2:16" ht="15" customHeight="1" outlineLevel="1" x14ac:dyDescent="0.2">
      <c r="B927" s="166"/>
      <c r="C927" s="166"/>
      <c r="D927" s="166"/>
      <c r="E927" s="166"/>
      <c r="F927" s="166"/>
      <c r="G927" s="166"/>
      <c r="H927" s="95" t="s">
        <v>6</v>
      </c>
      <c r="I927" s="54">
        <f t="shared" si="313"/>
        <v>0.81880500000000001</v>
      </c>
      <c r="J927" s="30"/>
      <c r="K927" s="30">
        <f>4.3095/100*19</f>
        <v>0.81880500000000001</v>
      </c>
      <c r="L927" s="30"/>
      <c r="M927" s="30"/>
      <c r="N927" s="30"/>
      <c r="O927" s="30"/>
      <c r="P927" s="151"/>
    </row>
    <row r="928" spans="2:16" ht="15" customHeight="1" outlineLevel="1" x14ac:dyDescent="0.2">
      <c r="B928" s="166"/>
      <c r="C928" s="166"/>
      <c r="D928" s="166"/>
      <c r="E928" s="166"/>
      <c r="F928" s="166"/>
      <c r="G928" s="166"/>
      <c r="H928" s="95" t="s">
        <v>5</v>
      </c>
      <c r="I928" s="54">
        <f t="shared" si="313"/>
        <v>0.90499499999999999</v>
      </c>
      <c r="J928" s="30"/>
      <c r="K928" s="30">
        <f>4.3095/100*21</f>
        <v>0.90499499999999999</v>
      </c>
      <c r="L928" s="30"/>
      <c r="M928" s="30"/>
      <c r="N928" s="30"/>
      <c r="O928" s="30"/>
      <c r="P928" s="152"/>
    </row>
    <row r="929" spans="2:16" ht="42.75" outlineLevel="1" x14ac:dyDescent="0.2">
      <c r="B929" s="166" t="s">
        <v>1909</v>
      </c>
      <c r="C929" s="166"/>
      <c r="D929" s="166" t="s">
        <v>575</v>
      </c>
      <c r="E929" s="150">
        <v>2021</v>
      </c>
      <c r="F929" s="166" t="s">
        <v>1910</v>
      </c>
      <c r="G929" s="166" t="s">
        <v>566</v>
      </c>
      <c r="H929" s="95" t="s">
        <v>3</v>
      </c>
      <c r="I929" s="54">
        <f t="shared" si="313"/>
        <v>5.3338000000000001</v>
      </c>
      <c r="J929" s="30"/>
      <c r="K929" s="30">
        <f t="shared" ref="K929" si="317">K930+K931+K932</f>
        <v>5.3338000000000001</v>
      </c>
      <c r="L929" s="30"/>
      <c r="M929" s="30"/>
      <c r="N929" s="30"/>
      <c r="O929" s="30"/>
      <c r="P929" s="150">
        <v>300</v>
      </c>
    </row>
    <row r="930" spans="2:16" ht="15" customHeight="1" outlineLevel="1" x14ac:dyDescent="0.2">
      <c r="B930" s="166"/>
      <c r="C930" s="166"/>
      <c r="D930" s="166"/>
      <c r="E930" s="151"/>
      <c r="F930" s="166"/>
      <c r="G930" s="166"/>
      <c r="H930" s="95" t="s">
        <v>4</v>
      </c>
      <c r="I930" s="54">
        <f t="shared" si="313"/>
        <v>3.2002800000000002</v>
      </c>
      <c r="J930" s="30"/>
      <c r="K930" s="30">
        <f>5.3338/100*60</f>
        <v>3.2002800000000002</v>
      </c>
      <c r="L930" s="30"/>
      <c r="M930" s="30"/>
      <c r="N930" s="30"/>
      <c r="O930" s="30"/>
      <c r="P930" s="151"/>
    </row>
    <row r="931" spans="2:16" ht="15" customHeight="1" outlineLevel="1" x14ac:dyDescent="0.2">
      <c r="B931" s="166"/>
      <c r="C931" s="166"/>
      <c r="D931" s="166"/>
      <c r="E931" s="151"/>
      <c r="F931" s="166"/>
      <c r="G931" s="166"/>
      <c r="H931" s="95" t="s">
        <v>6</v>
      </c>
      <c r="I931" s="54">
        <f t="shared" si="313"/>
        <v>1.013422</v>
      </c>
      <c r="J931" s="30"/>
      <c r="K931" s="30">
        <f>5.3338/100*19</f>
        <v>1.013422</v>
      </c>
      <c r="L931" s="30"/>
      <c r="M931" s="30"/>
      <c r="N931" s="30"/>
      <c r="O931" s="30"/>
      <c r="P931" s="151"/>
    </row>
    <row r="932" spans="2:16" ht="15" customHeight="1" outlineLevel="1" x14ac:dyDescent="0.2">
      <c r="B932" s="166"/>
      <c r="C932" s="166"/>
      <c r="D932" s="166"/>
      <c r="E932" s="152"/>
      <c r="F932" s="166"/>
      <c r="G932" s="166"/>
      <c r="H932" s="95" t="s">
        <v>5</v>
      </c>
      <c r="I932" s="54">
        <f t="shared" si="313"/>
        <v>1.120098</v>
      </c>
      <c r="J932" s="30"/>
      <c r="K932" s="30">
        <f>5.3338/100*21</f>
        <v>1.120098</v>
      </c>
      <c r="L932" s="30"/>
      <c r="M932" s="30"/>
      <c r="N932" s="30"/>
      <c r="O932" s="30"/>
      <c r="P932" s="152"/>
    </row>
    <row r="933" spans="2:16" ht="42.75" outlineLevel="1" x14ac:dyDescent="0.2">
      <c r="B933" s="166" t="s">
        <v>1911</v>
      </c>
      <c r="C933" s="166"/>
      <c r="D933" s="166" t="s">
        <v>65</v>
      </c>
      <c r="E933" s="166">
        <v>2021</v>
      </c>
      <c r="F933" s="166" t="s">
        <v>1912</v>
      </c>
      <c r="G933" s="166" t="s">
        <v>566</v>
      </c>
      <c r="H933" s="95" t="s">
        <v>3</v>
      </c>
      <c r="I933" s="54">
        <f>SUM(J933:O933)</f>
        <v>6.6139299999999999</v>
      </c>
      <c r="J933" s="30"/>
      <c r="K933" s="30">
        <f t="shared" ref="K933" si="318">K934+K935+K936</f>
        <v>6.6139299999999999</v>
      </c>
      <c r="L933" s="30"/>
      <c r="M933" s="30"/>
      <c r="N933" s="30"/>
      <c r="O933" s="30"/>
      <c r="P933" s="150">
        <v>300</v>
      </c>
    </row>
    <row r="934" spans="2:16" ht="15" customHeight="1" outlineLevel="1" x14ac:dyDescent="0.2">
      <c r="B934" s="166"/>
      <c r="C934" s="166"/>
      <c r="D934" s="166"/>
      <c r="E934" s="166"/>
      <c r="F934" s="166"/>
      <c r="G934" s="166"/>
      <c r="H934" s="95" t="s">
        <v>4</v>
      </c>
      <c r="I934" s="54">
        <f>SUM(J934:O934)</f>
        <v>3.9683579999999998</v>
      </c>
      <c r="J934" s="30"/>
      <c r="K934" s="30">
        <f>6.61393/100*60</f>
        <v>3.9683579999999998</v>
      </c>
      <c r="L934" s="30"/>
      <c r="M934" s="30"/>
      <c r="N934" s="30"/>
      <c r="O934" s="30"/>
      <c r="P934" s="151"/>
    </row>
    <row r="935" spans="2:16" ht="15" customHeight="1" outlineLevel="1" x14ac:dyDescent="0.2">
      <c r="B935" s="166"/>
      <c r="C935" s="166"/>
      <c r="D935" s="166"/>
      <c r="E935" s="166"/>
      <c r="F935" s="166"/>
      <c r="G935" s="166"/>
      <c r="H935" s="95" t="s">
        <v>6</v>
      </c>
      <c r="I935" s="54">
        <f>SUM(J935:O935)</f>
        <v>1.2566466999999999</v>
      </c>
      <c r="J935" s="30"/>
      <c r="K935" s="30">
        <f>6.61393/100*19</f>
        <v>1.2566466999999999</v>
      </c>
      <c r="L935" s="30"/>
      <c r="M935" s="30"/>
      <c r="N935" s="30"/>
      <c r="O935" s="30"/>
      <c r="P935" s="151"/>
    </row>
    <row r="936" spans="2:16" ht="15" customHeight="1" outlineLevel="1" x14ac:dyDescent="0.2">
      <c r="B936" s="166"/>
      <c r="C936" s="166"/>
      <c r="D936" s="166"/>
      <c r="E936" s="166"/>
      <c r="F936" s="166"/>
      <c r="G936" s="166"/>
      <c r="H936" s="95" t="s">
        <v>5</v>
      </c>
      <c r="I936" s="54">
        <f>SUM(J936:O936)</f>
        <v>1.3889252999999999</v>
      </c>
      <c r="J936" s="30"/>
      <c r="K936" s="30">
        <f>6.61393/100*21</f>
        <v>1.3889252999999999</v>
      </c>
      <c r="L936" s="30"/>
      <c r="M936" s="30"/>
      <c r="N936" s="30"/>
      <c r="O936" s="30"/>
      <c r="P936" s="152"/>
    </row>
    <row r="937" spans="2:16" ht="42.75" outlineLevel="1" x14ac:dyDescent="0.2">
      <c r="B937" s="166" t="s">
        <v>1913</v>
      </c>
      <c r="C937" s="166"/>
      <c r="D937" s="166" t="s">
        <v>65</v>
      </c>
      <c r="E937" s="166">
        <v>2022</v>
      </c>
      <c r="F937" s="166" t="s">
        <v>1914</v>
      </c>
      <c r="G937" s="166" t="s">
        <v>566</v>
      </c>
      <c r="H937" s="95" t="s">
        <v>3</v>
      </c>
      <c r="I937" s="54">
        <f t="shared" ref="I937:I944" si="319">SUM(J937:O937)</f>
        <v>74.204300000000003</v>
      </c>
      <c r="J937" s="30"/>
      <c r="K937" s="30"/>
      <c r="L937" s="30">
        <f t="shared" ref="L937:M937" si="320">L938+L939+L940</f>
        <v>74.204300000000003</v>
      </c>
      <c r="M937" s="30">
        <f t="shared" si="320"/>
        <v>0</v>
      </c>
      <c r="N937" s="30"/>
      <c r="O937" s="30"/>
      <c r="P937" s="150">
        <v>2692</v>
      </c>
    </row>
    <row r="938" spans="2:16" ht="15" customHeight="1" outlineLevel="1" x14ac:dyDescent="0.2">
      <c r="B938" s="166"/>
      <c r="C938" s="166"/>
      <c r="D938" s="166"/>
      <c r="E938" s="166"/>
      <c r="F938" s="166"/>
      <c r="G938" s="166"/>
      <c r="H938" s="95" t="s">
        <v>4</v>
      </c>
      <c r="I938" s="54">
        <f t="shared" si="319"/>
        <v>44.522579999999998</v>
      </c>
      <c r="J938" s="30"/>
      <c r="K938" s="30"/>
      <c r="L938" s="30">
        <f>74.2043/100*60</f>
        <v>44.522579999999998</v>
      </c>
      <c r="M938" s="30"/>
      <c r="N938" s="30"/>
      <c r="O938" s="30"/>
      <c r="P938" s="151"/>
    </row>
    <row r="939" spans="2:16" ht="15" customHeight="1" outlineLevel="1" x14ac:dyDescent="0.2">
      <c r="B939" s="166"/>
      <c r="C939" s="166"/>
      <c r="D939" s="166"/>
      <c r="E939" s="166"/>
      <c r="F939" s="166"/>
      <c r="G939" s="166"/>
      <c r="H939" s="95" t="s">
        <v>6</v>
      </c>
      <c r="I939" s="54">
        <f t="shared" si="319"/>
        <v>14.098817</v>
      </c>
      <c r="J939" s="30"/>
      <c r="K939" s="30"/>
      <c r="L939" s="30">
        <f>74.2043/100*19</f>
        <v>14.098817</v>
      </c>
      <c r="M939" s="30"/>
      <c r="N939" s="30"/>
      <c r="O939" s="30"/>
      <c r="P939" s="151"/>
    </row>
    <row r="940" spans="2:16" ht="15" customHeight="1" outlineLevel="1" x14ac:dyDescent="0.2">
      <c r="B940" s="166"/>
      <c r="C940" s="166"/>
      <c r="D940" s="166"/>
      <c r="E940" s="166"/>
      <c r="F940" s="166"/>
      <c r="G940" s="166"/>
      <c r="H940" s="95" t="s">
        <v>5</v>
      </c>
      <c r="I940" s="54">
        <f t="shared" si="319"/>
        <v>15.582903</v>
      </c>
      <c r="J940" s="30"/>
      <c r="K940" s="30"/>
      <c r="L940" s="30">
        <f>74.2043/100*21</f>
        <v>15.582903</v>
      </c>
      <c r="M940" s="30"/>
      <c r="N940" s="30"/>
      <c r="O940" s="30"/>
      <c r="P940" s="152"/>
    </row>
    <row r="941" spans="2:16" ht="42.75" outlineLevel="1" x14ac:dyDescent="0.2">
      <c r="B941" s="166" t="s">
        <v>1915</v>
      </c>
      <c r="C941" s="166"/>
      <c r="D941" s="166" t="s">
        <v>65</v>
      </c>
      <c r="E941" s="150">
        <v>2023</v>
      </c>
      <c r="F941" s="166" t="s">
        <v>1916</v>
      </c>
      <c r="G941" s="166" t="s">
        <v>566</v>
      </c>
      <c r="H941" s="95" t="s">
        <v>3</v>
      </c>
      <c r="I941" s="54">
        <f t="shared" si="319"/>
        <v>100.12007</v>
      </c>
      <c r="J941" s="30"/>
      <c r="K941" s="30"/>
      <c r="L941" s="30"/>
      <c r="M941" s="30">
        <f t="shared" ref="M941" si="321">M942+M943+M944</f>
        <v>100.12007</v>
      </c>
      <c r="N941" s="30"/>
      <c r="O941" s="30"/>
      <c r="P941" s="150">
        <v>4522</v>
      </c>
    </row>
    <row r="942" spans="2:16" ht="15" customHeight="1" outlineLevel="1" x14ac:dyDescent="0.2">
      <c r="B942" s="166"/>
      <c r="C942" s="166"/>
      <c r="D942" s="166"/>
      <c r="E942" s="151"/>
      <c r="F942" s="166"/>
      <c r="G942" s="166"/>
      <c r="H942" s="95" t="s">
        <v>4</v>
      </c>
      <c r="I942" s="54">
        <f t="shared" si="319"/>
        <v>60.072042000000003</v>
      </c>
      <c r="J942" s="30"/>
      <c r="K942" s="30"/>
      <c r="L942" s="30"/>
      <c r="M942" s="30">
        <f>100.12007/100*60</f>
        <v>60.072042000000003</v>
      </c>
      <c r="N942" s="30"/>
      <c r="O942" s="30"/>
      <c r="P942" s="151"/>
    </row>
    <row r="943" spans="2:16" ht="15" customHeight="1" outlineLevel="1" x14ac:dyDescent="0.2">
      <c r="B943" s="166"/>
      <c r="C943" s="166"/>
      <c r="D943" s="166"/>
      <c r="E943" s="151"/>
      <c r="F943" s="166"/>
      <c r="G943" s="166"/>
      <c r="H943" s="95" t="s">
        <v>6</v>
      </c>
      <c r="I943" s="54">
        <f t="shared" si="319"/>
        <v>19.022813300000003</v>
      </c>
      <c r="J943" s="30"/>
      <c r="K943" s="30"/>
      <c r="L943" s="30"/>
      <c r="M943" s="30">
        <f>100.12007/100*19</f>
        <v>19.022813300000003</v>
      </c>
      <c r="N943" s="30"/>
      <c r="O943" s="30"/>
      <c r="P943" s="151"/>
    </row>
    <row r="944" spans="2:16" ht="15" customHeight="1" outlineLevel="1" x14ac:dyDescent="0.2">
      <c r="B944" s="166"/>
      <c r="C944" s="166"/>
      <c r="D944" s="166"/>
      <c r="E944" s="152"/>
      <c r="F944" s="166"/>
      <c r="G944" s="166"/>
      <c r="H944" s="95" t="s">
        <v>5</v>
      </c>
      <c r="I944" s="54">
        <f t="shared" si="319"/>
        <v>21.025214699999999</v>
      </c>
      <c r="J944" s="30"/>
      <c r="K944" s="30"/>
      <c r="L944" s="30"/>
      <c r="M944" s="30">
        <f>100.12007/100*21</f>
        <v>21.025214699999999</v>
      </c>
      <c r="N944" s="30"/>
      <c r="O944" s="30"/>
      <c r="P944" s="152"/>
    </row>
    <row r="945" spans="2:16" ht="42.75" outlineLevel="1" x14ac:dyDescent="0.2">
      <c r="B945" s="166" t="s">
        <v>1917</v>
      </c>
      <c r="C945" s="166"/>
      <c r="D945" s="166" t="s">
        <v>575</v>
      </c>
      <c r="E945" s="166">
        <v>2022</v>
      </c>
      <c r="F945" s="166" t="s">
        <v>1918</v>
      </c>
      <c r="G945" s="166" t="s">
        <v>566</v>
      </c>
      <c r="H945" s="95" t="s">
        <v>3</v>
      </c>
      <c r="I945" s="54">
        <f>SUM(J945:O945)</f>
        <v>195.55025000000001</v>
      </c>
      <c r="J945" s="30"/>
      <c r="K945" s="30"/>
      <c r="L945" s="30">
        <f t="shared" ref="L945:M945" si="322">L946+L947+L948</f>
        <v>195.55025000000001</v>
      </c>
      <c r="M945" s="30">
        <f t="shared" si="322"/>
        <v>0</v>
      </c>
      <c r="N945" s="30"/>
      <c r="O945" s="30"/>
      <c r="P945" s="150">
        <v>1000</v>
      </c>
    </row>
    <row r="946" spans="2:16" ht="15" customHeight="1" outlineLevel="1" x14ac:dyDescent="0.2">
      <c r="B946" s="166"/>
      <c r="C946" s="166"/>
      <c r="D946" s="166"/>
      <c r="E946" s="166"/>
      <c r="F946" s="166"/>
      <c r="G946" s="166"/>
      <c r="H946" s="95" t="s">
        <v>4</v>
      </c>
      <c r="I946" s="54">
        <f>SUM(J946:O946)</f>
        <v>117.33015</v>
      </c>
      <c r="J946" s="30"/>
      <c r="K946" s="30"/>
      <c r="L946" s="30">
        <f>195.55025/100*60</f>
        <v>117.33015</v>
      </c>
      <c r="M946" s="30"/>
      <c r="N946" s="30"/>
      <c r="O946" s="30"/>
      <c r="P946" s="151"/>
    </row>
    <row r="947" spans="2:16" ht="15" customHeight="1" outlineLevel="1" x14ac:dyDescent="0.2">
      <c r="B947" s="166"/>
      <c r="C947" s="166"/>
      <c r="D947" s="166"/>
      <c r="E947" s="166"/>
      <c r="F947" s="166"/>
      <c r="G947" s="166"/>
      <c r="H947" s="95" t="s">
        <v>6</v>
      </c>
      <c r="I947" s="54">
        <f>SUM(J947:O947)</f>
        <v>37.1545475</v>
      </c>
      <c r="J947" s="30"/>
      <c r="K947" s="30"/>
      <c r="L947" s="30">
        <f>195.55025/100*19</f>
        <v>37.1545475</v>
      </c>
      <c r="M947" s="30"/>
      <c r="N947" s="30"/>
      <c r="O947" s="30"/>
      <c r="P947" s="151"/>
    </row>
    <row r="948" spans="2:16" ht="15" customHeight="1" outlineLevel="1" x14ac:dyDescent="0.2">
      <c r="B948" s="166"/>
      <c r="C948" s="166"/>
      <c r="D948" s="166"/>
      <c r="E948" s="166"/>
      <c r="F948" s="166"/>
      <c r="G948" s="166"/>
      <c r="H948" s="95" t="s">
        <v>5</v>
      </c>
      <c r="I948" s="54">
        <f>SUM(J948:O948)</f>
        <v>41.065552500000003</v>
      </c>
      <c r="J948" s="30"/>
      <c r="K948" s="30"/>
      <c r="L948" s="30">
        <f>195.55025/100*21</f>
        <v>41.065552500000003</v>
      </c>
      <c r="M948" s="30"/>
      <c r="N948" s="30"/>
      <c r="O948" s="30"/>
      <c r="P948" s="152"/>
    </row>
    <row r="949" spans="2:16" ht="42.75" outlineLevel="1" x14ac:dyDescent="0.2">
      <c r="B949" s="166" t="s">
        <v>1919</v>
      </c>
      <c r="C949" s="166"/>
      <c r="D949" s="166" t="s">
        <v>65</v>
      </c>
      <c r="E949" s="166">
        <v>2023</v>
      </c>
      <c r="F949" s="166" t="s">
        <v>1920</v>
      </c>
      <c r="G949" s="166" t="s">
        <v>566</v>
      </c>
      <c r="H949" s="95" t="s">
        <v>3</v>
      </c>
      <c r="I949" s="54">
        <f t="shared" ref="I949:I960" si="323">SUM(J949:O949)</f>
        <v>133.19999999999999</v>
      </c>
      <c r="J949" s="30"/>
      <c r="K949" s="30"/>
      <c r="L949" s="30"/>
      <c r="M949" s="30">
        <f t="shared" ref="M949" si="324">M950+M951+M952</f>
        <v>133.19999999999999</v>
      </c>
      <c r="N949" s="30"/>
      <c r="O949" s="30"/>
      <c r="P949" s="150">
        <v>3214</v>
      </c>
    </row>
    <row r="950" spans="2:16" ht="15" customHeight="1" outlineLevel="1" x14ac:dyDescent="0.2">
      <c r="B950" s="166"/>
      <c r="C950" s="166"/>
      <c r="D950" s="166"/>
      <c r="E950" s="166"/>
      <c r="F950" s="166"/>
      <c r="G950" s="166"/>
      <c r="H950" s="95" t="s">
        <v>4</v>
      </c>
      <c r="I950" s="54">
        <f t="shared" si="323"/>
        <v>79.919999999999987</v>
      </c>
      <c r="J950" s="30"/>
      <c r="K950" s="30"/>
      <c r="L950" s="30"/>
      <c r="M950" s="30">
        <f>133.2/100*60</f>
        <v>79.919999999999987</v>
      </c>
      <c r="N950" s="30"/>
      <c r="O950" s="30"/>
      <c r="P950" s="151"/>
    </row>
    <row r="951" spans="2:16" ht="15" customHeight="1" outlineLevel="1" x14ac:dyDescent="0.2">
      <c r="B951" s="166"/>
      <c r="C951" s="166"/>
      <c r="D951" s="166"/>
      <c r="E951" s="166"/>
      <c r="F951" s="166"/>
      <c r="G951" s="166"/>
      <c r="H951" s="95" t="s">
        <v>6</v>
      </c>
      <c r="I951" s="54">
        <f t="shared" si="323"/>
        <v>27.971999999999998</v>
      </c>
      <c r="J951" s="30"/>
      <c r="K951" s="30"/>
      <c r="L951" s="30"/>
      <c r="M951" s="30">
        <f>133.2/100*21</f>
        <v>27.971999999999998</v>
      </c>
      <c r="N951" s="30"/>
      <c r="O951" s="30"/>
      <c r="P951" s="151"/>
    </row>
    <row r="952" spans="2:16" ht="15" customHeight="1" outlineLevel="1" x14ac:dyDescent="0.2">
      <c r="B952" s="166"/>
      <c r="C952" s="166"/>
      <c r="D952" s="166"/>
      <c r="E952" s="166"/>
      <c r="F952" s="166"/>
      <c r="G952" s="166"/>
      <c r="H952" s="95" t="s">
        <v>5</v>
      </c>
      <c r="I952" s="54">
        <f t="shared" si="323"/>
        <v>25.307999999999996</v>
      </c>
      <c r="J952" s="30"/>
      <c r="K952" s="30"/>
      <c r="L952" s="30"/>
      <c r="M952" s="30">
        <f>133.2/100*19</f>
        <v>25.307999999999996</v>
      </c>
      <c r="N952" s="30"/>
      <c r="O952" s="30"/>
      <c r="P952" s="152"/>
    </row>
    <row r="953" spans="2:16" ht="42.75" outlineLevel="1" x14ac:dyDescent="0.2">
      <c r="B953" s="166" t="s">
        <v>1921</v>
      </c>
      <c r="C953" s="166"/>
      <c r="D953" s="166" t="s">
        <v>65</v>
      </c>
      <c r="E953" s="150">
        <v>2023</v>
      </c>
      <c r="F953" s="166" t="s">
        <v>1922</v>
      </c>
      <c r="G953" s="166" t="s">
        <v>566</v>
      </c>
      <c r="H953" s="95" t="s">
        <v>3</v>
      </c>
      <c r="I953" s="54">
        <f t="shared" si="323"/>
        <v>35.790120000000002</v>
      </c>
      <c r="J953" s="30"/>
      <c r="K953" s="30"/>
      <c r="L953" s="30"/>
      <c r="M953" s="30">
        <f t="shared" ref="M953" si="325">M954+M955+M956</f>
        <v>35.790120000000002</v>
      </c>
      <c r="N953" s="30"/>
      <c r="O953" s="30"/>
      <c r="P953" s="150">
        <v>1000</v>
      </c>
    </row>
    <row r="954" spans="2:16" ht="15" customHeight="1" outlineLevel="1" x14ac:dyDescent="0.2">
      <c r="B954" s="166"/>
      <c r="C954" s="166"/>
      <c r="D954" s="166"/>
      <c r="E954" s="151"/>
      <c r="F954" s="166"/>
      <c r="G954" s="166"/>
      <c r="H954" s="95" t="s">
        <v>4</v>
      </c>
      <c r="I954" s="54">
        <f t="shared" si="323"/>
        <v>21.474072000000003</v>
      </c>
      <c r="J954" s="30"/>
      <c r="K954" s="30"/>
      <c r="L954" s="30"/>
      <c r="M954" s="30">
        <f>35.79012/100*60</f>
        <v>21.474072000000003</v>
      </c>
      <c r="N954" s="30"/>
      <c r="O954" s="30"/>
      <c r="P954" s="151"/>
    </row>
    <row r="955" spans="2:16" ht="15" customHeight="1" outlineLevel="1" x14ac:dyDescent="0.2">
      <c r="B955" s="166"/>
      <c r="C955" s="166"/>
      <c r="D955" s="166"/>
      <c r="E955" s="151"/>
      <c r="F955" s="166"/>
      <c r="G955" s="166"/>
      <c r="H955" s="95" t="s">
        <v>6</v>
      </c>
      <c r="I955" s="54">
        <f t="shared" si="323"/>
        <v>6.8001228000000005</v>
      </c>
      <c r="J955" s="30"/>
      <c r="K955" s="30"/>
      <c r="L955" s="30"/>
      <c r="M955" s="30">
        <f>35.79012/100*19</f>
        <v>6.8001228000000005</v>
      </c>
      <c r="N955" s="30"/>
      <c r="O955" s="30"/>
      <c r="P955" s="151"/>
    </row>
    <row r="956" spans="2:16" ht="15" customHeight="1" outlineLevel="1" x14ac:dyDescent="0.2">
      <c r="B956" s="166"/>
      <c r="C956" s="166"/>
      <c r="D956" s="166"/>
      <c r="E956" s="152"/>
      <c r="F956" s="166"/>
      <c r="G956" s="166"/>
      <c r="H956" s="95" t="s">
        <v>5</v>
      </c>
      <c r="I956" s="54">
        <f t="shared" si="323"/>
        <v>7.5159252000000007</v>
      </c>
      <c r="J956" s="30"/>
      <c r="K956" s="30"/>
      <c r="L956" s="30"/>
      <c r="M956" s="30">
        <f>35.79012/100*21</f>
        <v>7.5159252000000007</v>
      </c>
      <c r="N956" s="30"/>
      <c r="O956" s="30"/>
      <c r="P956" s="152"/>
    </row>
    <row r="957" spans="2:16" ht="42.75" outlineLevel="1" x14ac:dyDescent="0.2">
      <c r="B957" s="166" t="s">
        <v>1923</v>
      </c>
      <c r="C957" s="166"/>
      <c r="D957" s="166" t="s">
        <v>65</v>
      </c>
      <c r="E957" s="166">
        <v>2021</v>
      </c>
      <c r="F957" s="166" t="s">
        <v>1924</v>
      </c>
      <c r="G957" s="166" t="s">
        <v>566</v>
      </c>
      <c r="H957" s="95" t="s">
        <v>3</v>
      </c>
      <c r="I957" s="54">
        <f t="shared" si="323"/>
        <v>19.820660000000004</v>
      </c>
      <c r="J957" s="30"/>
      <c r="K957" s="30">
        <f t="shared" ref="K957" si="326">K958+K959+K960</f>
        <v>19.820660000000004</v>
      </c>
      <c r="L957" s="30"/>
      <c r="M957" s="30"/>
      <c r="N957" s="30"/>
      <c r="O957" s="30"/>
      <c r="P957" s="150">
        <v>2000</v>
      </c>
    </row>
    <row r="958" spans="2:16" ht="15" customHeight="1" outlineLevel="1" x14ac:dyDescent="0.2">
      <c r="B958" s="166"/>
      <c r="C958" s="166"/>
      <c r="D958" s="166"/>
      <c r="E958" s="166"/>
      <c r="F958" s="166"/>
      <c r="G958" s="166"/>
      <c r="H958" s="95" t="s">
        <v>4</v>
      </c>
      <c r="I958" s="54">
        <f t="shared" si="323"/>
        <v>11.892396000000002</v>
      </c>
      <c r="J958" s="30"/>
      <c r="K958" s="30">
        <f>19.82066/100*60</f>
        <v>11.892396000000002</v>
      </c>
      <c r="L958" s="30"/>
      <c r="M958" s="30"/>
      <c r="N958" s="30"/>
      <c r="O958" s="30"/>
      <c r="P958" s="151"/>
    </row>
    <row r="959" spans="2:16" ht="15" customHeight="1" outlineLevel="1" x14ac:dyDescent="0.2">
      <c r="B959" s="166"/>
      <c r="C959" s="166"/>
      <c r="D959" s="166"/>
      <c r="E959" s="166"/>
      <c r="F959" s="166"/>
      <c r="G959" s="166"/>
      <c r="H959" s="95" t="s">
        <v>6</v>
      </c>
      <c r="I959" s="54">
        <f t="shared" si="323"/>
        <v>4.1623386</v>
      </c>
      <c r="J959" s="30"/>
      <c r="K959" s="30">
        <f>19.82066/100*21</f>
        <v>4.1623386</v>
      </c>
      <c r="L959" s="30"/>
      <c r="M959" s="30"/>
      <c r="N959" s="30"/>
      <c r="O959" s="30"/>
      <c r="P959" s="151"/>
    </row>
    <row r="960" spans="2:16" ht="15" customHeight="1" outlineLevel="1" x14ac:dyDescent="0.2">
      <c r="B960" s="166"/>
      <c r="C960" s="166"/>
      <c r="D960" s="166"/>
      <c r="E960" s="166"/>
      <c r="F960" s="166"/>
      <c r="G960" s="166"/>
      <c r="H960" s="95" t="s">
        <v>5</v>
      </c>
      <c r="I960" s="54">
        <f t="shared" si="323"/>
        <v>3.7659254000000004</v>
      </c>
      <c r="J960" s="30"/>
      <c r="K960" s="30">
        <f>19.82066/100*19</f>
        <v>3.7659254000000004</v>
      </c>
      <c r="L960" s="30"/>
      <c r="M960" s="30"/>
      <c r="N960" s="30"/>
      <c r="O960" s="30"/>
      <c r="P960" s="152"/>
    </row>
    <row r="961" spans="2:16" ht="42.75" outlineLevel="1" x14ac:dyDescent="0.2">
      <c r="B961" s="166" t="s">
        <v>1925</v>
      </c>
      <c r="C961" s="166"/>
      <c r="D961" s="166" t="s">
        <v>65</v>
      </c>
      <c r="E961" s="166">
        <v>2021</v>
      </c>
      <c r="F961" s="166" t="s">
        <v>1926</v>
      </c>
      <c r="G961" s="166" t="s">
        <v>566</v>
      </c>
      <c r="H961" s="95" t="s">
        <v>3</v>
      </c>
      <c r="I961" s="54">
        <f>SUM(J961:O961)</f>
        <v>39.988019999999992</v>
      </c>
      <c r="J961" s="30"/>
      <c r="K961" s="30">
        <f t="shared" ref="K961" si="327">K962+K963+K964</f>
        <v>39.988019999999992</v>
      </c>
      <c r="L961" s="30"/>
      <c r="M961" s="30"/>
      <c r="N961" s="30"/>
      <c r="O961" s="30"/>
      <c r="P961" s="150">
        <v>2000</v>
      </c>
    </row>
    <row r="962" spans="2:16" ht="15" customHeight="1" outlineLevel="1" x14ac:dyDescent="0.2">
      <c r="B962" s="166"/>
      <c r="C962" s="166"/>
      <c r="D962" s="166"/>
      <c r="E962" s="166"/>
      <c r="F962" s="166"/>
      <c r="G962" s="166"/>
      <c r="H962" s="95" t="s">
        <v>4</v>
      </c>
      <c r="I962" s="54">
        <f>SUM(J962:O962)</f>
        <v>23.992811999999997</v>
      </c>
      <c r="J962" s="30"/>
      <c r="K962" s="30">
        <f>39.98802/100*60</f>
        <v>23.992811999999997</v>
      </c>
      <c r="L962" s="30"/>
      <c r="M962" s="30"/>
      <c r="N962" s="30"/>
      <c r="O962" s="30"/>
      <c r="P962" s="151"/>
    </row>
    <row r="963" spans="2:16" ht="15" customHeight="1" outlineLevel="1" x14ac:dyDescent="0.2">
      <c r="B963" s="166"/>
      <c r="C963" s="166"/>
      <c r="D963" s="166"/>
      <c r="E963" s="166"/>
      <c r="F963" s="166"/>
      <c r="G963" s="166"/>
      <c r="H963" s="95" t="s">
        <v>6</v>
      </c>
      <c r="I963" s="54">
        <f>SUM(J963:O963)</f>
        <v>8.3974841999999992</v>
      </c>
      <c r="J963" s="30"/>
      <c r="K963" s="30">
        <f>39.98802/100*21</f>
        <v>8.3974841999999992</v>
      </c>
      <c r="L963" s="30"/>
      <c r="M963" s="30"/>
      <c r="N963" s="30"/>
      <c r="O963" s="30"/>
      <c r="P963" s="151"/>
    </row>
    <row r="964" spans="2:16" ht="15" customHeight="1" outlineLevel="1" x14ac:dyDescent="0.2">
      <c r="B964" s="166"/>
      <c r="C964" s="166"/>
      <c r="D964" s="166"/>
      <c r="E964" s="166"/>
      <c r="F964" s="166"/>
      <c r="G964" s="166"/>
      <c r="H964" s="95" t="s">
        <v>5</v>
      </c>
      <c r="I964" s="54">
        <f>SUM(J964:O964)</f>
        <v>7.5977237999999989</v>
      </c>
      <c r="J964" s="30"/>
      <c r="K964" s="30">
        <f>39.98802/100*19</f>
        <v>7.5977237999999989</v>
      </c>
      <c r="L964" s="30"/>
      <c r="M964" s="30"/>
      <c r="N964" s="30"/>
      <c r="O964" s="30"/>
      <c r="P964" s="152"/>
    </row>
    <row r="965" spans="2:16" ht="42.75" outlineLevel="1" x14ac:dyDescent="0.2">
      <c r="B965" s="166" t="s">
        <v>1927</v>
      </c>
      <c r="C965" s="166"/>
      <c r="D965" s="166" t="s">
        <v>575</v>
      </c>
      <c r="E965" s="166">
        <v>2021</v>
      </c>
      <c r="F965" s="166" t="s">
        <v>1924</v>
      </c>
      <c r="G965" s="166" t="s">
        <v>566</v>
      </c>
      <c r="H965" s="95" t="s">
        <v>3</v>
      </c>
      <c r="I965" s="54">
        <f t="shared" ref="I965:I972" si="328">SUM(J965:O965)</f>
        <v>20.605489999999996</v>
      </c>
      <c r="J965" s="30"/>
      <c r="K965" s="30">
        <f t="shared" ref="K965" si="329">K966+K967+K968</f>
        <v>20.605489999999996</v>
      </c>
      <c r="L965" s="30"/>
      <c r="M965" s="30"/>
      <c r="N965" s="30"/>
      <c r="O965" s="30"/>
      <c r="P965" s="150">
        <v>3000</v>
      </c>
    </row>
    <row r="966" spans="2:16" ht="15" customHeight="1" outlineLevel="1" x14ac:dyDescent="0.2">
      <c r="B966" s="166"/>
      <c r="C966" s="166"/>
      <c r="D966" s="166"/>
      <c r="E966" s="166"/>
      <c r="F966" s="166"/>
      <c r="G966" s="166"/>
      <c r="H966" s="95" t="s">
        <v>4</v>
      </c>
      <c r="I966" s="54">
        <f t="shared" si="328"/>
        <v>12.363294</v>
      </c>
      <c r="J966" s="30"/>
      <c r="K966" s="30">
        <f>20.60549/100*60</f>
        <v>12.363294</v>
      </c>
      <c r="L966" s="30"/>
      <c r="M966" s="30"/>
      <c r="N966" s="30"/>
      <c r="O966" s="30"/>
      <c r="P966" s="151"/>
    </row>
    <row r="967" spans="2:16" ht="15" customHeight="1" outlineLevel="1" x14ac:dyDescent="0.2">
      <c r="B967" s="166"/>
      <c r="C967" s="166"/>
      <c r="D967" s="166"/>
      <c r="E967" s="166"/>
      <c r="F967" s="166"/>
      <c r="G967" s="166"/>
      <c r="H967" s="95" t="s">
        <v>6</v>
      </c>
      <c r="I967" s="54">
        <f t="shared" si="328"/>
        <v>4.3271528999999997</v>
      </c>
      <c r="J967" s="30"/>
      <c r="K967" s="30">
        <f>20.60549/100*21</f>
        <v>4.3271528999999997</v>
      </c>
      <c r="L967" s="30"/>
      <c r="M967" s="30"/>
      <c r="N967" s="30"/>
      <c r="O967" s="30"/>
      <c r="P967" s="151"/>
    </row>
    <row r="968" spans="2:16" ht="15" customHeight="1" outlineLevel="1" x14ac:dyDescent="0.2">
      <c r="B968" s="166"/>
      <c r="C968" s="166"/>
      <c r="D968" s="166"/>
      <c r="E968" s="166"/>
      <c r="F968" s="166"/>
      <c r="G968" s="166"/>
      <c r="H968" s="95" t="s">
        <v>5</v>
      </c>
      <c r="I968" s="54">
        <f t="shared" si="328"/>
        <v>3.9150430999999997</v>
      </c>
      <c r="J968" s="30"/>
      <c r="K968" s="30">
        <f>20.60549/100*19</f>
        <v>3.9150430999999997</v>
      </c>
      <c r="L968" s="30"/>
      <c r="M968" s="30"/>
      <c r="N968" s="30"/>
      <c r="O968" s="30"/>
      <c r="P968" s="152"/>
    </row>
    <row r="969" spans="2:16" ht="42.75" outlineLevel="1" x14ac:dyDescent="0.2">
      <c r="B969" s="166" t="s">
        <v>1928</v>
      </c>
      <c r="C969" s="166"/>
      <c r="D969" s="166" t="s">
        <v>65</v>
      </c>
      <c r="E969" s="150">
        <v>2022</v>
      </c>
      <c r="F969" s="166" t="s">
        <v>1929</v>
      </c>
      <c r="G969" s="166" t="s">
        <v>566</v>
      </c>
      <c r="H969" s="95" t="s">
        <v>3</v>
      </c>
      <c r="I969" s="54">
        <f t="shared" si="328"/>
        <v>7.9792100000000001</v>
      </c>
      <c r="J969" s="30"/>
      <c r="K969" s="30"/>
      <c r="L969" s="30">
        <f t="shared" ref="L969" si="330">L970+L971+L972</f>
        <v>7.9792100000000001</v>
      </c>
      <c r="M969" s="30"/>
      <c r="N969" s="30"/>
      <c r="O969" s="30"/>
      <c r="P969" s="150">
        <v>1000</v>
      </c>
    </row>
    <row r="970" spans="2:16" ht="15" customHeight="1" outlineLevel="1" x14ac:dyDescent="0.2">
      <c r="B970" s="166"/>
      <c r="C970" s="166"/>
      <c r="D970" s="166"/>
      <c r="E970" s="151"/>
      <c r="F970" s="166"/>
      <c r="G970" s="166"/>
      <c r="H970" s="95" t="s">
        <v>4</v>
      </c>
      <c r="I970" s="54">
        <f t="shared" si="328"/>
        <v>4.7875260000000006</v>
      </c>
      <c r="J970" s="30"/>
      <c r="K970" s="30"/>
      <c r="L970" s="30">
        <f>7.97921/100*60</f>
        <v>4.7875260000000006</v>
      </c>
      <c r="M970" s="30"/>
      <c r="N970" s="30"/>
      <c r="O970" s="30"/>
      <c r="P970" s="151"/>
    </row>
    <row r="971" spans="2:16" ht="15" customHeight="1" outlineLevel="1" x14ac:dyDescent="0.2">
      <c r="B971" s="166"/>
      <c r="C971" s="166"/>
      <c r="D971" s="166"/>
      <c r="E971" s="151"/>
      <c r="F971" s="166"/>
      <c r="G971" s="166"/>
      <c r="H971" s="95" t="s">
        <v>6</v>
      </c>
      <c r="I971" s="54">
        <f t="shared" si="328"/>
        <v>1.5160499000000001</v>
      </c>
      <c r="J971" s="30"/>
      <c r="K971" s="30"/>
      <c r="L971" s="30">
        <f>7.97921/100*19</f>
        <v>1.5160499000000001</v>
      </c>
      <c r="M971" s="30"/>
      <c r="N971" s="30"/>
      <c r="O971" s="30"/>
      <c r="P971" s="151"/>
    </row>
    <row r="972" spans="2:16" ht="15" customHeight="1" outlineLevel="1" x14ac:dyDescent="0.2">
      <c r="B972" s="166"/>
      <c r="C972" s="166"/>
      <c r="D972" s="166"/>
      <c r="E972" s="152"/>
      <c r="F972" s="166"/>
      <c r="G972" s="166"/>
      <c r="H972" s="95" t="s">
        <v>5</v>
      </c>
      <c r="I972" s="54">
        <f t="shared" si="328"/>
        <v>1.6756341000000001</v>
      </c>
      <c r="J972" s="30"/>
      <c r="K972" s="30"/>
      <c r="L972" s="30">
        <f>7.97921/100*21</f>
        <v>1.6756341000000001</v>
      </c>
      <c r="M972" s="30"/>
      <c r="N972" s="30"/>
      <c r="O972" s="30"/>
      <c r="P972" s="152"/>
    </row>
    <row r="973" spans="2:16" ht="42.75" outlineLevel="1" x14ac:dyDescent="0.2">
      <c r="B973" s="166" t="s">
        <v>1930</v>
      </c>
      <c r="C973" s="166"/>
      <c r="D973" s="166" t="s">
        <v>65</v>
      </c>
      <c r="E973" s="166">
        <v>2022</v>
      </c>
      <c r="F973" s="166" t="s">
        <v>1931</v>
      </c>
      <c r="G973" s="166" t="s">
        <v>566</v>
      </c>
      <c r="H973" s="95" t="s">
        <v>3</v>
      </c>
      <c r="I973" s="54">
        <f>SUM(J973:O973)</f>
        <v>12.375999999999999</v>
      </c>
      <c r="J973" s="30"/>
      <c r="K973" s="30"/>
      <c r="L973" s="30">
        <f t="shared" ref="L973" si="331">L974+L975+L976</f>
        <v>12.375999999999999</v>
      </c>
      <c r="M973" s="30"/>
      <c r="N973" s="30"/>
      <c r="O973" s="30"/>
      <c r="P973" s="150">
        <v>1500</v>
      </c>
    </row>
    <row r="974" spans="2:16" ht="15" customHeight="1" outlineLevel="1" x14ac:dyDescent="0.2">
      <c r="B974" s="166"/>
      <c r="C974" s="166"/>
      <c r="D974" s="166"/>
      <c r="E974" s="166"/>
      <c r="F974" s="166"/>
      <c r="G974" s="166"/>
      <c r="H974" s="95" t="s">
        <v>4</v>
      </c>
      <c r="I974" s="54">
        <f>SUM(J974:O974)</f>
        <v>7.4255999999999993</v>
      </c>
      <c r="J974" s="30"/>
      <c r="K974" s="30"/>
      <c r="L974" s="30">
        <f>12.376/100*60</f>
        <v>7.4255999999999993</v>
      </c>
      <c r="M974" s="30"/>
      <c r="N974" s="30"/>
      <c r="O974" s="30"/>
      <c r="P974" s="151"/>
    </row>
    <row r="975" spans="2:16" ht="15" customHeight="1" outlineLevel="1" x14ac:dyDescent="0.2">
      <c r="B975" s="166"/>
      <c r="C975" s="166"/>
      <c r="D975" s="166"/>
      <c r="E975" s="166"/>
      <c r="F975" s="166"/>
      <c r="G975" s="166"/>
      <c r="H975" s="95" t="s">
        <v>6</v>
      </c>
      <c r="I975" s="54">
        <f>SUM(J975:O975)</f>
        <v>2.3514399999999998</v>
      </c>
      <c r="J975" s="30"/>
      <c r="K975" s="30"/>
      <c r="L975" s="30">
        <f>12.376/100*19</f>
        <v>2.3514399999999998</v>
      </c>
      <c r="M975" s="30"/>
      <c r="N975" s="30"/>
      <c r="O975" s="30"/>
      <c r="P975" s="151"/>
    </row>
    <row r="976" spans="2:16" ht="15" customHeight="1" outlineLevel="1" x14ac:dyDescent="0.2">
      <c r="B976" s="166"/>
      <c r="C976" s="166"/>
      <c r="D976" s="166"/>
      <c r="E976" s="166"/>
      <c r="F976" s="166"/>
      <c r="G976" s="166"/>
      <c r="H976" s="95" t="s">
        <v>5</v>
      </c>
      <c r="I976" s="54">
        <f>SUM(J976:O976)</f>
        <v>2.5989599999999999</v>
      </c>
      <c r="J976" s="30"/>
      <c r="K976" s="30"/>
      <c r="L976" s="30">
        <f>12.376/100*21</f>
        <v>2.5989599999999999</v>
      </c>
      <c r="M976" s="30"/>
      <c r="N976" s="30"/>
      <c r="O976" s="30"/>
      <c r="P976" s="152"/>
    </row>
    <row r="977" spans="2:16" ht="42.75" outlineLevel="1" x14ac:dyDescent="0.2">
      <c r="B977" s="166" t="s">
        <v>1932</v>
      </c>
      <c r="C977" s="166"/>
      <c r="D977" s="166" t="s">
        <v>65</v>
      </c>
      <c r="E977" s="166">
        <v>2023</v>
      </c>
      <c r="F977" s="166" t="s">
        <v>1933</v>
      </c>
      <c r="G977" s="166" t="s">
        <v>566</v>
      </c>
      <c r="H977" s="95" t="s">
        <v>3</v>
      </c>
      <c r="I977" s="54">
        <f t="shared" ref="I977:I984" si="332">SUM(J977:O977)</f>
        <v>22.04411</v>
      </c>
      <c r="J977" s="30"/>
      <c r="K977" s="30"/>
      <c r="L977" s="30">
        <f t="shared" ref="L977:M977" si="333">L978+L979+L980</f>
        <v>0</v>
      </c>
      <c r="M977" s="30">
        <f t="shared" si="333"/>
        <v>22.04411</v>
      </c>
      <c r="N977" s="30"/>
      <c r="O977" s="30"/>
      <c r="P977" s="150">
        <v>1500</v>
      </c>
    </row>
    <row r="978" spans="2:16" ht="15" customHeight="1" outlineLevel="1" x14ac:dyDescent="0.2">
      <c r="B978" s="166"/>
      <c r="C978" s="166"/>
      <c r="D978" s="166"/>
      <c r="E978" s="166"/>
      <c r="F978" s="166"/>
      <c r="G978" s="166"/>
      <c r="H978" s="95" t="s">
        <v>4</v>
      </c>
      <c r="I978" s="54">
        <f t="shared" si="332"/>
        <v>13.226466</v>
      </c>
      <c r="J978" s="30"/>
      <c r="K978" s="30"/>
      <c r="L978" s="30"/>
      <c r="M978" s="30">
        <f>22.04411/100*60</f>
        <v>13.226466</v>
      </c>
      <c r="N978" s="30"/>
      <c r="O978" s="30"/>
      <c r="P978" s="151"/>
    </row>
    <row r="979" spans="2:16" ht="15" customHeight="1" outlineLevel="1" x14ac:dyDescent="0.2">
      <c r="B979" s="166"/>
      <c r="C979" s="166"/>
      <c r="D979" s="166"/>
      <c r="E979" s="166"/>
      <c r="F979" s="166"/>
      <c r="G979" s="166"/>
      <c r="H979" s="95" t="s">
        <v>6</v>
      </c>
      <c r="I979" s="54">
        <f t="shared" si="332"/>
        <v>4.1883809000000003</v>
      </c>
      <c r="J979" s="30"/>
      <c r="K979" s="30"/>
      <c r="L979" s="30"/>
      <c r="M979" s="30">
        <f>22.04411/100*19</f>
        <v>4.1883809000000003</v>
      </c>
      <c r="N979" s="30"/>
      <c r="O979" s="30"/>
      <c r="P979" s="151"/>
    </row>
    <row r="980" spans="2:16" ht="15" customHeight="1" outlineLevel="1" x14ac:dyDescent="0.2">
      <c r="B980" s="166"/>
      <c r="C980" s="166"/>
      <c r="D980" s="166"/>
      <c r="E980" s="166"/>
      <c r="F980" s="166"/>
      <c r="G980" s="166"/>
      <c r="H980" s="95" t="s">
        <v>5</v>
      </c>
      <c r="I980" s="54">
        <f t="shared" si="332"/>
        <v>4.6292631000000002</v>
      </c>
      <c r="J980" s="30"/>
      <c r="K980" s="30"/>
      <c r="L980" s="30"/>
      <c r="M980" s="30">
        <f>22.04411/100*21</f>
        <v>4.6292631000000002</v>
      </c>
      <c r="N980" s="30"/>
      <c r="O980" s="30"/>
      <c r="P980" s="152"/>
    </row>
    <row r="981" spans="2:16" ht="42.75" outlineLevel="1" x14ac:dyDescent="0.2">
      <c r="B981" s="166" t="s">
        <v>1934</v>
      </c>
      <c r="C981" s="166"/>
      <c r="D981" s="166" t="s">
        <v>575</v>
      </c>
      <c r="E981" s="150">
        <v>2022</v>
      </c>
      <c r="F981" s="166">
        <v>1340</v>
      </c>
      <c r="G981" s="166" t="s">
        <v>566</v>
      </c>
      <c r="H981" s="95" t="s">
        <v>3</v>
      </c>
      <c r="I981" s="54">
        <f t="shared" si="332"/>
        <v>91.031999999999996</v>
      </c>
      <c r="J981" s="30"/>
      <c r="K981" s="30"/>
      <c r="L981" s="30">
        <f t="shared" ref="L981" si="334">L982+L983+L984</f>
        <v>91.031999999999996</v>
      </c>
      <c r="M981" s="30"/>
      <c r="N981" s="30"/>
      <c r="O981" s="30"/>
      <c r="P981" s="150">
        <v>4000</v>
      </c>
    </row>
    <row r="982" spans="2:16" ht="15" customHeight="1" outlineLevel="1" x14ac:dyDescent="0.2">
      <c r="B982" s="166"/>
      <c r="C982" s="166"/>
      <c r="D982" s="166"/>
      <c r="E982" s="151"/>
      <c r="F982" s="166"/>
      <c r="G982" s="166"/>
      <c r="H982" s="95" t="s">
        <v>4</v>
      </c>
      <c r="I982" s="54">
        <f t="shared" si="332"/>
        <v>54.619199999999999</v>
      </c>
      <c r="J982" s="30"/>
      <c r="K982" s="30"/>
      <c r="L982" s="30">
        <f>91.032/100*60</f>
        <v>54.619199999999999</v>
      </c>
      <c r="M982" s="30"/>
      <c r="N982" s="30"/>
      <c r="O982" s="30"/>
      <c r="P982" s="151"/>
    </row>
    <row r="983" spans="2:16" ht="15" customHeight="1" outlineLevel="1" x14ac:dyDescent="0.2">
      <c r="B983" s="166"/>
      <c r="C983" s="166"/>
      <c r="D983" s="166"/>
      <c r="E983" s="151"/>
      <c r="F983" s="166"/>
      <c r="G983" s="166"/>
      <c r="H983" s="95" t="s">
        <v>6</v>
      </c>
      <c r="I983" s="54">
        <f t="shared" si="332"/>
        <v>17.29608</v>
      </c>
      <c r="J983" s="30"/>
      <c r="K983" s="30"/>
      <c r="L983" s="30">
        <f>91.032/100*19</f>
        <v>17.29608</v>
      </c>
      <c r="M983" s="30"/>
      <c r="N983" s="30"/>
      <c r="O983" s="30"/>
      <c r="P983" s="151"/>
    </row>
    <row r="984" spans="2:16" ht="15" customHeight="1" outlineLevel="1" x14ac:dyDescent="0.2">
      <c r="B984" s="166"/>
      <c r="C984" s="166"/>
      <c r="D984" s="166"/>
      <c r="E984" s="152"/>
      <c r="F984" s="166"/>
      <c r="G984" s="166"/>
      <c r="H984" s="95" t="s">
        <v>5</v>
      </c>
      <c r="I984" s="54">
        <f t="shared" si="332"/>
        <v>19.116720000000001</v>
      </c>
      <c r="J984" s="30"/>
      <c r="K984" s="30"/>
      <c r="L984" s="30">
        <f>91.032/100*21</f>
        <v>19.116720000000001</v>
      </c>
      <c r="M984" s="30"/>
      <c r="N984" s="30"/>
      <c r="O984" s="30"/>
      <c r="P984" s="152"/>
    </row>
    <row r="985" spans="2:16" ht="42.75" outlineLevel="1" x14ac:dyDescent="0.2">
      <c r="B985" s="166" t="s">
        <v>1935</v>
      </c>
      <c r="C985" s="166"/>
      <c r="D985" s="166" t="s">
        <v>65</v>
      </c>
      <c r="E985" s="166">
        <v>2022</v>
      </c>
      <c r="F985" s="166">
        <v>124</v>
      </c>
      <c r="G985" s="166" t="s">
        <v>566</v>
      </c>
      <c r="H985" s="95" t="s">
        <v>3</v>
      </c>
      <c r="I985" s="54">
        <f>SUM(J985:O985)</f>
        <v>5.84354</v>
      </c>
      <c r="J985" s="30"/>
      <c r="K985" s="30"/>
      <c r="L985" s="30">
        <f t="shared" ref="L985" si="335">L986+L987+L988</f>
        <v>5.84354</v>
      </c>
      <c r="M985" s="30"/>
      <c r="N985" s="30"/>
      <c r="O985" s="30"/>
      <c r="P985" s="150">
        <v>4000</v>
      </c>
    </row>
    <row r="986" spans="2:16" ht="15" customHeight="1" outlineLevel="1" x14ac:dyDescent="0.2">
      <c r="B986" s="166"/>
      <c r="C986" s="166"/>
      <c r="D986" s="166"/>
      <c r="E986" s="166"/>
      <c r="F986" s="166"/>
      <c r="G986" s="166"/>
      <c r="H986" s="95" t="s">
        <v>4</v>
      </c>
      <c r="I986" s="54">
        <f>SUM(J986:O986)</f>
        <v>3.5061239999999998</v>
      </c>
      <c r="J986" s="30"/>
      <c r="K986" s="30"/>
      <c r="L986" s="30">
        <f>5.84354/100*60</f>
        <v>3.5061239999999998</v>
      </c>
      <c r="M986" s="30"/>
      <c r="N986" s="30"/>
      <c r="O986" s="30"/>
      <c r="P986" s="151"/>
    </row>
    <row r="987" spans="2:16" ht="15" customHeight="1" outlineLevel="1" x14ac:dyDescent="0.2">
      <c r="B987" s="166"/>
      <c r="C987" s="166"/>
      <c r="D987" s="166"/>
      <c r="E987" s="166"/>
      <c r="F987" s="166"/>
      <c r="G987" s="166"/>
      <c r="H987" s="95" t="s">
        <v>6</v>
      </c>
      <c r="I987" s="54">
        <f>SUM(J987:O987)</f>
        <v>1.1102726000000001</v>
      </c>
      <c r="J987" s="30"/>
      <c r="K987" s="30"/>
      <c r="L987" s="30">
        <f>5.84354/100*19</f>
        <v>1.1102726000000001</v>
      </c>
      <c r="M987" s="30"/>
      <c r="N987" s="30"/>
      <c r="O987" s="30"/>
      <c r="P987" s="151"/>
    </row>
    <row r="988" spans="2:16" ht="15" customHeight="1" outlineLevel="1" x14ac:dyDescent="0.2">
      <c r="B988" s="166"/>
      <c r="C988" s="166"/>
      <c r="D988" s="166"/>
      <c r="E988" s="166"/>
      <c r="F988" s="166"/>
      <c r="G988" s="166"/>
      <c r="H988" s="95" t="s">
        <v>5</v>
      </c>
      <c r="I988" s="54">
        <f>SUM(J988:O988)</f>
        <v>1.2271433999999999</v>
      </c>
      <c r="J988" s="30"/>
      <c r="K988" s="30"/>
      <c r="L988" s="30">
        <f>5.84354/100*21</f>
        <v>1.2271433999999999</v>
      </c>
      <c r="M988" s="30"/>
      <c r="N988" s="30"/>
      <c r="O988" s="30"/>
      <c r="P988" s="152"/>
    </row>
    <row r="989" spans="2:16" ht="42.75" outlineLevel="1" x14ac:dyDescent="0.2">
      <c r="B989" s="166" t="s">
        <v>1936</v>
      </c>
      <c r="C989" s="166"/>
      <c r="D989" s="166" t="s">
        <v>65</v>
      </c>
      <c r="E989" s="166">
        <v>2022</v>
      </c>
      <c r="F989" s="166">
        <v>59</v>
      </c>
      <c r="G989" s="166" t="s">
        <v>566</v>
      </c>
      <c r="H989" s="95" t="s">
        <v>3</v>
      </c>
      <c r="I989" s="54">
        <f t="shared" ref="I989:I1000" si="336">SUM(J989:O989)</f>
        <v>3.6560700000000002</v>
      </c>
      <c r="J989" s="30"/>
      <c r="K989" s="30"/>
      <c r="L989" s="30">
        <f t="shared" ref="L989" si="337">L990+L991+L992</f>
        <v>3.6560700000000002</v>
      </c>
      <c r="M989" s="30"/>
      <c r="N989" s="30"/>
      <c r="O989" s="30"/>
      <c r="P989" s="150">
        <v>4000</v>
      </c>
    </row>
    <row r="990" spans="2:16" ht="15" customHeight="1" outlineLevel="1" x14ac:dyDescent="0.2">
      <c r="B990" s="166"/>
      <c r="C990" s="166"/>
      <c r="D990" s="166"/>
      <c r="E990" s="166"/>
      <c r="F990" s="166"/>
      <c r="G990" s="166"/>
      <c r="H990" s="95" t="s">
        <v>4</v>
      </c>
      <c r="I990" s="54">
        <f t="shared" si="336"/>
        <v>2.1936420000000001</v>
      </c>
      <c r="J990" s="30"/>
      <c r="K990" s="30"/>
      <c r="L990" s="30">
        <f>3.65607/100*60</f>
        <v>2.1936420000000001</v>
      </c>
      <c r="M990" s="30"/>
      <c r="N990" s="30"/>
      <c r="O990" s="30"/>
      <c r="P990" s="151"/>
    </row>
    <row r="991" spans="2:16" ht="15" customHeight="1" outlineLevel="1" x14ac:dyDescent="0.2">
      <c r="B991" s="166"/>
      <c r="C991" s="166"/>
      <c r="D991" s="166"/>
      <c r="E991" s="166"/>
      <c r="F991" s="166"/>
      <c r="G991" s="166"/>
      <c r="H991" s="95" t="s">
        <v>6</v>
      </c>
      <c r="I991" s="54">
        <f t="shared" si="336"/>
        <v>0.69465330000000003</v>
      </c>
      <c r="J991" s="30"/>
      <c r="K991" s="30"/>
      <c r="L991" s="30">
        <f>3.65607/100*19</f>
        <v>0.69465330000000003</v>
      </c>
      <c r="M991" s="30"/>
      <c r="N991" s="30"/>
      <c r="O991" s="30"/>
      <c r="P991" s="151"/>
    </row>
    <row r="992" spans="2:16" ht="15" customHeight="1" outlineLevel="1" x14ac:dyDescent="0.2">
      <c r="B992" s="166"/>
      <c r="C992" s="166"/>
      <c r="D992" s="166"/>
      <c r="E992" s="166"/>
      <c r="F992" s="166"/>
      <c r="G992" s="166"/>
      <c r="H992" s="95" t="s">
        <v>5</v>
      </c>
      <c r="I992" s="54">
        <f t="shared" si="336"/>
        <v>0.76777470000000003</v>
      </c>
      <c r="J992" s="30"/>
      <c r="K992" s="30"/>
      <c r="L992" s="30">
        <f>3.65607/100*21</f>
        <v>0.76777470000000003</v>
      </c>
      <c r="M992" s="30"/>
      <c r="N992" s="30"/>
      <c r="O992" s="30"/>
      <c r="P992" s="152"/>
    </row>
    <row r="993" spans="2:16" ht="42.75" outlineLevel="1" x14ac:dyDescent="0.2">
      <c r="B993" s="166" t="s">
        <v>1937</v>
      </c>
      <c r="C993" s="166"/>
      <c r="D993" s="166" t="s">
        <v>65</v>
      </c>
      <c r="E993" s="150">
        <v>2022</v>
      </c>
      <c r="F993" s="166">
        <v>59</v>
      </c>
      <c r="G993" s="166" t="s">
        <v>566</v>
      </c>
      <c r="H993" s="95" t="s">
        <v>3</v>
      </c>
      <c r="I993" s="54">
        <f t="shared" si="336"/>
        <v>3.76376</v>
      </c>
      <c r="J993" s="30"/>
      <c r="K993" s="30"/>
      <c r="L993" s="30">
        <f t="shared" ref="L993" si="338">L994+L995+L996</f>
        <v>3.76376</v>
      </c>
      <c r="M993" s="30"/>
      <c r="N993" s="30"/>
      <c r="O993" s="30"/>
      <c r="P993" s="150">
        <v>4000</v>
      </c>
    </row>
    <row r="994" spans="2:16" ht="15" customHeight="1" outlineLevel="1" x14ac:dyDescent="0.2">
      <c r="B994" s="166"/>
      <c r="C994" s="166"/>
      <c r="D994" s="166"/>
      <c r="E994" s="151"/>
      <c r="F994" s="166"/>
      <c r="G994" s="166"/>
      <c r="H994" s="95" t="s">
        <v>4</v>
      </c>
      <c r="I994" s="54">
        <f t="shared" si="336"/>
        <v>2.2582559999999998</v>
      </c>
      <c r="J994" s="30"/>
      <c r="K994" s="30"/>
      <c r="L994" s="30">
        <f>3.76376/100*60</f>
        <v>2.2582559999999998</v>
      </c>
      <c r="M994" s="30"/>
      <c r="N994" s="30"/>
      <c r="O994" s="30"/>
      <c r="P994" s="151"/>
    </row>
    <row r="995" spans="2:16" ht="15" customHeight="1" outlineLevel="1" x14ac:dyDescent="0.2">
      <c r="B995" s="166"/>
      <c r="C995" s="166"/>
      <c r="D995" s="166"/>
      <c r="E995" s="151"/>
      <c r="F995" s="166"/>
      <c r="G995" s="166"/>
      <c r="H995" s="95" t="s">
        <v>6</v>
      </c>
      <c r="I995" s="54">
        <f t="shared" si="336"/>
        <v>0.71511440000000004</v>
      </c>
      <c r="J995" s="30"/>
      <c r="K995" s="30"/>
      <c r="L995" s="30">
        <f>3.76376/100*19</f>
        <v>0.71511440000000004</v>
      </c>
      <c r="M995" s="30"/>
      <c r="N995" s="30"/>
      <c r="O995" s="30"/>
      <c r="P995" s="151"/>
    </row>
    <row r="996" spans="2:16" ht="15" customHeight="1" outlineLevel="1" x14ac:dyDescent="0.2">
      <c r="B996" s="166"/>
      <c r="C996" s="166"/>
      <c r="D996" s="166"/>
      <c r="E996" s="152"/>
      <c r="F996" s="166"/>
      <c r="G996" s="166"/>
      <c r="H996" s="95" t="s">
        <v>5</v>
      </c>
      <c r="I996" s="54">
        <f t="shared" si="336"/>
        <v>0.79038960000000003</v>
      </c>
      <c r="J996" s="30"/>
      <c r="K996" s="30"/>
      <c r="L996" s="30">
        <f>3.76376/100*21</f>
        <v>0.79038960000000003</v>
      </c>
      <c r="M996" s="30"/>
      <c r="N996" s="30"/>
      <c r="O996" s="30"/>
      <c r="P996" s="152"/>
    </row>
    <row r="997" spans="2:16" ht="42.75" outlineLevel="1" x14ac:dyDescent="0.2">
      <c r="B997" s="166" t="s">
        <v>1938</v>
      </c>
      <c r="C997" s="166"/>
      <c r="D997" s="166" t="s">
        <v>575</v>
      </c>
      <c r="E997" s="166">
        <v>2022</v>
      </c>
      <c r="F997" s="166">
        <v>244</v>
      </c>
      <c r="G997" s="166" t="s">
        <v>566</v>
      </c>
      <c r="H997" s="95" t="s">
        <v>3</v>
      </c>
      <c r="I997" s="54">
        <f t="shared" si="336"/>
        <v>7.8031600000000001</v>
      </c>
      <c r="J997" s="30"/>
      <c r="K997" s="30"/>
      <c r="L997" s="30">
        <f t="shared" ref="L997" si="339">L998+L999+L1000</f>
        <v>7.8031600000000001</v>
      </c>
      <c r="M997" s="30"/>
      <c r="N997" s="30"/>
      <c r="O997" s="30"/>
      <c r="P997" s="150">
        <v>4000</v>
      </c>
    </row>
    <row r="998" spans="2:16" ht="15" customHeight="1" outlineLevel="1" x14ac:dyDescent="0.2">
      <c r="B998" s="166"/>
      <c r="C998" s="166"/>
      <c r="D998" s="166"/>
      <c r="E998" s="166"/>
      <c r="F998" s="166"/>
      <c r="G998" s="166"/>
      <c r="H998" s="95" t="s">
        <v>4</v>
      </c>
      <c r="I998" s="54">
        <f t="shared" si="336"/>
        <v>4.6818960000000001</v>
      </c>
      <c r="J998" s="30"/>
      <c r="K998" s="30"/>
      <c r="L998" s="30">
        <f>7.80316/100*60</f>
        <v>4.6818960000000001</v>
      </c>
      <c r="M998" s="30"/>
      <c r="N998" s="30"/>
      <c r="O998" s="30"/>
      <c r="P998" s="151"/>
    </row>
    <row r="999" spans="2:16" ht="15" customHeight="1" outlineLevel="1" x14ac:dyDescent="0.2">
      <c r="B999" s="166"/>
      <c r="C999" s="166"/>
      <c r="D999" s="166"/>
      <c r="E999" s="166"/>
      <c r="F999" s="166"/>
      <c r="G999" s="166"/>
      <c r="H999" s="95" t="s">
        <v>6</v>
      </c>
      <c r="I999" s="54">
        <f t="shared" si="336"/>
        <v>1.4826004000000002</v>
      </c>
      <c r="J999" s="30"/>
      <c r="K999" s="30"/>
      <c r="L999" s="30">
        <f>7.80316/100*19</f>
        <v>1.4826004000000002</v>
      </c>
      <c r="M999" s="30"/>
      <c r="N999" s="30"/>
      <c r="O999" s="30"/>
      <c r="P999" s="151"/>
    </row>
    <row r="1000" spans="2:16" ht="15" customHeight="1" outlineLevel="1" x14ac:dyDescent="0.2">
      <c r="B1000" s="166"/>
      <c r="C1000" s="166"/>
      <c r="D1000" s="166"/>
      <c r="E1000" s="166"/>
      <c r="F1000" s="166"/>
      <c r="G1000" s="166"/>
      <c r="H1000" s="95" t="s">
        <v>5</v>
      </c>
      <c r="I1000" s="54">
        <f t="shared" si="336"/>
        <v>1.6386636000000001</v>
      </c>
      <c r="J1000" s="30"/>
      <c r="K1000" s="30"/>
      <c r="L1000" s="30">
        <f>7.80316/100*21</f>
        <v>1.6386636000000001</v>
      </c>
      <c r="M1000" s="30"/>
      <c r="N1000" s="30"/>
      <c r="O1000" s="30"/>
      <c r="P1000" s="152"/>
    </row>
    <row r="1001" spans="2:16" ht="95.25" customHeight="1" outlineLevel="1" x14ac:dyDescent="0.2">
      <c r="B1001" s="166" t="s">
        <v>1939</v>
      </c>
      <c r="C1001" s="166"/>
      <c r="D1001" s="166" t="s">
        <v>575</v>
      </c>
      <c r="E1001" s="166" t="s">
        <v>286</v>
      </c>
      <c r="F1001" s="166"/>
      <c r="G1001" s="166" t="s">
        <v>1940</v>
      </c>
      <c r="H1001" s="95" t="s">
        <v>3</v>
      </c>
      <c r="I1001" s="54">
        <f>SUM(J1001:O1001)</f>
        <v>7000</v>
      </c>
      <c r="J1001" s="30"/>
      <c r="K1001" s="30"/>
      <c r="L1001" s="30"/>
      <c r="M1001" s="22">
        <f>SUM(M1002:M1004)</f>
        <v>2000</v>
      </c>
      <c r="N1001" s="22">
        <f t="shared" ref="N1001:O1001" si="340">SUM(N1002:N1004)</f>
        <v>2500</v>
      </c>
      <c r="O1001" s="22">
        <f t="shared" si="340"/>
        <v>2500</v>
      </c>
      <c r="P1001" s="150">
        <v>200000</v>
      </c>
    </row>
    <row r="1002" spans="2:16" ht="15" customHeight="1" outlineLevel="1" x14ac:dyDescent="0.2">
      <c r="B1002" s="166"/>
      <c r="C1002" s="166"/>
      <c r="D1002" s="166"/>
      <c r="E1002" s="166"/>
      <c r="F1002" s="166"/>
      <c r="G1002" s="166"/>
      <c r="H1002" s="95" t="s">
        <v>4</v>
      </c>
      <c r="I1002" s="54">
        <f>SUM(J1002:O1002)</f>
        <v>4200</v>
      </c>
      <c r="J1002" s="30"/>
      <c r="K1002" s="30"/>
      <c r="L1002" s="30"/>
      <c r="M1002" s="22">
        <f>2000/100*60</f>
        <v>1200</v>
      </c>
      <c r="N1002" s="22">
        <f t="shared" ref="N1002" si="341">2500/100*60</f>
        <v>1500</v>
      </c>
      <c r="O1002" s="22">
        <f>2500/100*60</f>
        <v>1500</v>
      </c>
      <c r="P1002" s="151"/>
    </row>
    <row r="1003" spans="2:16" ht="15" customHeight="1" outlineLevel="1" x14ac:dyDescent="0.2">
      <c r="B1003" s="166"/>
      <c r="C1003" s="166"/>
      <c r="D1003" s="166"/>
      <c r="E1003" s="166"/>
      <c r="F1003" s="166"/>
      <c r="G1003" s="166"/>
      <c r="H1003" s="95" t="s">
        <v>6</v>
      </c>
      <c r="I1003" s="54">
        <f>SUM(J1003:O1003)</f>
        <v>1330</v>
      </c>
      <c r="J1003" s="30"/>
      <c r="K1003" s="30"/>
      <c r="L1003" s="30"/>
      <c r="M1003" s="22">
        <f>2000/100*19</f>
        <v>380</v>
      </c>
      <c r="N1003" s="22">
        <f t="shared" ref="N1003" si="342">2500/100*19</f>
        <v>475</v>
      </c>
      <c r="O1003" s="22">
        <f>2500/100*19</f>
        <v>475</v>
      </c>
      <c r="P1003" s="151"/>
    </row>
    <row r="1004" spans="2:16" ht="15" customHeight="1" outlineLevel="1" x14ac:dyDescent="0.2">
      <c r="B1004" s="166"/>
      <c r="C1004" s="166"/>
      <c r="D1004" s="166"/>
      <c r="E1004" s="166"/>
      <c r="F1004" s="166"/>
      <c r="G1004" s="166"/>
      <c r="H1004" s="95" t="s">
        <v>5</v>
      </c>
      <c r="I1004" s="54">
        <f>SUM(J1004:O1004)</f>
        <v>1470</v>
      </c>
      <c r="J1004" s="30"/>
      <c r="K1004" s="30"/>
      <c r="L1004" s="30"/>
      <c r="M1004" s="22">
        <f>2000/100*21</f>
        <v>420</v>
      </c>
      <c r="N1004" s="22">
        <f t="shared" ref="N1004" si="343">2500/100*21</f>
        <v>525</v>
      </c>
      <c r="O1004" s="22">
        <f>2500/100*21</f>
        <v>525</v>
      </c>
      <c r="P1004" s="152"/>
    </row>
    <row r="1005" spans="2:16" ht="42.75" outlineLevel="1" x14ac:dyDescent="0.2">
      <c r="B1005" s="166" t="s">
        <v>1941</v>
      </c>
      <c r="C1005" s="166"/>
      <c r="D1005" s="166" t="s">
        <v>575</v>
      </c>
      <c r="E1005" s="166" t="s">
        <v>61</v>
      </c>
      <c r="F1005" s="166"/>
      <c r="G1005" s="166" t="s">
        <v>1940</v>
      </c>
      <c r="H1005" s="95" t="s">
        <v>3</v>
      </c>
      <c r="I1005" s="54">
        <f t="shared" ref="I1005:I1012" si="344">SUM(J1005:O1005)</f>
        <v>50</v>
      </c>
      <c r="J1005" s="30"/>
      <c r="K1005" s="30"/>
      <c r="L1005" s="30">
        <f>SUM(L1006:L1008)</f>
        <v>20</v>
      </c>
      <c r="M1005" s="30">
        <v>30</v>
      </c>
      <c r="N1005" s="30"/>
      <c r="O1005" s="30"/>
      <c r="P1005" s="150">
        <v>100000</v>
      </c>
    </row>
    <row r="1006" spans="2:16" ht="15" customHeight="1" outlineLevel="1" x14ac:dyDescent="0.2">
      <c r="B1006" s="166"/>
      <c r="C1006" s="166"/>
      <c r="D1006" s="166"/>
      <c r="E1006" s="166"/>
      <c r="F1006" s="166"/>
      <c r="G1006" s="166"/>
      <c r="H1006" s="95" t="s">
        <v>4</v>
      </c>
      <c r="I1006" s="54">
        <f t="shared" si="344"/>
        <v>30</v>
      </c>
      <c r="J1006" s="30"/>
      <c r="K1006" s="30"/>
      <c r="L1006" s="30">
        <f>20/100*60</f>
        <v>12</v>
      </c>
      <c r="M1006" s="30">
        <f>30/100*60</f>
        <v>18</v>
      </c>
      <c r="N1006" s="30"/>
      <c r="O1006" s="30"/>
      <c r="P1006" s="151"/>
    </row>
    <row r="1007" spans="2:16" ht="15" customHeight="1" outlineLevel="1" x14ac:dyDescent="0.2">
      <c r="B1007" s="166"/>
      <c r="C1007" s="166"/>
      <c r="D1007" s="166"/>
      <c r="E1007" s="166"/>
      <c r="F1007" s="166"/>
      <c r="G1007" s="166"/>
      <c r="H1007" s="95" t="s">
        <v>6</v>
      </c>
      <c r="I1007" s="54">
        <f t="shared" si="344"/>
        <v>9.5</v>
      </c>
      <c r="J1007" s="30"/>
      <c r="K1007" s="30"/>
      <c r="L1007" s="30">
        <f>20/100*19</f>
        <v>3.8000000000000003</v>
      </c>
      <c r="M1007" s="30">
        <f>30/100*19</f>
        <v>5.7</v>
      </c>
      <c r="N1007" s="30"/>
      <c r="O1007" s="30"/>
      <c r="P1007" s="151"/>
    </row>
    <row r="1008" spans="2:16" ht="15" customHeight="1" outlineLevel="1" x14ac:dyDescent="0.2">
      <c r="B1008" s="166"/>
      <c r="C1008" s="166"/>
      <c r="D1008" s="166"/>
      <c r="E1008" s="166"/>
      <c r="F1008" s="166"/>
      <c r="G1008" s="166"/>
      <c r="H1008" s="95" t="s">
        <v>5</v>
      </c>
      <c r="I1008" s="54">
        <f t="shared" si="344"/>
        <v>10.5</v>
      </c>
      <c r="J1008" s="30"/>
      <c r="K1008" s="30"/>
      <c r="L1008" s="30">
        <f>20/100*21</f>
        <v>4.2</v>
      </c>
      <c r="M1008" s="30">
        <f>30/100*21</f>
        <v>6.3</v>
      </c>
      <c r="N1008" s="30"/>
      <c r="O1008" s="30"/>
      <c r="P1008" s="152"/>
    </row>
    <row r="1009" spans="2:16" ht="42.75" outlineLevel="1" x14ac:dyDescent="0.2">
      <c r="B1009" s="166" t="s">
        <v>1942</v>
      </c>
      <c r="C1009" s="166"/>
      <c r="D1009" s="166" t="s">
        <v>1212</v>
      </c>
      <c r="E1009" s="150">
        <v>2021</v>
      </c>
      <c r="F1009" s="166" t="s">
        <v>1943</v>
      </c>
      <c r="G1009" s="166" t="s">
        <v>1764</v>
      </c>
      <c r="H1009" s="95" t="s">
        <v>3</v>
      </c>
      <c r="I1009" s="54">
        <f t="shared" si="344"/>
        <v>60.499999999999993</v>
      </c>
      <c r="J1009" s="41"/>
      <c r="K1009" s="41">
        <f>SUM(K1010:K1012)</f>
        <v>60.499999999999993</v>
      </c>
      <c r="L1009" s="41"/>
      <c r="M1009" s="41"/>
      <c r="N1009" s="41"/>
      <c r="O1009" s="41"/>
      <c r="P1009" s="150">
        <v>500000</v>
      </c>
    </row>
    <row r="1010" spans="2:16" ht="15" customHeight="1" outlineLevel="1" x14ac:dyDescent="0.2">
      <c r="B1010" s="166"/>
      <c r="C1010" s="166"/>
      <c r="D1010" s="166"/>
      <c r="E1010" s="151"/>
      <c r="F1010" s="166"/>
      <c r="G1010" s="166"/>
      <c r="H1010" s="95" t="s">
        <v>4</v>
      </c>
      <c r="I1010" s="54">
        <f t="shared" si="344"/>
        <v>36.299999999999997</v>
      </c>
      <c r="J1010" s="41"/>
      <c r="K1010" s="30">
        <f>60.5/100*60</f>
        <v>36.299999999999997</v>
      </c>
      <c r="L1010" s="41"/>
      <c r="M1010" s="41"/>
      <c r="N1010" s="41"/>
      <c r="O1010" s="41"/>
      <c r="P1010" s="151"/>
    </row>
    <row r="1011" spans="2:16" ht="15" customHeight="1" outlineLevel="1" x14ac:dyDescent="0.2">
      <c r="B1011" s="166"/>
      <c r="C1011" s="166"/>
      <c r="D1011" s="166"/>
      <c r="E1011" s="151"/>
      <c r="F1011" s="166"/>
      <c r="G1011" s="166"/>
      <c r="H1011" s="95" t="s">
        <v>6</v>
      </c>
      <c r="I1011" s="54">
        <f t="shared" si="344"/>
        <v>11.494999999999999</v>
      </c>
      <c r="J1011" s="41"/>
      <c r="K1011" s="30">
        <f>60.5/100*19</f>
        <v>11.494999999999999</v>
      </c>
      <c r="L1011" s="41"/>
      <c r="M1011" s="41"/>
      <c r="N1011" s="41"/>
      <c r="O1011" s="41"/>
      <c r="P1011" s="151"/>
    </row>
    <row r="1012" spans="2:16" ht="15" customHeight="1" outlineLevel="1" x14ac:dyDescent="0.2">
      <c r="B1012" s="166"/>
      <c r="C1012" s="166"/>
      <c r="D1012" s="166"/>
      <c r="E1012" s="152"/>
      <c r="F1012" s="166"/>
      <c r="G1012" s="166"/>
      <c r="H1012" s="95" t="s">
        <v>5</v>
      </c>
      <c r="I1012" s="54">
        <f t="shared" si="344"/>
        <v>12.705</v>
      </c>
      <c r="J1012" s="41"/>
      <c r="K1012" s="30">
        <f>60.5/100*21</f>
        <v>12.705</v>
      </c>
      <c r="L1012" s="41"/>
      <c r="M1012" s="41"/>
      <c r="N1012" s="41"/>
      <c r="O1012" s="41"/>
      <c r="P1012" s="152"/>
    </row>
    <row r="1013" spans="2:16" ht="42.75" outlineLevel="1" x14ac:dyDescent="0.2">
      <c r="B1013" s="166" t="s">
        <v>1944</v>
      </c>
      <c r="C1013" s="166"/>
      <c r="D1013" s="166" t="s">
        <v>1212</v>
      </c>
      <c r="E1013" s="166" t="s">
        <v>61</v>
      </c>
      <c r="F1013" s="166" t="s">
        <v>1945</v>
      </c>
      <c r="G1013" s="166" t="s">
        <v>1764</v>
      </c>
      <c r="H1013" s="95" t="s">
        <v>3</v>
      </c>
      <c r="I1013" s="54">
        <f>SUM(J1013:O1013)</f>
        <v>251.11999999999998</v>
      </c>
      <c r="J1013" s="41"/>
      <c r="K1013" s="41"/>
      <c r="L1013" s="41">
        <f>SUM(L1014:L1016)</f>
        <v>125.55999999999999</v>
      </c>
      <c r="M1013" s="41">
        <f>SUM(M1014:M1016)</f>
        <v>125.55999999999999</v>
      </c>
      <c r="N1013" s="41"/>
      <c r="O1013" s="41"/>
      <c r="P1013" s="150">
        <v>200000</v>
      </c>
    </row>
    <row r="1014" spans="2:16" ht="15" customHeight="1" outlineLevel="1" x14ac:dyDescent="0.2">
      <c r="B1014" s="166"/>
      <c r="C1014" s="166"/>
      <c r="D1014" s="166"/>
      <c r="E1014" s="166"/>
      <c r="F1014" s="166"/>
      <c r="G1014" s="166"/>
      <c r="H1014" s="95" t="s">
        <v>4</v>
      </c>
      <c r="I1014" s="54">
        <f>SUM(J1014:O1014)</f>
        <v>150.672</v>
      </c>
      <c r="J1014" s="41"/>
      <c r="K1014" s="41"/>
      <c r="L1014" s="30">
        <f>125.56/100*60</f>
        <v>75.335999999999999</v>
      </c>
      <c r="M1014" s="30">
        <f>125.56/100*60</f>
        <v>75.335999999999999</v>
      </c>
      <c r="N1014" s="41"/>
      <c r="O1014" s="41"/>
      <c r="P1014" s="151"/>
    </row>
    <row r="1015" spans="2:16" ht="15" customHeight="1" outlineLevel="1" x14ac:dyDescent="0.2">
      <c r="B1015" s="166"/>
      <c r="C1015" s="166"/>
      <c r="D1015" s="166"/>
      <c r="E1015" s="166"/>
      <c r="F1015" s="166"/>
      <c r="G1015" s="166"/>
      <c r="H1015" s="95" t="s">
        <v>6</v>
      </c>
      <c r="I1015" s="54">
        <f>SUM(J1015:O1015)</f>
        <v>47.712800000000001</v>
      </c>
      <c r="J1015" s="41"/>
      <c r="K1015" s="41"/>
      <c r="L1015" s="30">
        <f>125.56/100*19</f>
        <v>23.856400000000001</v>
      </c>
      <c r="M1015" s="30">
        <f>125.56/100*19</f>
        <v>23.856400000000001</v>
      </c>
      <c r="N1015" s="41"/>
      <c r="O1015" s="41"/>
      <c r="P1015" s="151"/>
    </row>
    <row r="1016" spans="2:16" ht="15" customHeight="1" outlineLevel="1" x14ac:dyDescent="0.2">
      <c r="B1016" s="166"/>
      <c r="C1016" s="166"/>
      <c r="D1016" s="166"/>
      <c r="E1016" s="166"/>
      <c r="F1016" s="166"/>
      <c r="G1016" s="166"/>
      <c r="H1016" s="95" t="s">
        <v>5</v>
      </c>
      <c r="I1016" s="54">
        <f>SUM(J1016:O1016)</f>
        <v>52.735199999999999</v>
      </c>
      <c r="J1016" s="41"/>
      <c r="K1016" s="41"/>
      <c r="L1016" s="30">
        <f>125.56/100*21</f>
        <v>26.367599999999999</v>
      </c>
      <c r="M1016" s="30">
        <f>125.56/100*21</f>
        <v>26.367599999999999</v>
      </c>
      <c r="N1016" s="41"/>
      <c r="O1016" s="41"/>
      <c r="P1016" s="152"/>
    </row>
    <row r="1017" spans="2:16" ht="42.75" outlineLevel="1" x14ac:dyDescent="0.2">
      <c r="B1017" s="166" t="s">
        <v>1946</v>
      </c>
      <c r="C1017" s="166"/>
      <c r="D1017" s="166" t="s">
        <v>1212</v>
      </c>
      <c r="E1017" s="166">
        <v>2022</v>
      </c>
      <c r="F1017" s="166" t="s">
        <v>1947</v>
      </c>
      <c r="G1017" s="166" t="s">
        <v>1764</v>
      </c>
      <c r="H1017" s="95" t="s">
        <v>3</v>
      </c>
      <c r="I1017" s="54">
        <f t="shared" ref="I1017:I1024" si="345">SUM(J1017:O1017)</f>
        <v>44.33</v>
      </c>
      <c r="J1017" s="41"/>
      <c r="K1017" s="41"/>
      <c r="L1017" s="41">
        <f>SUM(L1018:L1020)</f>
        <v>44.33</v>
      </c>
      <c r="M1017" s="41"/>
      <c r="N1017" s="41"/>
      <c r="O1017" s="41"/>
      <c r="P1017" s="150">
        <v>50000</v>
      </c>
    </row>
    <row r="1018" spans="2:16" ht="15" customHeight="1" outlineLevel="1" x14ac:dyDescent="0.2">
      <c r="B1018" s="166"/>
      <c r="C1018" s="166"/>
      <c r="D1018" s="166"/>
      <c r="E1018" s="166"/>
      <c r="F1018" s="166"/>
      <c r="G1018" s="166"/>
      <c r="H1018" s="95" t="s">
        <v>4</v>
      </c>
      <c r="I1018" s="54">
        <f t="shared" si="345"/>
        <v>26.597999999999999</v>
      </c>
      <c r="J1018" s="41"/>
      <c r="K1018" s="41"/>
      <c r="L1018" s="30">
        <f>44.33/100*60</f>
        <v>26.597999999999999</v>
      </c>
      <c r="M1018" s="41"/>
      <c r="N1018" s="41"/>
      <c r="O1018" s="41"/>
      <c r="P1018" s="151"/>
    </row>
    <row r="1019" spans="2:16" ht="15" customHeight="1" outlineLevel="1" x14ac:dyDescent="0.2">
      <c r="B1019" s="166"/>
      <c r="C1019" s="166"/>
      <c r="D1019" s="166"/>
      <c r="E1019" s="166"/>
      <c r="F1019" s="166"/>
      <c r="G1019" s="166"/>
      <c r="H1019" s="95" t="s">
        <v>6</v>
      </c>
      <c r="I1019" s="54">
        <f t="shared" si="345"/>
        <v>8.422699999999999</v>
      </c>
      <c r="J1019" s="41"/>
      <c r="K1019" s="41"/>
      <c r="L1019" s="30">
        <f>44.33/100*19</f>
        <v>8.422699999999999</v>
      </c>
      <c r="M1019" s="41"/>
      <c r="N1019" s="41"/>
      <c r="O1019" s="41"/>
      <c r="P1019" s="151"/>
    </row>
    <row r="1020" spans="2:16" ht="15" customHeight="1" outlineLevel="1" x14ac:dyDescent="0.2">
      <c r="B1020" s="166"/>
      <c r="C1020" s="166"/>
      <c r="D1020" s="166"/>
      <c r="E1020" s="166"/>
      <c r="F1020" s="166"/>
      <c r="G1020" s="166"/>
      <c r="H1020" s="95" t="s">
        <v>5</v>
      </c>
      <c r="I1020" s="54">
        <f t="shared" si="345"/>
        <v>9.3092999999999986</v>
      </c>
      <c r="J1020" s="41"/>
      <c r="K1020" s="41"/>
      <c r="L1020" s="30">
        <f>44.33/100*21</f>
        <v>9.3092999999999986</v>
      </c>
      <c r="M1020" s="41"/>
      <c r="N1020" s="41"/>
      <c r="O1020" s="41"/>
      <c r="P1020" s="152"/>
    </row>
    <row r="1021" spans="2:16" ht="42.75" outlineLevel="1" x14ac:dyDescent="0.2">
      <c r="B1021" s="166" t="s">
        <v>1948</v>
      </c>
      <c r="C1021" s="166"/>
      <c r="D1021" s="166" t="s">
        <v>1212</v>
      </c>
      <c r="E1021" s="150">
        <v>2021</v>
      </c>
      <c r="F1021" s="166" t="s">
        <v>1945</v>
      </c>
      <c r="G1021" s="166" t="s">
        <v>1764</v>
      </c>
      <c r="H1021" s="95" t="s">
        <v>3</v>
      </c>
      <c r="I1021" s="54">
        <f t="shared" si="345"/>
        <v>75.98</v>
      </c>
      <c r="J1021" s="41"/>
      <c r="K1021" s="41">
        <f>SUM(K1022:K1024)</f>
        <v>75.98</v>
      </c>
      <c r="L1021" s="41"/>
      <c r="M1021" s="41"/>
      <c r="N1021" s="41"/>
      <c r="O1021" s="41"/>
      <c r="P1021" s="150">
        <v>50000</v>
      </c>
    </row>
    <row r="1022" spans="2:16" ht="15" customHeight="1" outlineLevel="1" x14ac:dyDescent="0.2">
      <c r="B1022" s="166"/>
      <c r="C1022" s="166"/>
      <c r="D1022" s="166"/>
      <c r="E1022" s="151"/>
      <c r="F1022" s="166"/>
      <c r="G1022" s="166"/>
      <c r="H1022" s="95" t="s">
        <v>4</v>
      </c>
      <c r="I1022" s="54">
        <f t="shared" si="345"/>
        <v>45.588000000000001</v>
      </c>
      <c r="J1022" s="41"/>
      <c r="K1022" s="30">
        <f>75.98/100*60</f>
        <v>45.588000000000001</v>
      </c>
      <c r="L1022" s="41"/>
      <c r="M1022" s="41"/>
      <c r="N1022" s="41"/>
      <c r="O1022" s="41"/>
      <c r="P1022" s="151"/>
    </row>
    <row r="1023" spans="2:16" ht="15" customHeight="1" outlineLevel="1" x14ac:dyDescent="0.2">
      <c r="B1023" s="166"/>
      <c r="C1023" s="166"/>
      <c r="D1023" s="166"/>
      <c r="E1023" s="151"/>
      <c r="F1023" s="166"/>
      <c r="G1023" s="166"/>
      <c r="H1023" s="95" t="s">
        <v>6</v>
      </c>
      <c r="I1023" s="54">
        <f t="shared" si="345"/>
        <v>14.436200000000001</v>
      </c>
      <c r="J1023" s="41"/>
      <c r="K1023" s="30">
        <f>75.98/100*19</f>
        <v>14.436200000000001</v>
      </c>
      <c r="L1023" s="41"/>
      <c r="M1023" s="41"/>
      <c r="N1023" s="41"/>
      <c r="O1023" s="41"/>
      <c r="P1023" s="151"/>
    </row>
    <row r="1024" spans="2:16" ht="15" customHeight="1" outlineLevel="1" x14ac:dyDescent="0.2">
      <c r="B1024" s="166"/>
      <c r="C1024" s="166"/>
      <c r="D1024" s="166"/>
      <c r="E1024" s="152"/>
      <c r="F1024" s="166"/>
      <c r="G1024" s="166"/>
      <c r="H1024" s="95" t="s">
        <v>5</v>
      </c>
      <c r="I1024" s="54">
        <f t="shared" si="345"/>
        <v>15.9558</v>
      </c>
      <c r="J1024" s="41"/>
      <c r="K1024" s="30">
        <f>75.98/100*21</f>
        <v>15.9558</v>
      </c>
      <c r="L1024" s="41"/>
      <c r="M1024" s="41"/>
      <c r="N1024" s="41"/>
      <c r="O1024" s="41"/>
      <c r="P1024" s="152"/>
    </row>
    <row r="1025" spans="2:16" ht="42.75" outlineLevel="1" x14ac:dyDescent="0.2">
      <c r="B1025" s="166" t="s">
        <v>1949</v>
      </c>
      <c r="C1025" s="166"/>
      <c r="D1025" s="166" t="s">
        <v>1212</v>
      </c>
      <c r="E1025" s="166" t="s">
        <v>1950</v>
      </c>
      <c r="F1025" s="166"/>
      <c r="G1025" s="166" t="s">
        <v>1764</v>
      </c>
      <c r="H1025" s="95" t="s">
        <v>3</v>
      </c>
      <c r="I1025" s="54">
        <f>SUM(J1025:O1025)</f>
        <v>138.79999999999998</v>
      </c>
      <c r="J1025" s="41">
        <f t="shared" ref="J1025:N1025" si="346">J1026+J1027+J1028</f>
        <v>2.7</v>
      </c>
      <c r="K1025" s="41">
        <f t="shared" si="346"/>
        <v>3.0999999999999996</v>
      </c>
      <c r="L1025" s="41">
        <f t="shared" si="346"/>
        <v>73.099999999999994</v>
      </c>
      <c r="M1025" s="41">
        <f t="shared" si="346"/>
        <v>33.200000000000003</v>
      </c>
      <c r="N1025" s="41">
        <f t="shared" si="346"/>
        <v>13.3</v>
      </c>
      <c r="O1025" s="41">
        <f>O1026+O1027+O1028</f>
        <v>13.400000000000002</v>
      </c>
      <c r="P1025" s="150">
        <v>2000</v>
      </c>
    </row>
    <row r="1026" spans="2:16" ht="15" customHeight="1" outlineLevel="1" x14ac:dyDescent="0.2">
      <c r="B1026" s="166"/>
      <c r="C1026" s="166"/>
      <c r="D1026" s="166"/>
      <c r="E1026" s="166"/>
      <c r="F1026" s="166"/>
      <c r="G1026" s="166"/>
      <c r="H1026" s="95" t="s">
        <v>4</v>
      </c>
      <c r="I1026" s="54">
        <f>SUM(J1026:O1026)</f>
        <v>83.28</v>
      </c>
      <c r="J1026" s="30">
        <f>2.7/100*60</f>
        <v>1.62</v>
      </c>
      <c r="K1026" s="30">
        <f>3.1/100*60</f>
        <v>1.8599999999999999</v>
      </c>
      <c r="L1026" s="30">
        <f>73.1/100*60</f>
        <v>43.86</v>
      </c>
      <c r="M1026" s="30">
        <f>33.2/100*60</f>
        <v>19.920000000000002</v>
      </c>
      <c r="N1026" s="30">
        <f>13.3/100*60</f>
        <v>7.98</v>
      </c>
      <c r="O1026" s="30">
        <f>13.4/100*60</f>
        <v>8.0400000000000009</v>
      </c>
      <c r="P1026" s="151"/>
    </row>
    <row r="1027" spans="2:16" ht="15" customHeight="1" outlineLevel="1" x14ac:dyDescent="0.2">
      <c r="B1027" s="166"/>
      <c r="C1027" s="166"/>
      <c r="D1027" s="166"/>
      <c r="E1027" s="166"/>
      <c r="F1027" s="166"/>
      <c r="G1027" s="166"/>
      <c r="H1027" s="95" t="s">
        <v>6</v>
      </c>
      <c r="I1027" s="54">
        <f>SUM(J1027:O1027)</f>
        <v>26.372</v>
      </c>
      <c r="J1027" s="30">
        <f>2.7/100*19</f>
        <v>0.51300000000000001</v>
      </c>
      <c r="K1027" s="30">
        <f>3.1/100*19</f>
        <v>0.58899999999999997</v>
      </c>
      <c r="L1027" s="30">
        <f>73.1/100*19</f>
        <v>13.888999999999999</v>
      </c>
      <c r="M1027" s="30">
        <f>33.2/100*19</f>
        <v>6.3080000000000007</v>
      </c>
      <c r="N1027" s="30">
        <f>13.3/100*19</f>
        <v>2.5270000000000001</v>
      </c>
      <c r="O1027" s="30">
        <f>13.4/100*19</f>
        <v>2.5460000000000003</v>
      </c>
      <c r="P1027" s="151"/>
    </row>
    <row r="1028" spans="2:16" ht="15" customHeight="1" outlineLevel="1" x14ac:dyDescent="0.2">
      <c r="B1028" s="166"/>
      <c r="C1028" s="166"/>
      <c r="D1028" s="166"/>
      <c r="E1028" s="166"/>
      <c r="F1028" s="166"/>
      <c r="G1028" s="166"/>
      <c r="H1028" s="95" t="s">
        <v>5</v>
      </c>
      <c r="I1028" s="54">
        <f>SUM(J1028:O1028)</f>
        <v>29.148</v>
      </c>
      <c r="J1028" s="30">
        <f>2.7/100*21</f>
        <v>0.56700000000000006</v>
      </c>
      <c r="K1028" s="30">
        <f>3.1/100*21</f>
        <v>0.65100000000000002</v>
      </c>
      <c r="L1028" s="30">
        <f>73.1/100*21</f>
        <v>15.350999999999999</v>
      </c>
      <c r="M1028" s="30">
        <f>33.2/100*21</f>
        <v>6.9720000000000004</v>
      </c>
      <c r="N1028" s="30">
        <f>13.3/100*21</f>
        <v>2.7930000000000001</v>
      </c>
      <c r="O1028" s="30">
        <f>13.4/100*21</f>
        <v>2.8140000000000001</v>
      </c>
      <c r="P1028" s="152"/>
    </row>
    <row r="1029" spans="2:16" ht="42.75" outlineLevel="1" x14ac:dyDescent="0.2">
      <c r="B1029" s="166" t="s">
        <v>1951</v>
      </c>
      <c r="C1029" s="166"/>
      <c r="D1029" s="166" t="s">
        <v>1212</v>
      </c>
      <c r="E1029" s="166">
        <v>2021</v>
      </c>
      <c r="F1029" s="166" t="s">
        <v>1952</v>
      </c>
      <c r="G1029" s="166" t="s">
        <v>1764</v>
      </c>
      <c r="H1029" s="95" t="s">
        <v>3</v>
      </c>
      <c r="I1029" s="54">
        <f t="shared" ref="I1029:I1040" si="347">SUM(J1029:O1029)</f>
        <v>212.00000000000003</v>
      </c>
      <c r="J1029" s="41"/>
      <c r="K1029" s="41">
        <f>SUM(K1030:K1032)</f>
        <v>212.00000000000003</v>
      </c>
      <c r="L1029" s="41"/>
      <c r="M1029" s="41"/>
      <c r="N1029" s="41"/>
      <c r="O1029" s="41"/>
      <c r="P1029" s="150">
        <v>500000</v>
      </c>
    </row>
    <row r="1030" spans="2:16" ht="15" customHeight="1" outlineLevel="1" x14ac:dyDescent="0.2">
      <c r="B1030" s="166"/>
      <c r="C1030" s="166"/>
      <c r="D1030" s="166"/>
      <c r="E1030" s="166"/>
      <c r="F1030" s="166"/>
      <c r="G1030" s="166"/>
      <c r="H1030" s="95" t="s">
        <v>4</v>
      </c>
      <c r="I1030" s="54">
        <f t="shared" si="347"/>
        <v>127.2</v>
      </c>
      <c r="J1030" s="41"/>
      <c r="K1030" s="30">
        <f>212/100*60</f>
        <v>127.2</v>
      </c>
      <c r="L1030" s="41"/>
      <c r="M1030" s="41"/>
      <c r="N1030" s="41"/>
      <c r="O1030" s="41"/>
      <c r="P1030" s="151"/>
    </row>
    <row r="1031" spans="2:16" ht="15" customHeight="1" outlineLevel="1" x14ac:dyDescent="0.2">
      <c r="B1031" s="166"/>
      <c r="C1031" s="166"/>
      <c r="D1031" s="166"/>
      <c r="E1031" s="166"/>
      <c r="F1031" s="166"/>
      <c r="G1031" s="166"/>
      <c r="H1031" s="95" t="s">
        <v>6</v>
      </c>
      <c r="I1031" s="54">
        <f t="shared" si="347"/>
        <v>40.28</v>
      </c>
      <c r="J1031" s="41"/>
      <c r="K1031" s="30">
        <f>212/100*19</f>
        <v>40.28</v>
      </c>
      <c r="L1031" s="41"/>
      <c r="M1031" s="41"/>
      <c r="N1031" s="41"/>
      <c r="O1031" s="41"/>
      <c r="P1031" s="151"/>
    </row>
    <row r="1032" spans="2:16" ht="15" customHeight="1" outlineLevel="1" x14ac:dyDescent="0.2">
      <c r="B1032" s="166"/>
      <c r="C1032" s="166"/>
      <c r="D1032" s="166"/>
      <c r="E1032" s="166"/>
      <c r="F1032" s="166"/>
      <c r="G1032" s="166"/>
      <c r="H1032" s="95" t="s">
        <v>5</v>
      </c>
      <c r="I1032" s="54">
        <f t="shared" si="347"/>
        <v>44.52</v>
      </c>
      <c r="J1032" s="41"/>
      <c r="K1032" s="30">
        <f>212/100*21</f>
        <v>44.52</v>
      </c>
      <c r="L1032" s="41"/>
      <c r="M1032" s="41"/>
      <c r="N1032" s="41"/>
      <c r="O1032" s="41"/>
      <c r="P1032" s="152"/>
    </row>
    <row r="1033" spans="2:16" ht="42.75" outlineLevel="1" x14ac:dyDescent="0.2">
      <c r="B1033" s="166" t="s">
        <v>1953</v>
      </c>
      <c r="C1033" s="166"/>
      <c r="D1033" s="166" t="s">
        <v>1212</v>
      </c>
      <c r="E1033" s="150" t="s">
        <v>209</v>
      </c>
      <c r="F1033" s="166" t="s">
        <v>1945</v>
      </c>
      <c r="G1033" s="166" t="s">
        <v>1764</v>
      </c>
      <c r="H1033" s="95" t="s">
        <v>3</v>
      </c>
      <c r="I1033" s="54">
        <f t="shared" si="347"/>
        <v>350.99999999999994</v>
      </c>
      <c r="J1033" s="41"/>
      <c r="K1033" s="41"/>
      <c r="L1033" s="41"/>
      <c r="M1033" s="41">
        <f>SUM(M1034:M1036)</f>
        <v>175.49999999999997</v>
      </c>
      <c r="N1033" s="41">
        <f>SUM(N1034:N1036)</f>
        <v>175.49999999999997</v>
      </c>
      <c r="O1033" s="102"/>
      <c r="P1033" s="150">
        <v>60000</v>
      </c>
    </row>
    <row r="1034" spans="2:16" ht="15" customHeight="1" outlineLevel="1" x14ac:dyDescent="0.2">
      <c r="B1034" s="166"/>
      <c r="C1034" s="166"/>
      <c r="D1034" s="166"/>
      <c r="E1034" s="151"/>
      <c r="F1034" s="166"/>
      <c r="G1034" s="166"/>
      <c r="H1034" s="95" t="s">
        <v>4</v>
      </c>
      <c r="I1034" s="54">
        <f t="shared" si="347"/>
        <v>210.6</v>
      </c>
      <c r="J1034" s="41"/>
      <c r="K1034" s="41"/>
      <c r="L1034" s="41"/>
      <c r="M1034" s="30">
        <f>175.5/100*60</f>
        <v>105.3</v>
      </c>
      <c r="N1034" s="30">
        <f>175.5/100*60</f>
        <v>105.3</v>
      </c>
      <c r="O1034" s="41"/>
      <c r="P1034" s="151"/>
    </row>
    <row r="1035" spans="2:16" ht="15" customHeight="1" outlineLevel="1" x14ac:dyDescent="0.2">
      <c r="B1035" s="166"/>
      <c r="C1035" s="166"/>
      <c r="D1035" s="166"/>
      <c r="E1035" s="151"/>
      <c r="F1035" s="166"/>
      <c r="G1035" s="166"/>
      <c r="H1035" s="95" t="s">
        <v>6</v>
      </c>
      <c r="I1035" s="54">
        <f t="shared" si="347"/>
        <v>66.69</v>
      </c>
      <c r="J1035" s="41"/>
      <c r="K1035" s="41"/>
      <c r="L1035" s="41"/>
      <c r="M1035" s="30">
        <f>175.5/100*19</f>
        <v>33.344999999999999</v>
      </c>
      <c r="N1035" s="30">
        <f>175.5/100*19</f>
        <v>33.344999999999999</v>
      </c>
      <c r="O1035" s="41"/>
      <c r="P1035" s="151"/>
    </row>
    <row r="1036" spans="2:16" ht="15" customHeight="1" outlineLevel="1" x14ac:dyDescent="0.2">
      <c r="B1036" s="166"/>
      <c r="C1036" s="166"/>
      <c r="D1036" s="166"/>
      <c r="E1036" s="152"/>
      <c r="F1036" s="166"/>
      <c r="G1036" s="166"/>
      <c r="H1036" s="95" t="s">
        <v>5</v>
      </c>
      <c r="I1036" s="54">
        <f t="shared" si="347"/>
        <v>73.709999999999994</v>
      </c>
      <c r="J1036" s="41"/>
      <c r="K1036" s="41"/>
      <c r="L1036" s="41"/>
      <c r="M1036" s="30">
        <f>175.5/100*21</f>
        <v>36.854999999999997</v>
      </c>
      <c r="N1036" s="30">
        <f>175.5/100*21</f>
        <v>36.854999999999997</v>
      </c>
      <c r="O1036" s="41"/>
      <c r="P1036" s="152"/>
    </row>
    <row r="1037" spans="2:16" ht="42.75" outlineLevel="1" x14ac:dyDescent="0.2">
      <c r="B1037" s="166" t="s">
        <v>1954</v>
      </c>
      <c r="C1037" s="166"/>
      <c r="D1037" s="166" t="s">
        <v>1212</v>
      </c>
      <c r="E1037" s="166" t="s">
        <v>73</v>
      </c>
      <c r="F1037" s="166" t="s">
        <v>1955</v>
      </c>
      <c r="G1037" s="166" t="s">
        <v>1764</v>
      </c>
      <c r="H1037" s="95" t="s">
        <v>3</v>
      </c>
      <c r="I1037" s="54">
        <f t="shared" si="347"/>
        <v>1000</v>
      </c>
      <c r="J1037" s="41"/>
      <c r="K1037" s="41">
        <f>SUM(K1038:K1040)</f>
        <v>200</v>
      </c>
      <c r="L1037" s="41">
        <f>SUM(L1038:L1040)</f>
        <v>200</v>
      </c>
      <c r="M1037" s="41">
        <f>SUM(M1038:M1040)</f>
        <v>200</v>
      </c>
      <c r="N1037" s="41">
        <f>SUM(N1038:N1040)</f>
        <v>200</v>
      </c>
      <c r="O1037" s="41">
        <f>SUM(O1038:O1040)</f>
        <v>200</v>
      </c>
      <c r="P1037" s="150">
        <v>500000</v>
      </c>
    </row>
    <row r="1038" spans="2:16" ht="15" customHeight="1" outlineLevel="1" x14ac:dyDescent="0.2">
      <c r="B1038" s="166"/>
      <c r="C1038" s="166"/>
      <c r="D1038" s="166"/>
      <c r="E1038" s="166"/>
      <c r="F1038" s="166"/>
      <c r="G1038" s="166"/>
      <c r="H1038" s="95" t="s">
        <v>4</v>
      </c>
      <c r="I1038" s="54">
        <f t="shared" si="347"/>
        <v>600</v>
      </c>
      <c r="J1038" s="41"/>
      <c r="K1038" s="30">
        <f t="shared" ref="K1038:N1038" si="348">200/100*60</f>
        <v>120</v>
      </c>
      <c r="L1038" s="30">
        <f t="shared" si="348"/>
        <v>120</v>
      </c>
      <c r="M1038" s="30">
        <f t="shared" si="348"/>
        <v>120</v>
      </c>
      <c r="N1038" s="30">
        <f t="shared" si="348"/>
        <v>120</v>
      </c>
      <c r="O1038" s="30">
        <f>200/100*60</f>
        <v>120</v>
      </c>
      <c r="P1038" s="151"/>
    </row>
    <row r="1039" spans="2:16" ht="15" customHeight="1" outlineLevel="1" x14ac:dyDescent="0.2">
      <c r="B1039" s="166"/>
      <c r="C1039" s="166"/>
      <c r="D1039" s="166"/>
      <c r="E1039" s="166"/>
      <c r="F1039" s="166"/>
      <c r="G1039" s="166"/>
      <c r="H1039" s="95" t="s">
        <v>6</v>
      </c>
      <c r="I1039" s="54">
        <f t="shared" si="347"/>
        <v>190</v>
      </c>
      <c r="J1039" s="41"/>
      <c r="K1039" s="30">
        <f t="shared" ref="K1039:N1039" si="349">200/100*19</f>
        <v>38</v>
      </c>
      <c r="L1039" s="30">
        <f t="shared" si="349"/>
        <v>38</v>
      </c>
      <c r="M1039" s="30">
        <f t="shared" si="349"/>
        <v>38</v>
      </c>
      <c r="N1039" s="30">
        <f t="shared" si="349"/>
        <v>38</v>
      </c>
      <c r="O1039" s="30">
        <f>200/100*19</f>
        <v>38</v>
      </c>
      <c r="P1039" s="151"/>
    </row>
    <row r="1040" spans="2:16" ht="15" customHeight="1" outlineLevel="1" x14ac:dyDescent="0.2">
      <c r="B1040" s="166"/>
      <c r="C1040" s="166"/>
      <c r="D1040" s="166"/>
      <c r="E1040" s="166"/>
      <c r="F1040" s="166"/>
      <c r="G1040" s="166"/>
      <c r="H1040" s="95" t="s">
        <v>5</v>
      </c>
      <c r="I1040" s="54">
        <f t="shared" si="347"/>
        <v>210</v>
      </c>
      <c r="J1040" s="41"/>
      <c r="K1040" s="30">
        <f t="shared" ref="K1040:N1040" si="350">200/100*21</f>
        <v>42</v>
      </c>
      <c r="L1040" s="30">
        <f t="shared" si="350"/>
        <v>42</v>
      </c>
      <c r="M1040" s="30">
        <f t="shared" si="350"/>
        <v>42</v>
      </c>
      <c r="N1040" s="30">
        <f t="shared" si="350"/>
        <v>42</v>
      </c>
      <c r="O1040" s="30">
        <f>200/100*21</f>
        <v>42</v>
      </c>
      <c r="P1040" s="152"/>
    </row>
    <row r="1041" spans="2:18" ht="42.75" outlineLevel="1" x14ac:dyDescent="0.2">
      <c r="B1041" s="166" t="s">
        <v>1956</v>
      </c>
      <c r="C1041" s="166"/>
      <c r="D1041" s="166" t="s">
        <v>1212</v>
      </c>
      <c r="E1041" s="150" t="s">
        <v>73</v>
      </c>
      <c r="F1041" s="166"/>
      <c r="G1041" s="166" t="s">
        <v>1764</v>
      </c>
      <c r="H1041" s="95" t="s">
        <v>3</v>
      </c>
      <c r="I1041" s="54">
        <f t="shared" ref="I1041:I1044" si="351">SUM(J1041:O1041)</f>
        <v>246</v>
      </c>
      <c r="J1041" s="41">
        <f t="shared" ref="J1041:N1041" si="352">J1042+J1043+J1044</f>
        <v>0</v>
      </c>
      <c r="K1041" s="41">
        <f t="shared" si="352"/>
        <v>47.999999999999993</v>
      </c>
      <c r="L1041" s="41">
        <f t="shared" si="352"/>
        <v>47.999999999999993</v>
      </c>
      <c r="M1041" s="41">
        <f t="shared" si="352"/>
        <v>50</v>
      </c>
      <c r="N1041" s="41">
        <f t="shared" si="352"/>
        <v>50</v>
      </c>
      <c r="O1041" s="41">
        <f>O1042+O1043+O1044</f>
        <v>50</v>
      </c>
      <c r="P1041" s="150">
        <v>2000</v>
      </c>
    </row>
    <row r="1042" spans="2:18" ht="15" customHeight="1" outlineLevel="1" x14ac:dyDescent="0.2">
      <c r="B1042" s="166"/>
      <c r="C1042" s="166"/>
      <c r="D1042" s="166"/>
      <c r="E1042" s="151"/>
      <c r="F1042" s="166"/>
      <c r="G1042" s="166"/>
      <c r="H1042" s="95" t="s">
        <v>4</v>
      </c>
      <c r="I1042" s="54">
        <f t="shared" si="351"/>
        <v>147.6</v>
      </c>
      <c r="J1042" s="41"/>
      <c r="K1042" s="30">
        <f>48/100*60</f>
        <v>28.799999999999997</v>
      </c>
      <c r="L1042" s="30">
        <f>48/100*60</f>
        <v>28.799999999999997</v>
      </c>
      <c r="M1042" s="30">
        <f t="shared" ref="M1042:N1042" si="353">50/100*60</f>
        <v>30</v>
      </c>
      <c r="N1042" s="30">
        <f t="shared" si="353"/>
        <v>30</v>
      </c>
      <c r="O1042" s="30">
        <f>50/100*60</f>
        <v>30</v>
      </c>
      <c r="P1042" s="151"/>
    </row>
    <row r="1043" spans="2:18" ht="15" customHeight="1" outlineLevel="1" x14ac:dyDescent="0.2">
      <c r="B1043" s="166"/>
      <c r="C1043" s="166"/>
      <c r="D1043" s="166"/>
      <c r="E1043" s="151"/>
      <c r="F1043" s="166"/>
      <c r="G1043" s="166"/>
      <c r="H1043" s="95" t="s">
        <v>6</v>
      </c>
      <c r="I1043" s="54">
        <f t="shared" si="351"/>
        <v>46.739999999999995</v>
      </c>
      <c r="J1043" s="41"/>
      <c r="K1043" s="30">
        <f>48/100*19</f>
        <v>9.1199999999999992</v>
      </c>
      <c r="L1043" s="30">
        <f>48/100*19</f>
        <v>9.1199999999999992</v>
      </c>
      <c r="M1043" s="30">
        <f t="shared" ref="M1043:N1043" si="354">50/100*19</f>
        <v>9.5</v>
      </c>
      <c r="N1043" s="30">
        <f t="shared" si="354"/>
        <v>9.5</v>
      </c>
      <c r="O1043" s="30">
        <f>50/100*19</f>
        <v>9.5</v>
      </c>
      <c r="P1043" s="151"/>
    </row>
    <row r="1044" spans="2:18" ht="15" customHeight="1" outlineLevel="1" x14ac:dyDescent="0.2">
      <c r="B1044" s="166"/>
      <c r="C1044" s="166"/>
      <c r="D1044" s="166"/>
      <c r="E1044" s="152"/>
      <c r="F1044" s="166"/>
      <c r="G1044" s="166"/>
      <c r="H1044" s="95" t="s">
        <v>5</v>
      </c>
      <c r="I1044" s="54">
        <f t="shared" si="351"/>
        <v>51.66</v>
      </c>
      <c r="J1044" s="41"/>
      <c r="K1044" s="30">
        <f>48/100*21</f>
        <v>10.08</v>
      </c>
      <c r="L1044" s="30">
        <f>48/100*21</f>
        <v>10.08</v>
      </c>
      <c r="M1044" s="30">
        <f t="shared" ref="M1044:N1044" si="355">50/100*21</f>
        <v>10.5</v>
      </c>
      <c r="N1044" s="30">
        <f t="shared" si="355"/>
        <v>10.5</v>
      </c>
      <c r="O1044" s="30">
        <f>50/100*21</f>
        <v>10.5</v>
      </c>
      <c r="P1044" s="152"/>
    </row>
    <row r="1045" spans="2:18" ht="42.75" outlineLevel="1" x14ac:dyDescent="0.2">
      <c r="B1045" s="166" t="s">
        <v>1957</v>
      </c>
      <c r="C1045" s="166"/>
      <c r="D1045" s="166" t="s">
        <v>1212</v>
      </c>
      <c r="E1045" s="150" t="s">
        <v>73</v>
      </c>
      <c r="F1045" s="166"/>
      <c r="G1045" s="166" t="s">
        <v>1764</v>
      </c>
      <c r="H1045" s="95" t="s">
        <v>3</v>
      </c>
      <c r="I1045" s="54">
        <f>SUM(J1045:O1045)</f>
        <v>800</v>
      </c>
      <c r="J1045" s="30"/>
      <c r="K1045" s="30">
        <f>SUM(K1046:K1048)</f>
        <v>160</v>
      </c>
      <c r="L1045" s="30">
        <f>SUM(L1046:L1048)</f>
        <v>160</v>
      </c>
      <c r="M1045" s="30">
        <f>SUM(M1046:M1048)</f>
        <v>160</v>
      </c>
      <c r="N1045" s="30">
        <f>SUM(N1046:N1048)</f>
        <v>160</v>
      </c>
      <c r="O1045" s="30">
        <f>SUM(O1046:O1048)</f>
        <v>160</v>
      </c>
      <c r="P1045" s="150"/>
    </row>
    <row r="1046" spans="2:18" ht="15" customHeight="1" outlineLevel="1" x14ac:dyDescent="0.2">
      <c r="B1046" s="166"/>
      <c r="C1046" s="166"/>
      <c r="D1046" s="166"/>
      <c r="E1046" s="151"/>
      <c r="F1046" s="166"/>
      <c r="G1046" s="166"/>
      <c r="H1046" s="95" t="s">
        <v>4</v>
      </c>
      <c r="I1046" s="54">
        <f>SUM(J1046:O1046)</f>
        <v>480</v>
      </c>
      <c r="J1046" s="103"/>
      <c r="K1046" s="30">
        <f t="shared" ref="K1046:N1046" si="356">160/100*60</f>
        <v>96</v>
      </c>
      <c r="L1046" s="30">
        <f t="shared" si="356"/>
        <v>96</v>
      </c>
      <c r="M1046" s="30">
        <f t="shared" si="356"/>
        <v>96</v>
      </c>
      <c r="N1046" s="30">
        <f t="shared" si="356"/>
        <v>96</v>
      </c>
      <c r="O1046" s="30">
        <f>160/100*60</f>
        <v>96</v>
      </c>
      <c r="P1046" s="151"/>
    </row>
    <row r="1047" spans="2:18" ht="15" customHeight="1" outlineLevel="1" x14ac:dyDescent="0.2">
      <c r="B1047" s="166"/>
      <c r="C1047" s="166"/>
      <c r="D1047" s="166"/>
      <c r="E1047" s="151"/>
      <c r="F1047" s="166"/>
      <c r="G1047" s="166"/>
      <c r="H1047" s="95" t="s">
        <v>6</v>
      </c>
      <c r="I1047" s="54">
        <f>SUM(J1047:O1047)</f>
        <v>152</v>
      </c>
      <c r="J1047" s="103"/>
      <c r="K1047" s="30">
        <f t="shared" ref="K1047:N1047" si="357">160/100*19</f>
        <v>30.400000000000002</v>
      </c>
      <c r="L1047" s="30">
        <f t="shared" si="357"/>
        <v>30.400000000000002</v>
      </c>
      <c r="M1047" s="30">
        <f t="shared" si="357"/>
        <v>30.400000000000002</v>
      </c>
      <c r="N1047" s="30">
        <f t="shared" si="357"/>
        <v>30.400000000000002</v>
      </c>
      <c r="O1047" s="30">
        <f>160/100*19</f>
        <v>30.400000000000002</v>
      </c>
      <c r="P1047" s="151"/>
    </row>
    <row r="1048" spans="2:18" ht="15" customHeight="1" outlineLevel="1" x14ac:dyDescent="0.2">
      <c r="B1048" s="166"/>
      <c r="C1048" s="166"/>
      <c r="D1048" s="166"/>
      <c r="E1048" s="152"/>
      <c r="F1048" s="166"/>
      <c r="G1048" s="166"/>
      <c r="H1048" s="95" t="s">
        <v>5</v>
      </c>
      <c r="I1048" s="54">
        <f>SUM(J1048:O1048)</f>
        <v>168</v>
      </c>
      <c r="J1048" s="30"/>
      <c r="K1048" s="30">
        <f t="shared" ref="K1048:N1048" si="358">160/100*21</f>
        <v>33.6</v>
      </c>
      <c r="L1048" s="30">
        <f t="shared" si="358"/>
        <v>33.6</v>
      </c>
      <c r="M1048" s="30">
        <f t="shared" si="358"/>
        <v>33.6</v>
      </c>
      <c r="N1048" s="30">
        <f t="shared" si="358"/>
        <v>33.6</v>
      </c>
      <c r="O1048" s="30">
        <f>160/100*21</f>
        <v>33.6</v>
      </c>
      <c r="P1048" s="152"/>
    </row>
    <row r="1049" spans="2:18" ht="42.75" x14ac:dyDescent="0.2">
      <c r="B1049" s="128" t="s">
        <v>76</v>
      </c>
      <c r="C1049" s="128" t="s">
        <v>38</v>
      </c>
      <c r="D1049" s="128" t="s">
        <v>38</v>
      </c>
      <c r="E1049" s="128" t="s">
        <v>38</v>
      </c>
      <c r="F1049" s="128" t="s">
        <v>38</v>
      </c>
      <c r="G1049" s="128" t="s">
        <v>38</v>
      </c>
      <c r="H1049" s="95" t="s">
        <v>3</v>
      </c>
      <c r="I1049" s="14">
        <f>SUMIF($H$877:$H$1048,"Объем*",I$877:I$1048)</f>
        <v>16377.380390000002</v>
      </c>
      <c r="J1049" s="14">
        <f t="shared" ref="J1049:O1049" si="359">SUMIF($H$877:$H$1048,"Объем*",J$877:J$1048)</f>
        <v>172.95999999999998</v>
      </c>
      <c r="K1049" s="14">
        <f t="shared" si="359"/>
        <v>2527.6414</v>
      </c>
      <c r="L1049" s="14">
        <f t="shared" si="359"/>
        <v>2310.6646899999996</v>
      </c>
      <c r="M1049" s="14">
        <f t="shared" si="359"/>
        <v>3960.5143000000003</v>
      </c>
      <c r="N1049" s="14">
        <f t="shared" si="359"/>
        <v>3790.5</v>
      </c>
      <c r="O1049" s="14">
        <f t="shared" si="359"/>
        <v>3615.1</v>
      </c>
      <c r="P1049" s="128"/>
      <c r="Q1049" s="7"/>
      <c r="R1049" s="7"/>
    </row>
    <row r="1050" spans="2:18" ht="15.75" x14ac:dyDescent="0.2">
      <c r="B1050" s="129"/>
      <c r="C1050" s="129"/>
      <c r="D1050" s="129"/>
      <c r="E1050" s="129"/>
      <c r="F1050" s="129"/>
      <c r="G1050" s="129"/>
      <c r="H1050" s="95" t="s">
        <v>4</v>
      </c>
      <c r="I1050" s="14">
        <f>SUMIF($H$877:$H$1048,"фед*",I$877:I$1048)</f>
        <v>8242.6722340000015</v>
      </c>
      <c r="J1050" s="14">
        <f t="shared" ref="J1050:O1050" si="360">SUMIF($H$877:$H$1048,"фед*",J$877:J$1048)</f>
        <v>86.42</v>
      </c>
      <c r="K1050" s="14">
        <f t="shared" si="360"/>
        <v>1148.3408399999998</v>
      </c>
      <c r="L1050" s="14">
        <f t="shared" si="360"/>
        <v>1078.0428139999999</v>
      </c>
      <c r="M1050" s="14">
        <f t="shared" si="360"/>
        <v>2133.9485800000002</v>
      </c>
      <c r="N1050" s="14">
        <f t="shared" si="360"/>
        <v>1950.58</v>
      </c>
      <c r="O1050" s="14">
        <f t="shared" si="360"/>
        <v>1845.34</v>
      </c>
      <c r="P1050" s="129"/>
      <c r="Q1050" s="7"/>
    </row>
    <row r="1051" spans="2:18" ht="15.75" x14ac:dyDescent="0.2">
      <c r="B1051" s="129"/>
      <c r="C1051" s="129"/>
      <c r="D1051" s="129"/>
      <c r="E1051" s="129"/>
      <c r="F1051" s="129"/>
      <c r="G1051" s="129"/>
      <c r="H1051" s="95" t="s">
        <v>6</v>
      </c>
      <c r="I1051" s="14">
        <f>SUMIF($H$877:$H$1048,"конс*",I$877:I$1048)</f>
        <v>4970.3991575</v>
      </c>
      <c r="J1051" s="14">
        <f t="shared" ref="J1051:O1051" si="361">SUMIF($H$877:$H$1048,"конс*",J$877:J$1048)</f>
        <v>84.893000000000001</v>
      </c>
      <c r="K1051" s="14">
        <f t="shared" si="361"/>
        <v>896.53604940000014</v>
      </c>
      <c r="L1051" s="14">
        <f t="shared" si="361"/>
        <v>808.45939110000006</v>
      </c>
      <c r="M1051" s="14">
        <f t="shared" si="361"/>
        <v>1035.4927170000001</v>
      </c>
      <c r="N1051" s="14">
        <f t="shared" si="361"/>
        <v>1089.1720000000003</v>
      </c>
      <c r="O1051" s="14">
        <f t="shared" si="361"/>
        <v>1055.8460000000002</v>
      </c>
      <c r="P1051" s="129"/>
      <c r="Q1051" s="7"/>
    </row>
    <row r="1052" spans="2:18" ht="15.75" x14ac:dyDescent="0.2">
      <c r="B1052" s="130"/>
      <c r="C1052" s="130"/>
      <c r="D1052" s="130"/>
      <c r="E1052" s="130"/>
      <c r="F1052" s="130"/>
      <c r="G1052" s="130"/>
      <c r="H1052" s="95" t="s">
        <v>5</v>
      </c>
      <c r="I1052" s="14">
        <f>SUMIF($H$877:$H$1048,"вне*",I$877:I$1048)</f>
        <v>3164.3089985000001</v>
      </c>
      <c r="J1052" s="14">
        <f t="shared" ref="J1052:O1052" si="362">SUMIF($H$877:$H$1048,"вне*",J$877:J$1048)</f>
        <v>1.6470000000000002</v>
      </c>
      <c r="K1052" s="14">
        <f t="shared" si="362"/>
        <v>482.76451059999994</v>
      </c>
      <c r="L1052" s="14">
        <f t="shared" si="362"/>
        <v>424.16248489999992</v>
      </c>
      <c r="M1052" s="14">
        <f t="shared" si="362"/>
        <v>791.07300299999997</v>
      </c>
      <c r="N1052" s="14">
        <f t="shared" si="362"/>
        <v>750.74800000000005</v>
      </c>
      <c r="O1052" s="14">
        <f t="shared" si="362"/>
        <v>713.91399999999999</v>
      </c>
      <c r="P1052" s="130"/>
      <c r="Q1052" s="7"/>
    </row>
    <row r="1053" spans="2:18" ht="25.5" customHeight="1" x14ac:dyDescent="0.2">
      <c r="B1053" s="111" t="s">
        <v>602</v>
      </c>
      <c r="C1053" s="112"/>
      <c r="D1053" s="112"/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3"/>
      <c r="Q1053" s="15"/>
    </row>
    <row r="1054" spans="2:18" ht="45" customHeight="1" outlineLevel="1" x14ac:dyDescent="0.2">
      <c r="B1054" s="117" t="s">
        <v>932</v>
      </c>
      <c r="C1054" s="117"/>
      <c r="D1054" s="117" t="s">
        <v>604</v>
      </c>
      <c r="E1054" s="117">
        <v>2020</v>
      </c>
      <c r="F1054" s="117" t="s">
        <v>933</v>
      </c>
      <c r="G1054" s="117" t="s">
        <v>138</v>
      </c>
      <c r="H1054" s="95" t="s">
        <v>3</v>
      </c>
      <c r="I1054" s="94">
        <f>SUM(J1054:O1054)</f>
        <v>53.6</v>
      </c>
      <c r="J1054" s="94">
        <f t="shared" ref="J1054:O1054" si="363">J1055+J1056+J1057</f>
        <v>3</v>
      </c>
      <c r="K1054" s="94">
        <f t="shared" si="363"/>
        <v>50.6</v>
      </c>
      <c r="L1054" s="94">
        <f t="shared" si="363"/>
        <v>0</v>
      </c>
      <c r="M1054" s="94">
        <f t="shared" si="363"/>
        <v>0</v>
      </c>
      <c r="N1054" s="94">
        <f t="shared" si="363"/>
        <v>0</v>
      </c>
      <c r="O1054" s="94">
        <f t="shared" si="363"/>
        <v>0</v>
      </c>
      <c r="P1054" s="117">
        <v>2277</v>
      </c>
    </row>
    <row r="1055" spans="2:18" ht="17.25" outlineLevel="1" x14ac:dyDescent="0.2">
      <c r="B1055" s="118"/>
      <c r="C1055" s="132"/>
      <c r="D1055" s="118"/>
      <c r="E1055" s="118"/>
      <c r="F1055" s="118"/>
      <c r="G1055" s="118"/>
      <c r="H1055" s="95" t="s">
        <v>4</v>
      </c>
      <c r="I1055" s="52"/>
      <c r="J1055" s="52"/>
      <c r="K1055" s="52"/>
      <c r="L1055" s="52"/>
      <c r="M1055" s="52"/>
      <c r="N1055" s="52"/>
      <c r="O1055" s="52"/>
      <c r="P1055" s="118"/>
    </row>
    <row r="1056" spans="2:18" ht="17.25" outlineLevel="1" x14ac:dyDescent="0.2">
      <c r="B1056" s="118"/>
      <c r="C1056" s="132"/>
      <c r="D1056" s="118"/>
      <c r="E1056" s="118"/>
      <c r="F1056" s="118"/>
      <c r="G1056" s="118"/>
      <c r="H1056" s="95" t="s">
        <v>6</v>
      </c>
      <c r="I1056" s="94">
        <f>SUM(J1056:O1056)</f>
        <v>53.6</v>
      </c>
      <c r="J1056" s="94">
        <v>3</v>
      </c>
      <c r="K1056" s="2">
        <v>50.6</v>
      </c>
      <c r="L1056" s="52"/>
      <c r="M1056" s="52"/>
      <c r="N1056" s="52"/>
      <c r="O1056" s="52"/>
      <c r="P1056" s="118"/>
    </row>
    <row r="1057" spans="2:16" ht="17.25" outlineLevel="1" x14ac:dyDescent="0.2">
      <c r="B1057" s="119"/>
      <c r="C1057" s="133"/>
      <c r="D1057" s="119"/>
      <c r="E1057" s="119"/>
      <c r="F1057" s="119"/>
      <c r="G1057" s="119"/>
      <c r="H1057" s="95" t="s">
        <v>5</v>
      </c>
      <c r="I1057" s="52"/>
      <c r="J1057" s="52"/>
      <c r="K1057" s="52"/>
      <c r="L1057" s="52"/>
      <c r="M1057" s="52"/>
      <c r="N1057" s="52"/>
      <c r="O1057" s="52"/>
      <c r="P1057" s="119"/>
    </row>
    <row r="1058" spans="2:16" ht="44.25" customHeight="1" outlineLevel="1" x14ac:dyDescent="0.2">
      <c r="B1058" s="117" t="s">
        <v>934</v>
      </c>
      <c r="C1058" s="117"/>
      <c r="D1058" s="117" t="s">
        <v>604</v>
      </c>
      <c r="E1058" s="117">
        <v>2020</v>
      </c>
      <c r="F1058" s="117" t="s">
        <v>935</v>
      </c>
      <c r="G1058" s="117" t="s">
        <v>138</v>
      </c>
      <c r="H1058" s="95" t="s">
        <v>3</v>
      </c>
      <c r="I1058" s="94">
        <f>SUM(J1058:O1058)</f>
        <v>29.700000000000003</v>
      </c>
      <c r="J1058" s="94">
        <f t="shared" ref="J1058:O1058" si="364">J1059+J1060+J1061</f>
        <v>4.0999999999999996</v>
      </c>
      <c r="K1058" s="94">
        <f t="shared" si="364"/>
        <v>25.6</v>
      </c>
      <c r="L1058" s="94">
        <f t="shared" si="364"/>
        <v>0</v>
      </c>
      <c r="M1058" s="94">
        <f t="shared" si="364"/>
        <v>0</v>
      </c>
      <c r="N1058" s="94">
        <f t="shared" si="364"/>
        <v>0</v>
      </c>
      <c r="O1058" s="94">
        <f t="shared" si="364"/>
        <v>0</v>
      </c>
      <c r="P1058" s="117"/>
    </row>
    <row r="1059" spans="2:16" ht="17.25" outlineLevel="1" x14ac:dyDescent="0.2">
      <c r="B1059" s="118"/>
      <c r="C1059" s="132"/>
      <c r="D1059" s="118"/>
      <c r="E1059" s="118"/>
      <c r="F1059" s="118"/>
      <c r="G1059" s="118"/>
      <c r="H1059" s="95" t="s">
        <v>4</v>
      </c>
      <c r="I1059" s="52"/>
      <c r="J1059" s="52"/>
      <c r="K1059" s="52"/>
      <c r="L1059" s="52"/>
      <c r="M1059" s="52"/>
      <c r="N1059" s="52"/>
      <c r="O1059" s="52"/>
      <c r="P1059" s="118"/>
    </row>
    <row r="1060" spans="2:16" ht="17.25" outlineLevel="1" x14ac:dyDescent="0.2">
      <c r="B1060" s="118"/>
      <c r="C1060" s="132"/>
      <c r="D1060" s="118"/>
      <c r="E1060" s="118"/>
      <c r="F1060" s="118"/>
      <c r="G1060" s="118"/>
      <c r="H1060" s="95" t="s">
        <v>6</v>
      </c>
      <c r="I1060" s="94">
        <f>SUM(J1060:O1060)</f>
        <v>29.700000000000003</v>
      </c>
      <c r="J1060" s="52">
        <v>4.0999999999999996</v>
      </c>
      <c r="K1060" s="52">
        <v>25.6</v>
      </c>
      <c r="L1060" s="52"/>
      <c r="M1060" s="52"/>
      <c r="N1060" s="52"/>
      <c r="O1060" s="52"/>
      <c r="P1060" s="118"/>
    </row>
    <row r="1061" spans="2:16" ht="17.25" outlineLevel="1" x14ac:dyDescent="0.2">
      <c r="B1061" s="119"/>
      <c r="C1061" s="133"/>
      <c r="D1061" s="119"/>
      <c r="E1061" s="119"/>
      <c r="F1061" s="119"/>
      <c r="G1061" s="119"/>
      <c r="H1061" s="95" t="s">
        <v>5</v>
      </c>
      <c r="I1061" s="52"/>
      <c r="J1061" s="52"/>
      <c r="K1061" s="52"/>
      <c r="L1061" s="52"/>
      <c r="M1061" s="52"/>
      <c r="N1061" s="52"/>
      <c r="O1061" s="52"/>
      <c r="P1061" s="119"/>
    </row>
    <row r="1062" spans="2:16" ht="39.75" customHeight="1" outlineLevel="1" x14ac:dyDescent="0.2">
      <c r="B1062" s="117" t="s">
        <v>936</v>
      </c>
      <c r="C1062" s="117"/>
      <c r="D1062" s="117" t="s">
        <v>604</v>
      </c>
      <c r="E1062" s="117">
        <v>2020</v>
      </c>
      <c r="F1062" s="117" t="s">
        <v>937</v>
      </c>
      <c r="G1062" s="117" t="s">
        <v>138</v>
      </c>
      <c r="H1062" s="95" t="s">
        <v>3</v>
      </c>
      <c r="I1062" s="94">
        <f>SUM(J1062:O1062)</f>
        <v>48.7</v>
      </c>
      <c r="J1062" s="94">
        <f t="shared" ref="J1062:O1062" si="365">J1063+J1064+J1065</f>
        <v>4.0999999999999996</v>
      </c>
      <c r="K1062" s="94">
        <f t="shared" si="365"/>
        <v>44.6</v>
      </c>
      <c r="L1062" s="94">
        <f t="shared" si="365"/>
        <v>0</v>
      </c>
      <c r="M1062" s="94">
        <f t="shared" si="365"/>
        <v>0</v>
      </c>
      <c r="N1062" s="94">
        <f t="shared" si="365"/>
        <v>0</v>
      </c>
      <c r="O1062" s="94">
        <f t="shared" si="365"/>
        <v>0</v>
      </c>
      <c r="P1062" s="117"/>
    </row>
    <row r="1063" spans="2:16" ht="17.25" outlineLevel="1" x14ac:dyDescent="0.2">
      <c r="B1063" s="118"/>
      <c r="C1063" s="132"/>
      <c r="D1063" s="118"/>
      <c r="E1063" s="118"/>
      <c r="F1063" s="118"/>
      <c r="G1063" s="118"/>
      <c r="H1063" s="95" t="s">
        <v>4</v>
      </c>
      <c r="I1063" s="52"/>
      <c r="J1063" s="52"/>
      <c r="K1063" s="52"/>
      <c r="L1063" s="52"/>
      <c r="M1063" s="52"/>
      <c r="N1063" s="52"/>
      <c r="O1063" s="52"/>
      <c r="P1063" s="118"/>
    </row>
    <row r="1064" spans="2:16" ht="17.25" outlineLevel="1" x14ac:dyDescent="0.2">
      <c r="B1064" s="118"/>
      <c r="C1064" s="132"/>
      <c r="D1064" s="118"/>
      <c r="E1064" s="118"/>
      <c r="F1064" s="118"/>
      <c r="G1064" s="118"/>
      <c r="H1064" s="95" t="s">
        <v>6</v>
      </c>
      <c r="I1064" s="94">
        <f>SUM(J1064:O1064)</f>
        <v>48.7</v>
      </c>
      <c r="J1064" s="52">
        <v>4.0999999999999996</v>
      </c>
      <c r="K1064" s="52">
        <v>44.6</v>
      </c>
      <c r="L1064" s="52"/>
      <c r="M1064" s="52"/>
      <c r="N1064" s="52"/>
      <c r="O1064" s="52"/>
      <c r="P1064" s="118"/>
    </row>
    <row r="1065" spans="2:16" ht="17.25" outlineLevel="1" x14ac:dyDescent="0.2">
      <c r="B1065" s="119"/>
      <c r="C1065" s="133"/>
      <c r="D1065" s="119"/>
      <c r="E1065" s="119"/>
      <c r="F1065" s="119"/>
      <c r="G1065" s="119"/>
      <c r="H1065" s="95" t="s">
        <v>5</v>
      </c>
      <c r="I1065" s="52"/>
      <c r="J1065" s="52"/>
      <c r="K1065" s="52"/>
      <c r="L1065" s="52"/>
      <c r="M1065" s="52"/>
      <c r="N1065" s="52"/>
      <c r="O1065" s="52"/>
      <c r="P1065" s="119"/>
    </row>
    <row r="1066" spans="2:16" ht="42.75" outlineLevel="1" x14ac:dyDescent="0.2">
      <c r="B1066" s="117" t="s">
        <v>938</v>
      </c>
      <c r="C1066" s="117"/>
      <c r="D1066" s="117" t="s">
        <v>604</v>
      </c>
      <c r="E1066" s="117">
        <v>2020</v>
      </c>
      <c r="F1066" s="117" t="s">
        <v>939</v>
      </c>
      <c r="G1066" s="117" t="s">
        <v>138</v>
      </c>
      <c r="H1066" s="95" t="s">
        <v>3</v>
      </c>
      <c r="I1066" s="94">
        <f>SUM(J1066:O1066)</f>
        <v>53.8</v>
      </c>
      <c r="J1066" s="94">
        <f t="shared" ref="J1066:O1066" si="366">J1067+J1068+J1069</f>
        <v>4.8</v>
      </c>
      <c r="K1066" s="94">
        <f t="shared" si="366"/>
        <v>49</v>
      </c>
      <c r="L1066" s="94">
        <f t="shared" si="366"/>
        <v>0</v>
      </c>
      <c r="M1066" s="94">
        <f t="shared" si="366"/>
        <v>0</v>
      </c>
      <c r="N1066" s="94">
        <f t="shared" si="366"/>
        <v>0</v>
      </c>
      <c r="O1066" s="94">
        <f t="shared" si="366"/>
        <v>0</v>
      </c>
      <c r="P1066" s="117"/>
    </row>
    <row r="1067" spans="2:16" ht="19.5" customHeight="1" outlineLevel="1" x14ac:dyDescent="0.2">
      <c r="B1067" s="118"/>
      <c r="C1067" s="132"/>
      <c r="D1067" s="118"/>
      <c r="E1067" s="118"/>
      <c r="F1067" s="118"/>
      <c r="G1067" s="118"/>
      <c r="H1067" s="95" t="s">
        <v>4</v>
      </c>
      <c r="I1067" s="52"/>
      <c r="J1067" s="52"/>
      <c r="K1067" s="52"/>
      <c r="L1067" s="52"/>
      <c r="M1067" s="52"/>
      <c r="N1067" s="52"/>
      <c r="O1067" s="52"/>
      <c r="P1067" s="118"/>
    </row>
    <row r="1068" spans="2:16" ht="18.75" customHeight="1" outlineLevel="1" x14ac:dyDescent="0.2">
      <c r="B1068" s="118"/>
      <c r="C1068" s="132"/>
      <c r="D1068" s="118"/>
      <c r="E1068" s="118"/>
      <c r="F1068" s="118"/>
      <c r="G1068" s="118"/>
      <c r="H1068" s="95" t="s">
        <v>6</v>
      </c>
      <c r="I1068" s="94">
        <f>SUM(J1068:O1068)</f>
        <v>53.8</v>
      </c>
      <c r="J1068" s="52">
        <v>4.8</v>
      </c>
      <c r="K1068" s="52">
        <v>49</v>
      </c>
      <c r="L1068" s="52"/>
      <c r="M1068" s="52"/>
      <c r="N1068" s="52"/>
      <c r="O1068" s="52"/>
      <c r="P1068" s="118"/>
    </row>
    <row r="1069" spans="2:16" ht="17.25" outlineLevel="1" x14ac:dyDescent="0.2">
      <c r="B1069" s="119"/>
      <c r="C1069" s="133"/>
      <c r="D1069" s="119"/>
      <c r="E1069" s="119"/>
      <c r="F1069" s="119"/>
      <c r="G1069" s="119"/>
      <c r="H1069" s="95" t="s">
        <v>5</v>
      </c>
      <c r="I1069" s="52"/>
      <c r="J1069" s="52"/>
      <c r="K1069" s="52"/>
      <c r="L1069" s="52"/>
      <c r="M1069" s="52"/>
      <c r="N1069" s="52"/>
      <c r="O1069" s="52"/>
      <c r="P1069" s="119"/>
    </row>
    <row r="1070" spans="2:16" ht="42.75" outlineLevel="1" x14ac:dyDescent="0.2">
      <c r="B1070" s="117" t="s">
        <v>940</v>
      </c>
      <c r="C1070" s="117"/>
      <c r="D1070" s="117" t="s">
        <v>604</v>
      </c>
      <c r="E1070" s="117">
        <v>2020</v>
      </c>
      <c r="F1070" s="117" t="s">
        <v>941</v>
      </c>
      <c r="G1070" s="117" t="s">
        <v>138</v>
      </c>
      <c r="H1070" s="95" t="s">
        <v>3</v>
      </c>
      <c r="I1070" s="94">
        <f>SUM(J1070:O1070)</f>
        <v>40.700000000000003</v>
      </c>
      <c r="J1070" s="94">
        <f t="shared" ref="J1070:O1070" si="367">J1071+J1072+J1073</f>
        <v>4.0999999999999996</v>
      </c>
      <c r="K1070" s="94">
        <f t="shared" si="367"/>
        <v>36.6</v>
      </c>
      <c r="L1070" s="94">
        <f t="shared" si="367"/>
        <v>0</v>
      </c>
      <c r="M1070" s="94">
        <f t="shared" si="367"/>
        <v>0</v>
      </c>
      <c r="N1070" s="94">
        <f t="shared" si="367"/>
        <v>0</v>
      </c>
      <c r="O1070" s="94">
        <f t="shared" si="367"/>
        <v>0</v>
      </c>
      <c r="P1070" s="117"/>
    </row>
    <row r="1071" spans="2:16" ht="17.25" outlineLevel="1" x14ac:dyDescent="0.2">
      <c r="B1071" s="118"/>
      <c r="C1071" s="132"/>
      <c r="D1071" s="118"/>
      <c r="E1071" s="118"/>
      <c r="F1071" s="118"/>
      <c r="G1071" s="118"/>
      <c r="H1071" s="95" t="s">
        <v>4</v>
      </c>
      <c r="I1071" s="52"/>
      <c r="J1071" s="52"/>
      <c r="K1071" s="52"/>
      <c r="L1071" s="52"/>
      <c r="M1071" s="52"/>
      <c r="N1071" s="52"/>
      <c r="O1071" s="52"/>
      <c r="P1071" s="118"/>
    </row>
    <row r="1072" spans="2:16" ht="17.25" outlineLevel="1" x14ac:dyDescent="0.2">
      <c r="B1072" s="118"/>
      <c r="C1072" s="132"/>
      <c r="D1072" s="118"/>
      <c r="E1072" s="118"/>
      <c r="F1072" s="118"/>
      <c r="G1072" s="118"/>
      <c r="H1072" s="95" t="s">
        <v>6</v>
      </c>
      <c r="I1072" s="94">
        <f>SUM(J1072:O1072)</f>
        <v>40.700000000000003</v>
      </c>
      <c r="J1072" s="52">
        <v>4.0999999999999996</v>
      </c>
      <c r="K1072" s="52">
        <v>36.6</v>
      </c>
      <c r="L1072" s="52"/>
      <c r="M1072" s="52"/>
      <c r="N1072" s="52"/>
      <c r="O1072" s="52"/>
      <c r="P1072" s="118"/>
    </row>
    <row r="1073" spans="2:18" ht="17.25" outlineLevel="1" x14ac:dyDescent="0.2">
      <c r="B1073" s="119"/>
      <c r="C1073" s="133"/>
      <c r="D1073" s="119"/>
      <c r="E1073" s="119"/>
      <c r="F1073" s="119"/>
      <c r="G1073" s="119"/>
      <c r="H1073" s="95" t="s">
        <v>5</v>
      </c>
      <c r="I1073" s="52"/>
      <c r="J1073" s="52"/>
      <c r="K1073" s="52"/>
      <c r="L1073" s="52"/>
      <c r="M1073" s="52"/>
      <c r="N1073" s="52"/>
      <c r="O1073" s="52"/>
      <c r="P1073" s="119"/>
    </row>
    <row r="1074" spans="2:18" ht="39" customHeight="1" outlineLevel="1" x14ac:dyDescent="0.2">
      <c r="B1074" s="117" t="s">
        <v>942</v>
      </c>
      <c r="C1074" s="117"/>
      <c r="D1074" s="117" t="s">
        <v>604</v>
      </c>
      <c r="E1074" s="117">
        <v>2020</v>
      </c>
      <c r="F1074" s="117" t="s">
        <v>943</v>
      </c>
      <c r="G1074" s="117" t="s">
        <v>138</v>
      </c>
      <c r="H1074" s="95" t="s">
        <v>3</v>
      </c>
      <c r="I1074" s="94">
        <f>SUM(J1074:O1074)</f>
        <v>43.699999999999996</v>
      </c>
      <c r="J1074" s="94">
        <f t="shared" ref="J1074:O1074" si="368">J1075+J1076+J1077</f>
        <v>4.4000000000000004</v>
      </c>
      <c r="K1074" s="94">
        <f t="shared" si="368"/>
        <v>39.299999999999997</v>
      </c>
      <c r="L1074" s="94">
        <f t="shared" si="368"/>
        <v>0</v>
      </c>
      <c r="M1074" s="94">
        <f t="shared" si="368"/>
        <v>0</v>
      </c>
      <c r="N1074" s="94">
        <f t="shared" si="368"/>
        <v>0</v>
      </c>
      <c r="O1074" s="94">
        <f t="shared" si="368"/>
        <v>0</v>
      </c>
      <c r="P1074" s="117"/>
    </row>
    <row r="1075" spans="2:18" ht="17.25" outlineLevel="1" x14ac:dyDescent="0.2">
      <c r="B1075" s="118"/>
      <c r="C1075" s="132"/>
      <c r="D1075" s="118"/>
      <c r="E1075" s="118"/>
      <c r="F1075" s="118"/>
      <c r="G1075" s="118"/>
      <c r="H1075" s="95" t="s">
        <v>4</v>
      </c>
      <c r="I1075" s="52"/>
      <c r="J1075" s="52"/>
      <c r="K1075" s="52"/>
      <c r="L1075" s="52"/>
      <c r="M1075" s="52"/>
      <c r="N1075" s="52"/>
      <c r="O1075" s="52"/>
      <c r="P1075" s="118"/>
    </row>
    <row r="1076" spans="2:18" ht="17.25" outlineLevel="1" x14ac:dyDescent="0.2">
      <c r="B1076" s="118"/>
      <c r="C1076" s="132"/>
      <c r="D1076" s="118"/>
      <c r="E1076" s="118"/>
      <c r="F1076" s="118"/>
      <c r="G1076" s="118"/>
      <c r="H1076" s="95" t="s">
        <v>6</v>
      </c>
      <c r="I1076" s="94">
        <f>SUM(J1076:O1076)</f>
        <v>43.699999999999996</v>
      </c>
      <c r="J1076" s="52">
        <v>4.4000000000000004</v>
      </c>
      <c r="K1076" s="52">
        <v>39.299999999999997</v>
      </c>
      <c r="L1076" s="52"/>
      <c r="M1076" s="52"/>
      <c r="N1076" s="52"/>
      <c r="O1076" s="52"/>
      <c r="P1076" s="118"/>
    </row>
    <row r="1077" spans="2:18" ht="17.25" outlineLevel="1" x14ac:dyDescent="0.2">
      <c r="B1077" s="119"/>
      <c r="C1077" s="133"/>
      <c r="D1077" s="119"/>
      <c r="E1077" s="119"/>
      <c r="F1077" s="119"/>
      <c r="G1077" s="119"/>
      <c r="H1077" s="95" t="s">
        <v>5</v>
      </c>
      <c r="I1077" s="52"/>
      <c r="J1077" s="52"/>
      <c r="K1077" s="52"/>
      <c r="L1077" s="52"/>
      <c r="M1077" s="52"/>
      <c r="N1077" s="52"/>
      <c r="O1077" s="52"/>
      <c r="P1077" s="119"/>
    </row>
    <row r="1078" spans="2:18" ht="39" customHeight="1" outlineLevel="1" x14ac:dyDescent="0.2">
      <c r="B1078" s="117" t="s">
        <v>944</v>
      </c>
      <c r="C1078" s="117"/>
      <c r="D1078" s="117" t="s">
        <v>604</v>
      </c>
      <c r="E1078" s="117" t="s">
        <v>171</v>
      </c>
      <c r="F1078" s="117" t="s">
        <v>945</v>
      </c>
      <c r="G1078" s="117" t="s">
        <v>606</v>
      </c>
      <c r="H1078" s="95" t="s">
        <v>3</v>
      </c>
      <c r="I1078" s="94">
        <f>SUM(J1078:O1078)</f>
        <v>10.7</v>
      </c>
      <c r="J1078" s="94">
        <f t="shared" ref="J1078:O1078" si="369">J1079+J1080+J1081</f>
        <v>0.7</v>
      </c>
      <c r="K1078" s="94">
        <f t="shared" si="369"/>
        <v>2</v>
      </c>
      <c r="L1078" s="94">
        <f t="shared" si="369"/>
        <v>2</v>
      </c>
      <c r="M1078" s="94">
        <f t="shared" si="369"/>
        <v>2</v>
      </c>
      <c r="N1078" s="94">
        <f t="shared" si="369"/>
        <v>2</v>
      </c>
      <c r="O1078" s="94">
        <f t="shared" si="369"/>
        <v>2</v>
      </c>
      <c r="P1078" s="117"/>
    </row>
    <row r="1079" spans="2:18" ht="17.25" outlineLevel="1" x14ac:dyDescent="0.2">
      <c r="B1079" s="118"/>
      <c r="C1079" s="132"/>
      <c r="D1079" s="118"/>
      <c r="E1079" s="118"/>
      <c r="F1079" s="118"/>
      <c r="G1079" s="118"/>
      <c r="H1079" s="95" t="s">
        <v>4</v>
      </c>
      <c r="I1079" s="52"/>
      <c r="J1079" s="52"/>
      <c r="K1079" s="52"/>
      <c r="L1079" s="52"/>
      <c r="M1079" s="52"/>
      <c r="N1079" s="52"/>
      <c r="O1079" s="52"/>
      <c r="P1079" s="118"/>
    </row>
    <row r="1080" spans="2:18" ht="17.25" outlineLevel="1" x14ac:dyDescent="0.2">
      <c r="B1080" s="118"/>
      <c r="C1080" s="132"/>
      <c r="D1080" s="118"/>
      <c r="E1080" s="118"/>
      <c r="F1080" s="118"/>
      <c r="G1080" s="118"/>
      <c r="H1080" s="95" t="s">
        <v>6</v>
      </c>
      <c r="I1080" s="94">
        <f>SUM(J1080:O1080)</f>
        <v>10.7</v>
      </c>
      <c r="J1080" s="52">
        <v>0.7</v>
      </c>
      <c r="K1080" s="52">
        <v>2</v>
      </c>
      <c r="L1080" s="52">
        <v>2</v>
      </c>
      <c r="M1080" s="52">
        <v>2</v>
      </c>
      <c r="N1080" s="52">
        <v>2</v>
      </c>
      <c r="O1080" s="52">
        <v>2</v>
      </c>
      <c r="P1080" s="118"/>
    </row>
    <row r="1081" spans="2:18" ht="17.25" outlineLevel="1" x14ac:dyDescent="0.2">
      <c r="B1081" s="119"/>
      <c r="C1081" s="133"/>
      <c r="D1081" s="119"/>
      <c r="E1081" s="119"/>
      <c r="F1081" s="119"/>
      <c r="G1081" s="119"/>
      <c r="H1081" s="95" t="s">
        <v>5</v>
      </c>
      <c r="I1081" s="52"/>
      <c r="J1081" s="52"/>
      <c r="K1081" s="52"/>
      <c r="L1081" s="52"/>
      <c r="M1081" s="52"/>
      <c r="N1081" s="52"/>
      <c r="O1081" s="52"/>
      <c r="P1081" s="119"/>
    </row>
    <row r="1082" spans="2:18" ht="42.75" x14ac:dyDescent="0.2">
      <c r="B1082" s="128" t="s">
        <v>612</v>
      </c>
      <c r="C1082" s="128" t="s">
        <v>38</v>
      </c>
      <c r="D1082" s="128" t="s">
        <v>38</v>
      </c>
      <c r="E1082" s="128" t="s">
        <v>38</v>
      </c>
      <c r="F1082" s="128" t="s">
        <v>38</v>
      </c>
      <c r="G1082" s="128" t="s">
        <v>38</v>
      </c>
      <c r="H1082" s="95" t="s">
        <v>3</v>
      </c>
      <c r="I1082" s="14">
        <f>SUMIF($H$1054:$H$1081,"Объем*",I$1054:I$1081)</f>
        <v>280.89999999999998</v>
      </c>
      <c r="J1082" s="14">
        <f t="shared" ref="J1082:O1082" si="370">SUMIF($H$1054:$H$1081,"Объем*",J$1054:J$1081)</f>
        <v>25.2</v>
      </c>
      <c r="K1082" s="14">
        <f t="shared" si="370"/>
        <v>247.7</v>
      </c>
      <c r="L1082" s="14">
        <f t="shared" si="370"/>
        <v>2</v>
      </c>
      <c r="M1082" s="14">
        <f t="shared" si="370"/>
        <v>2</v>
      </c>
      <c r="N1082" s="14">
        <f t="shared" si="370"/>
        <v>2</v>
      </c>
      <c r="O1082" s="14">
        <f t="shared" si="370"/>
        <v>2</v>
      </c>
      <c r="P1082" s="128"/>
      <c r="Q1082" s="7"/>
      <c r="R1082" s="7"/>
    </row>
    <row r="1083" spans="2:18" ht="15.75" x14ac:dyDescent="0.2">
      <c r="B1083" s="129"/>
      <c r="C1083" s="129"/>
      <c r="D1083" s="129"/>
      <c r="E1083" s="129"/>
      <c r="F1083" s="129"/>
      <c r="G1083" s="129"/>
      <c r="H1083" s="95" t="s">
        <v>4</v>
      </c>
      <c r="I1083" s="14">
        <f>SUMIF($H$1054:$H$1081,"фед*",I$1054:I$1081)</f>
        <v>0</v>
      </c>
      <c r="J1083" s="14">
        <f t="shared" ref="J1083:O1083" si="371">SUMIF($H$1054:$H$1081,"фед*",J$1054:J$1081)</f>
        <v>0</v>
      </c>
      <c r="K1083" s="14">
        <f t="shared" si="371"/>
        <v>0</v>
      </c>
      <c r="L1083" s="14">
        <f t="shared" si="371"/>
        <v>0</v>
      </c>
      <c r="M1083" s="14">
        <f t="shared" si="371"/>
        <v>0</v>
      </c>
      <c r="N1083" s="14">
        <f t="shared" si="371"/>
        <v>0</v>
      </c>
      <c r="O1083" s="14">
        <f t="shared" si="371"/>
        <v>0</v>
      </c>
      <c r="P1083" s="129"/>
      <c r="Q1083" s="7"/>
    </row>
    <row r="1084" spans="2:18" ht="15.75" x14ac:dyDescent="0.2">
      <c r="B1084" s="129"/>
      <c r="C1084" s="129"/>
      <c r="D1084" s="129"/>
      <c r="E1084" s="129"/>
      <c r="F1084" s="129"/>
      <c r="G1084" s="129"/>
      <c r="H1084" s="95" t="s">
        <v>6</v>
      </c>
      <c r="I1084" s="14">
        <f>SUMIF($H$1054:$H$1081,"конс*",I$1054:I$1081)</f>
        <v>280.89999999999998</v>
      </c>
      <c r="J1084" s="14">
        <f t="shared" ref="J1084:O1084" si="372">SUMIF($H$1054:$H$1081,"конс*",J$1054:J$1081)</f>
        <v>25.2</v>
      </c>
      <c r="K1084" s="14">
        <f t="shared" si="372"/>
        <v>247.7</v>
      </c>
      <c r="L1084" s="14">
        <f t="shared" si="372"/>
        <v>2</v>
      </c>
      <c r="M1084" s="14">
        <f t="shared" si="372"/>
        <v>2</v>
      </c>
      <c r="N1084" s="14">
        <f t="shared" si="372"/>
        <v>2</v>
      </c>
      <c r="O1084" s="14">
        <f t="shared" si="372"/>
        <v>2</v>
      </c>
      <c r="P1084" s="129"/>
      <c r="Q1084" s="7"/>
    </row>
    <row r="1085" spans="2:18" ht="15.75" x14ac:dyDescent="0.2">
      <c r="B1085" s="130"/>
      <c r="C1085" s="130"/>
      <c r="D1085" s="130"/>
      <c r="E1085" s="130"/>
      <c r="F1085" s="130"/>
      <c r="G1085" s="130"/>
      <c r="H1085" s="95" t="s">
        <v>5</v>
      </c>
      <c r="I1085" s="14">
        <f>SUMIF($H$1054:$H$1081,"вне*",I$1054:I$1081)</f>
        <v>0</v>
      </c>
      <c r="J1085" s="14">
        <f t="shared" ref="J1085:O1085" si="373">SUMIF($H$1054:$H$1081,"вне*",J$1054:J$1081)</f>
        <v>0</v>
      </c>
      <c r="K1085" s="14">
        <f t="shared" si="373"/>
        <v>0</v>
      </c>
      <c r="L1085" s="14">
        <f t="shared" si="373"/>
        <v>0</v>
      </c>
      <c r="M1085" s="14">
        <f t="shared" si="373"/>
        <v>0</v>
      </c>
      <c r="N1085" s="14">
        <f t="shared" si="373"/>
        <v>0</v>
      </c>
      <c r="O1085" s="14">
        <f t="shared" si="373"/>
        <v>0</v>
      </c>
      <c r="P1085" s="130"/>
      <c r="Q1085" s="7"/>
    </row>
    <row r="1086" spans="2:18" ht="25.5" customHeight="1" x14ac:dyDescent="0.2">
      <c r="B1086" s="111" t="s">
        <v>613</v>
      </c>
      <c r="C1086" s="112"/>
      <c r="D1086" s="112"/>
      <c r="E1086" s="112"/>
      <c r="F1086" s="112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3"/>
    </row>
    <row r="1087" spans="2:18" ht="43.5" customHeight="1" outlineLevel="1" x14ac:dyDescent="0.2">
      <c r="B1087" s="117" t="s">
        <v>946</v>
      </c>
      <c r="C1087" s="117"/>
      <c r="D1087" s="117"/>
      <c r="E1087" s="117" t="s">
        <v>319</v>
      </c>
      <c r="F1087" s="117"/>
      <c r="G1087" s="117" t="s">
        <v>83</v>
      </c>
      <c r="H1087" s="95" t="s">
        <v>3</v>
      </c>
      <c r="I1087" s="94">
        <f t="shared" ref="I1087:I1098" si="374">SUM(J1087:O1087)</f>
        <v>36.5</v>
      </c>
      <c r="J1087" s="94">
        <f t="shared" ref="J1087:O1087" si="375">J1088+J1089+J1090</f>
        <v>36.5</v>
      </c>
      <c r="K1087" s="94">
        <f t="shared" si="375"/>
        <v>0</v>
      </c>
      <c r="L1087" s="94">
        <f t="shared" si="375"/>
        <v>0</v>
      </c>
      <c r="M1087" s="94">
        <f t="shared" si="375"/>
        <v>0</v>
      </c>
      <c r="N1087" s="94">
        <f t="shared" si="375"/>
        <v>0</v>
      </c>
      <c r="O1087" s="94">
        <f t="shared" si="375"/>
        <v>0</v>
      </c>
      <c r="P1087" s="165"/>
    </row>
    <row r="1088" spans="2:18" outlineLevel="1" x14ac:dyDescent="0.2">
      <c r="B1088" s="118"/>
      <c r="C1088" s="132"/>
      <c r="D1088" s="118"/>
      <c r="E1088" s="118"/>
      <c r="F1088" s="118"/>
      <c r="G1088" s="118"/>
      <c r="H1088" s="95" t="s">
        <v>4</v>
      </c>
      <c r="I1088" s="94">
        <f t="shared" si="374"/>
        <v>0</v>
      </c>
      <c r="J1088" s="87"/>
      <c r="K1088" s="87"/>
      <c r="L1088" s="87"/>
      <c r="M1088" s="87"/>
      <c r="N1088" s="87"/>
      <c r="O1088" s="87"/>
      <c r="P1088" s="165"/>
    </row>
    <row r="1089" spans="2:18" outlineLevel="1" x14ac:dyDescent="0.2">
      <c r="B1089" s="118"/>
      <c r="C1089" s="132"/>
      <c r="D1089" s="118"/>
      <c r="E1089" s="118"/>
      <c r="F1089" s="118"/>
      <c r="G1089" s="118"/>
      <c r="H1089" s="95" t="s">
        <v>6</v>
      </c>
      <c r="I1089" s="94">
        <f t="shared" si="374"/>
        <v>36.5</v>
      </c>
      <c r="J1089" s="87">
        <v>36.5</v>
      </c>
      <c r="K1089" s="87"/>
      <c r="L1089" s="87"/>
      <c r="M1089" s="87"/>
      <c r="N1089" s="87"/>
      <c r="O1089" s="87"/>
      <c r="P1089" s="165"/>
    </row>
    <row r="1090" spans="2:18" ht="15" customHeight="1" outlineLevel="1" x14ac:dyDescent="0.2">
      <c r="B1090" s="119"/>
      <c r="C1090" s="133"/>
      <c r="D1090" s="119"/>
      <c r="E1090" s="119"/>
      <c r="F1090" s="119"/>
      <c r="G1090" s="119"/>
      <c r="H1090" s="95" t="s">
        <v>5</v>
      </c>
      <c r="I1090" s="94">
        <f t="shared" si="374"/>
        <v>0</v>
      </c>
      <c r="J1090" s="87"/>
      <c r="K1090" s="87"/>
      <c r="L1090" s="87"/>
      <c r="M1090" s="87"/>
      <c r="N1090" s="87"/>
      <c r="O1090" s="87"/>
      <c r="P1090" s="165"/>
    </row>
    <row r="1091" spans="2:18" ht="42.75" outlineLevel="1" x14ac:dyDescent="0.2">
      <c r="B1091" s="117" t="s">
        <v>947</v>
      </c>
      <c r="C1091" s="117" t="s">
        <v>948</v>
      </c>
      <c r="D1091" s="117"/>
      <c r="E1091" s="117" t="s">
        <v>615</v>
      </c>
      <c r="F1091" s="117"/>
      <c r="G1091" s="117" t="s">
        <v>83</v>
      </c>
      <c r="H1091" s="95" t="s">
        <v>3</v>
      </c>
      <c r="I1091" s="94">
        <f t="shared" si="374"/>
        <v>34.4</v>
      </c>
      <c r="J1091" s="94">
        <f t="shared" ref="J1091:O1091" si="376">J1092+J1093+J1094</f>
        <v>14.4</v>
      </c>
      <c r="K1091" s="94">
        <f t="shared" si="376"/>
        <v>10</v>
      </c>
      <c r="L1091" s="94">
        <f t="shared" si="376"/>
        <v>10</v>
      </c>
      <c r="M1091" s="94">
        <f t="shared" si="376"/>
        <v>0</v>
      </c>
      <c r="N1091" s="94">
        <f t="shared" si="376"/>
        <v>0</v>
      </c>
      <c r="O1091" s="94">
        <f t="shared" si="376"/>
        <v>0</v>
      </c>
      <c r="P1091" s="165"/>
    </row>
    <row r="1092" spans="2:18" outlineLevel="1" x14ac:dyDescent="0.2">
      <c r="B1092" s="118"/>
      <c r="C1092" s="132"/>
      <c r="D1092" s="118"/>
      <c r="E1092" s="118"/>
      <c r="F1092" s="118"/>
      <c r="G1092" s="118"/>
      <c r="H1092" s="95" t="s">
        <v>4</v>
      </c>
      <c r="I1092" s="94">
        <f t="shared" si="374"/>
        <v>0</v>
      </c>
      <c r="J1092" s="87"/>
      <c r="K1092" s="87"/>
      <c r="L1092" s="87"/>
      <c r="M1092" s="87"/>
      <c r="N1092" s="87"/>
      <c r="O1092" s="87"/>
      <c r="P1092" s="165"/>
    </row>
    <row r="1093" spans="2:18" outlineLevel="1" x14ac:dyDescent="0.2">
      <c r="B1093" s="118"/>
      <c r="C1093" s="132"/>
      <c r="D1093" s="118"/>
      <c r="E1093" s="118"/>
      <c r="F1093" s="118"/>
      <c r="G1093" s="118"/>
      <c r="H1093" s="95" t="s">
        <v>6</v>
      </c>
      <c r="I1093" s="94">
        <f t="shared" si="374"/>
        <v>34.4</v>
      </c>
      <c r="J1093" s="87">
        <v>14.4</v>
      </c>
      <c r="K1093" s="87">
        <v>10</v>
      </c>
      <c r="L1093" s="87">
        <v>10</v>
      </c>
      <c r="M1093" s="87"/>
      <c r="N1093" s="87"/>
      <c r="O1093" s="87"/>
      <c r="P1093" s="165"/>
    </row>
    <row r="1094" spans="2:18" outlineLevel="1" x14ac:dyDescent="0.2">
      <c r="B1094" s="119"/>
      <c r="C1094" s="133"/>
      <c r="D1094" s="119"/>
      <c r="E1094" s="119"/>
      <c r="F1094" s="119"/>
      <c r="G1094" s="119"/>
      <c r="H1094" s="95" t="s">
        <v>5</v>
      </c>
      <c r="I1094" s="94">
        <f t="shared" si="374"/>
        <v>0</v>
      </c>
      <c r="J1094" s="87"/>
      <c r="K1094" s="87"/>
      <c r="L1094" s="87"/>
      <c r="M1094" s="87"/>
      <c r="N1094" s="87"/>
      <c r="O1094" s="87"/>
      <c r="P1094" s="165"/>
    </row>
    <row r="1095" spans="2:18" ht="72" customHeight="1" outlineLevel="1" x14ac:dyDescent="0.2">
      <c r="B1095" s="117" t="s">
        <v>949</v>
      </c>
      <c r="C1095" s="117"/>
      <c r="D1095" s="117"/>
      <c r="E1095" s="117">
        <v>2020</v>
      </c>
      <c r="F1095" s="117"/>
      <c r="G1095" s="117" t="s">
        <v>83</v>
      </c>
      <c r="H1095" s="95" t="s">
        <v>3</v>
      </c>
      <c r="I1095" s="94">
        <f t="shared" si="374"/>
        <v>32.700000000000003</v>
      </c>
      <c r="J1095" s="94">
        <f t="shared" ref="J1095:O1095" si="377">J1096+J1097+J1098</f>
        <v>32.700000000000003</v>
      </c>
      <c r="K1095" s="94">
        <f t="shared" si="377"/>
        <v>0</v>
      </c>
      <c r="L1095" s="94">
        <f t="shared" si="377"/>
        <v>0</v>
      </c>
      <c r="M1095" s="94">
        <f t="shared" si="377"/>
        <v>0</v>
      </c>
      <c r="N1095" s="94">
        <f t="shared" si="377"/>
        <v>0</v>
      </c>
      <c r="O1095" s="94">
        <f t="shared" si="377"/>
        <v>0</v>
      </c>
      <c r="P1095" s="165"/>
    </row>
    <row r="1096" spans="2:18" ht="24" customHeight="1" outlineLevel="1" x14ac:dyDescent="0.2">
      <c r="B1096" s="118"/>
      <c r="C1096" s="132"/>
      <c r="D1096" s="118"/>
      <c r="E1096" s="118"/>
      <c r="F1096" s="118"/>
      <c r="G1096" s="118"/>
      <c r="H1096" s="95" t="s">
        <v>4</v>
      </c>
      <c r="I1096" s="94">
        <f t="shared" si="374"/>
        <v>32.700000000000003</v>
      </c>
      <c r="J1096" s="87">
        <v>32.700000000000003</v>
      </c>
      <c r="K1096" s="87"/>
      <c r="L1096" s="87"/>
      <c r="M1096" s="87"/>
      <c r="N1096" s="87"/>
      <c r="O1096" s="87"/>
      <c r="P1096" s="165"/>
    </row>
    <row r="1097" spans="2:18" ht="22.5" customHeight="1" outlineLevel="1" x14ac:dyDescent="0.2">
      <c r="B1097" s="118"/>
      <c r="C1097" s="132"/>
      <c r="D1097" s="118"/>
      <c r="E1097" s="118"/>
      <c r="F1097" s="118"/>
      <c r="G1097" s="118"/>
      <c r="H1097" s="95" t="s">
        <v>6</v>
      </c>
      <c r="I1097" s="94">
        <f t="shared" si="374"/>
        <v>0</v>
      </c>
      <c r="J1097" s="87"/>
      <c r="K1097" s="87"/>
      <c r="L1097" s="87"/>
      <c r="M1097" s="87"/>
      <c r="N1097" s="87"/>
      <c r="O1097" s="87"/>
      <c r="P1097" s="165"/>
    </row>
    <row r="1098" spans="2:18" outlineLevel="1" x14ac:dyDescent="0.2">
      <c r="B1098" s="119"/>
      <c r="C1098" s="133"/>
      <c r="D1098" s="119"/>
      <c r="E1098" s="119"/>
      <c r="F1098" s="119"/>
      <c r="G1098" s="119"/>
      <c r="H1098" s="95" t="s">
        <v>5</v>
      </c>
      <c r="I1098" s="94">
        <f t="shared" si="374"/>
        <v>0</v>
      </c>
      <c r="J1098" s="87"/>
      <c r="K1098" s="87"/>
      <c r="L1098" s="87"/>
      <c r="M1098" s="87"/>
      <c r="N1098" s="87"/>
      <c r="O1098" s="87"/>
      <c r="P1098" s="165"/>
    </row>
    <row r="1099" spans="2:18" ht="42.75" x14ac:dyDescent="0.2">
      <c r="B1099" s="128" t="s">
        <v>624</v>
      </c>
      <c r="C1099" s="128" t="s">
        <v>38</v>
      </c>
      <c r="D1099" s="128" t="s">
        <v>38</v>
      </c>
      <c r="E1099" s="128" t="s">
        <v>38</v>
      </c>
      <c r="F1099" s="128" t="s">
        <v>38</v>
      </c>
      <c r="G1099" s="128" t="s">
        <v>38</v>
      </c>
      <c r="H1099" s="95" t="s">
        <v>3</v>
      </c>
      <c r="I1099" s="14">
        <f>SUMIF($H$1087:$H$1098,"Объем*",I$1087:I$1098)</f>
        <v>103.60000000000001</v>
      </c>
      <c r="J1099" s="14">
        <f t="shared" ref="J1099:O1099" si="378">SUMIF($H$1087:$H$1098,"Объем*",J$1087:J$1098)</f>
        <v>83.6</v>
      </c>
      <c r="K1099" s="14">
        <f t="shared" si="378"/>
        <v>10</v>
      </c>
      <c r="L1099" s="14">
        <f t="shared" si="378"/>
        <v>10</v>
      </c>
      <c r="M1099" s="14">
        <f t="shared" si="378"/>
        <v>0</v>
      </c>
      <c r="N1099" s="14">
        <f t="shared" si="378"/>
        <v>0</v>
      </c>
      <c r="O1099" s="14">
        <f t="shared" si="378"/>
        <v>0</v>
      </c>
      <c r="P1099" s="128">
        <f>SUM(P1087:P1098)</f>
        <v>0</v>
      </c>
      <c r="Q1099" s="7"/>
      <c r="R1099" s="7"/>
    </row>
    <row r="1100" spans="2:18" ht="15.75" x14ac:dyDescent="0.2">
      <c r="B1100" s="129"/>
      <c r="C1100" s="129"/>
      <c r="D1100" s="129"/>
      <c r="E1100" s="129"/>
      <c r="F1100" s="129"/>
      <c r="G1100" s="129"/>
      <c r="H1100" s="95" t="s">
        <v>4</v>
      </c>
      <c r="I1100" s="14">
        <f>SUMIF($H$1087:$H$1098,"фед*",I$1087:I$1098)</f>
        <v>32.700000000000003</v>
      </c>
      <c r="J1100" s="14">
        <f t="shared" ref="J1100:O1100" si="379">SUMIF($H$1087:$H$1098,"фед*",J$1087:J$1098)</f>
        <v>32.700000000000003</v>
      </c>
      <c r="K1100" s="14">
        <f t="shared" si="379"/>
        <v>0</v>
      </c>
      <c r="L1100" s="14">
        <f t="shared" si="379"/>
        <v>0</v>
      </c>
      <c r="M1100" s="14">
        <f t="shared" si="379"/>
        <v>0</v>
      </c>
      <c r="N1100" s="14">
        <f t="shared" si="379"/>
        <v>0</v>
      </c>
      <c r="O1100" s="14">
        <f t="shared" si="379"/>
        <v>0</v>
      </c>
      <c r="P1100" s="129"/>
      <c r="Q1100" s="7"/>
    </row>
    <row r="1101" spans="2:18" ht="15.75" x14ac:dyDescent="0.2">
      <c r="B1101" s="129"/>
      <c r="C1101" s="129"/>
      <c r="D1101" s="129"/>
      <c r="E1101" s="129"/>
      <c r="F1101" s="129"/>
      <c r="G1101" s="129"/>
      <c r="H1101" s="95" t="s">
        <v>6</v>
      </c>
      <c r="I1101" s="14">
        <f>SUMIF($H$1087:$H$1098,"конс*",I$1087:I$1098)</f>
        <v>70.900000000000006</v>
      </c>
      <c r="J1101" s="14">
        <f t="shared" ref="J1101:O1101" si="380">SUMIF($H$1087:$H$1098,"конс*",J$1087:J$1098)</f>
        <v>50.9</v>
      </c>
      <c r="K1101" s="14">
        <f t="shared" si="380"/>
        <v>10</v>
      </c>
      <c r="L1101" s="14">
        <f t="shared" si="380"/>
        <v>10</v>
      </c>
      <c r="M1101" s="14">
        <f t="shared" si="380"/>
        <v>0</v>
      </c>
      <c r="N1101" s="14">
        <f t="shared" si="380"/>
        <v>0</v>
      </c>
      <c r="O1101" s="14">
        <f t="shared" si="380"/>
        <v>0</v>
      </c>
      <c r="P1101" s="129"/>
      <c r="Q1101" s="7"/>
    </row>
    <row r="1102" spans="2:18" ht="15.75" x14ac:dyDescent="0.2">
      <c r="B1102" s="130"/>
      <c r="C1102" s="130"/>
      <c r="D1102" s="130"/>
      <c r="E1102" s="130"/>
      <c r="F1102" s="130"/>
      <c r="G1102" s="130"/>
      <c r="H1102" s="95" t="s">
        <v>5</v>
      </c>
      <c r="I1102" s="14">
        <f>SUMIF($H$1087:$H$1098,"вне*",I$1087:I$1098)</f>
        <v>0</v>
      </c>
      <c r="J1102" s="14">
        <f t="shared" ref="J1102:O1102" si="381">SUMIF($H$1087:$H$1098,"вне*",J$1087:J$1098)</f>
        <v>0</v>
      </c>
      <c r="K1102" s="14">
        <f t="shared" si="381"/>
        <v>0</v>
      </c>
      <c r="L1102" s="14">
        <f t="shared" si="381"/>
        <v>0</v>
      </c>
      <c r="M1102" s="14">
        <f t="shared" si="381"/>
        <v>0</v>
      </c>
      <c r="N1102" s="14">
        <f t="shared" si="381"/>
        <v>0</v>
      </c>
      <c r="O1102" s="14">
        <f t="shared" si="381"/>
        <v>0</v>
      </c>
      <c r="P1102" s="130"/>
      <c r="Q1102" s="7"/>
    </row>
    <row r="1103" spans="2:18" ht="42.75" x14ac:dyDescent="0.2">
      <c r="B1103" s="128" t="s">
        <v>77</v>
      </c>
      <c r="C1103" s="128" t="s">
        <v>38</v>
      </c>
      <c r="D1103" s="128" t="s">
        <v>38</v>
      </c>
      <c r="E1103" s="128" t="s">
        <v>38</v>
      </c>
      <c r="F1103" s="128" t="s">
        <v>38</v>
      </c>
      <c r="G1103" s="128" t="s">
        <v>38</v>
      </c>
      <c r="H1103" s="95" t="s">
        <v>3</v>
      </c>
      <c r="I1103" s="14">
        <f t="shared" ref="I1103:O1106" si="382">I30+I95+I180+I229+I246+I267+I348+I401+I438+I463+I476+I497+I558+I579+I640+I669+I710+I755+I764+I789+I802+I839+I872+I1049+I1082+I1099</f>
        <v>28315.156390000004</v>
      </c>
      <c r="J1103" s="14">
        <f t="shared" si="382"/>
        <v>850.13900000000001</v>
      </c>
      <c r="K1103" s="14">
        <f t="shared" si="382"/>
        <v>6010.7254000000003</v>
      </c>
      <c r="L1103" s="14">
        <f t="shared" si="382"/>
        <v>5523.2116900000001</v>
      </c>
      <c r="M1103" s="14">
        <f t="shared" si="382"/>
        <v>6226.3302999999996</v>
      </c>
      <c r="N1103" s="14">
        <f t="shared" si="382"/>
        <v>5490.25</v>
      </c>
      <c r="O1103" s="14">
        <f t="shared" si="382"/>
        <v>4214.5</v>
      </c>
      <c r="P1103" s="128">
        <f>SUM(P1091:P1102)</f>
        <v>0</v>
      </c>
      <c r="Q1103" s="7"/>
      <c r="R1103" s="7"/>
    </row>
    <row r="1104" spans="2:18" ht="15.75" x14ac:dyDescent="0.2">
      <c r="B1104" s="129"/>
      <c r="C1104" s="129"/>
      <c r="D1104" s="129"/>
      <c r="E1104" s="129"/>
      <c r="F1104" s="129"/>
      <c r="G1104" s="129"/>
      <c r="H1104" s="95" t="s">
        <v>4</v>
      </c>
      <c r="I1104" s="14">
        <f t="shared" si="382"/>
        <v>15662.410634000002</v>
      </c>
      <c r="J1104" s="14">
        <f t="shared" si="382"/>
        <v>288.39499999999998</v>
      </c>
      <c r="K1104" s="14">
        <f t="shared" si="382"/>
        <v>2310.19884</v>
      </c>
      <c r="L1104" s="14">
        <f t="shared" si="382"/>
        <v>3747.457214</v>
      </c>
      <c r="M1104" s="14">
        <f t="shared" si="382"/>
        <v>4042.39858</v>
      </c>
      <c r="N1104" s="14">
        <f t="shared" si="382"/>
        <v>3402.8809999999999</v>
      </c>
      <c r="O1104" s="14">
        <f t="shared" si="382"/>
        <v>1871.08</v>
      </c>
      <c r="P1104" s="129"/>
      <c r="Q1104" s="7"/>
    </row>
    <row r="1105" spans="2:17" ht="15.75" x14ac:dyDescent="0.2">
      <c r="B1105" s="129"/>
      <c r="C1105" s="129"/>
      <c r="D1105" s="129"/>
      <c r="E1105" s="129"/>
      <c r="F1105" s="129"/>
      <c r="G1105" s="129"/>
      <c r="H1105" s="95" t="s">
        <v>6</v>
      </c>
      <c r="I1105" s="14">
        <f t="shared" si="382"/>
        <v>9451.7167574999985</v>
      </c>
      <c r="J1105" s="14">
        <f t="shared" si="382"/>
        <v>539.04700000000003</v>
      </c>
      <c r="K1105" s="14">
        <f t="shared" si="382"/>
        <v>3202.0920493999993</v>
      </c>
      <c r="L1105" s="14">
        <f t="shared" si="382"/>
        <v>1351.5919911000001</v>
      </c>
      <c r="M1105" s="14">
        <f t="shared" si="382"/>
        <v>1392.8587170000001</v>
      </c>
      <c r="N1105" s="14">
        <f t="shared" si="382"/>
        <v>1336.6210000000003</v>
      </c>
      <c r="O1105" s="14">
        <f t="shared" si="382"/>
        <v>1629.5060000000003</v>
      </c>
      <c r="P1105" s="129"/>
      <c r="Q1105" s="7"/>
    </row>
    <row r="1106" spans="2:17" ht="15.75" x14ac:dyDescent="0.2">
      <c r="B1106" s="130"/>
      <c r="C1106" s="130"/>
      <c r="D1106" s="130"/>
      <c r="E1106" s="130"/>
      <c r="F1106" s="130"/>
      <c r="G1106" s="130"/>
      <c r="H1106" s="95" t="s">
        <v>5</v>
      </c>
      <c r="I1106" s="14">
        <f t="shared" si="382"/>
        <v>3201.0289984999999</v>
      </c>
      <c r="J1106" s="14">
        <f t="shared" si="382"/>
        <v>22.697000000000003</v>
      </c>
      <c r="K1106" s="14">
        <f t="shared" si="382"/>
        <v>498.43451059999995</v>
      </c>
      <c r="L1106" s="14">
        <f t="shared" si="382"/>
        <v>424.16248489999992</v>
      </c>
      <c r="M1106" s="14">
        <f t="shared" si="382"/>
        <v>791.07300299999997</v>
      </c>
      <c r="N1106" s="14">
        <f t="shared" si="382"/>
        <v>750.74800000000005</v>
      </c>
      <c r="O1106" s="14">
        <f t="shared" si="382"/>
        <v>713.91399999999999</v>
      </c>
      <c r="P1106" s="130"/>
      <c r="Q1106" s="7"/>
    </row>
    <row r="1107" spans="2:17" x14ac:dyDescent="0.2">
      <c r="Q1107" s="7"/>
    </row>
    <row r="1108" spans="2:17" x14ac:dyDescent="0.2">
      <c r="B1108" s="45" t="s">
        <v>625</v>
      </c>
    </row>
  </sheetData>
  <mergeCells count="1915"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  <mergeCell ref="P18:P21"/>
    <mergeCell ref="B22:B25"/>
    <mergeCell ref="C22:C25"/>
    <mergeCell ref="D22:D25"/>
    <mergeCell ref="E22:E25"/>
    <mergeCell ref="F22:F25"/>
    <mergeCell ref="G22:G25"/>
    <mergeCell ref="P22:P25"/>
    <mergeCell ref="B18:B21"/>
    <mergeCell ref="C18:C21"/>
    <mergeCell ref="D18:D21"/>
    <mergeCell ref="E18:E21"/>
    <mergeCell ref="F18:F21"/>
    <mergeCell ref="G18:G21"/>
    <mergeCell ref="P10:P13"/>
    <mergeCell ref="B14:B17"/>
    <mergeCell ref="C14:C17"/>
    <mergeCell ref="D14:D17"/>
    <mergeCell ref="E14:E17"/>
    <mergeCell ref="F14:F17"/>
    <mergeCell ref="G14:G17"/>
    <mergeCell ref="P14:P17"/>
    <mergeCell ref="B10:B13"/>
    <mergeCell ref="C10:C13"/>
    <mergeCell ref="D10:D13"/>
    <mergeCell ref="E10:E13"/>
    <mergeCell ref="F10:F13"/>
    <mergeCell ref="G10:G13"/>
    <mergeCell ref="B34:P34"/>
    <mergeCell ref="B35:B38"/>
    <mergeCell ref="C35:C38"/>
    <mergeCell ref="D35:D38"/>
    <mergeCell ref="E35:E38"/>
    <mergeCell ref="F35:F38"/>
    <mergeCell ref="G35:G38"/>
    <mergeCell ref="P35:P38"/>
    <mergeCell ref="P26:P29"/>
    <mergeCell ref="B30:B33"/>
    <mergeCell ref="C30:C33"/>
    <mergeCell ref="D30:D33"/>
    <mergeCell ref="E30:E33"/>
    <mergeCell ref="F30:F33"/>
    <mergeCell ref="G30:G33"/>
    <mergeCell ref="P30:P33"/>
    <mergeCell ref="B26:B29"/>
    <mergeCell ref="C26:C29"/>
    <mergeCell ref="D26:D29"/>
    <mergeCell ref="E26:E29"/>
    <mergeCell ref="F26:F29"/>
    <mergeCell ref="G26:G29"/>
    <mergeCell ref="P47:P50"/>
    <mergeCell ref="B51:B54"/>
    <mergeCell ref="C51:C54"/>
    <mergeCell ref="D51:D54"/>
    <mergeCell ref="E51:E54"/>
    <mergeCell ref="F51:F54"/>
    <mergeCell ref="G51:G54"/>
    <mergeCell ref="P51:P54"/>
    <mergeCell ref="B47:B50"/>
    <mergeCell ref="C47:C50"/>
    <mergeCell ref="D47:D50"/>
    <mergeCell ref="E47:E50"/>
    <mergeCell ref="F47:F50"/>
    <mergeCell ref="G47:G50"/>
    <mergeCell ref="P39:P42"/>
    <mergeCell ref="B43:B46"/>
    <mergeCell ref="C43:C46"/>
    <mergeCell ref="D43:D46"/>
    <mergeCell ref="E43:E46"/>
    <mergeCell ref="F43:F46"/>
    <mergeCell ref="G43:G46"/>
    <mergeCell ref="P43:P46"/>
    <mergeCell ref="B39:B42"/>
    <mergeCell ref="C39:C42"/>
    <mergeCell ref="D39:D42"/>
    <mergeCell ref="E39:E42"/>
    <mergeCell ref="F39:F42"/>
    <mergeCell ref="G39:G42"/>
    <mergeCell ref="P63:P66"/>
    <mergeCell ref="B67:B70"/>
    <mergeCell ref="C67:C70"/>
    <mergeCell ref="D67:D70"/>
    <mergeCell ref="E67:E70"/>
    <mergeCell ref="F67:F70"/>
    <mergeCell ref="G67:G70"/>
    <mergeCell ref="P67:P70"/>
    <mergeCell ref="B63:B66"/>
    <mergeCell ref="C63:C66"/>
    <mergeCell ref="D63:D66"/>
    <mergeCell ref="E63:E66"/>
    <mergeCell ref="F63:F66"/>
    <mergeCell ref="G63:G66"/>
    <mergeCell ref="P55:P58"/>
    <mergeCell ref="B59:B62"/>
    <mergeCell ref="C59:C62"/>
    <mergeCell ref="D59:D62"/>
    <mergeCell ref="E59:E62"/>
    <mergeCell ref="F59:F62"/>
    <mergeCell ref="G59:G62"/>
    <mergeCell ref="P59:P62"/>
    <mergeCell ref="B55:B58"/>
    <mergeCell ref="C55:C58"/>
    <mergeCell ref="D55:D58"/>
    <mergeCell ref="E55:E58"/>
    <mergeCell ref="F55:F58"/>
    <mergeCell ref="G55:G58"/>
    <mergeCell ref="P79:P82"/>
    <mergeCell ref="B83:B86"/>
    <mergeCell ref="C83:C86"/>
    <mergeCell ref="D83:D86"/>
    <mergeCell ref="E83:E86"/>
    <mergeCell ref="F83:F86"/>
    <mergeCell ref="G83:G86"/>
    <mergeCell ref="P83:P86"/>
    <mergeCell ref="B79:B82"/>
    <mergeCell ref="C79:C82"/>
    <mergeCell ref="D79:D82"/>
    <mergeCell ref="E79:E82"/>
    <mergeCell ref="F79:F82"/>
    <mergeCell ref="G79:G82"/>
    <mergeCell ref="P71:P74"/>
    <mergeCell ref="B75:B78"/>
    <mergeCell ref="C75:C78"/>
    <mergeCell ref="D75:D78"/>
    <mergeCell ref="E75:E78"/>
    <mergeCell ref="F75:F78"/>
    <mergeCell ref="G75:G78"/>
    <mergeCell ref="P75:P78"/>
    <mergeCell ref="B71:B74"/>
    <mergeCell ref="C71:C74"/>
    <mergeCell ref="D71:D74"/>
    <mergeCell ref="E71:E74"/>
    <mergeCell ref="F71:F74"/>
    <mergeCell ref="G71:G74"/>
    <mergeCell ref="P95:P98"/>
    <mergeCell ref="B99:P99"/>
    <mergeCell ref="B100:B103"/>
    <mergeCell ref="C100:C103"/>
    <mergeCell ref="D100:D103"/>
    <mergeCell ref="E100:E103"/>
    <mergeCell ref="F100:F103"/>
    <mergeCell ref="G100:G103"/>
    <mergeCell ref="P100:P103"/>
    <mergeCell ref="B95:B98"/>
    <mergeCell ref="C95:C98"/>
    <mergeCell ref="D95:D98"/>
    <mergeCell ref="E95:E98"/>
    <mergeCell ref="F95:F98"/>
    <mergeCell ref="G95:G98"/>
    <mergeCell ref="P87:P90"/>
    <mergeCell ref="B91:B94"/>
    <mergeCell ref="C91:C94"/>
    <mergeCell ref="D91:D94"/>
    <mergeCell ref="E91:E94"/>
    <mergeCell ref="F91:F94"/>
    <mergeCell ref="G91:G94"/>
    <mergeCell ref="P91:P94"/>
    <mergeCell ref="B87:B90"/>
    <mergeCell ref="C87:C90"/>
    <mergeCell ref="D87:D90"/>
    <mergeCell ref="E87:E90"/>
    <mergeCell ref="F87:F90"/>
    <mergeCell ref="G87:G90"/>
    <mergeCell ref="P112:P115"/>
    <mergeCell ref="B116:B119"/>
    <mergeCell ref="C116:C119"/>
    <mergeCell ref="D116:D119"/>
    <mergeCell ref="E116:E119"/>
    <mergeCell ref="F116:F119"/>
    <mergeCell ref="G116:G119"/>
    <mergeCell ref="P116:P119"/>
    <mergeCell ref="B112:B115"/>
    <mergeCell ref="C112:C115"/>
    <mergeCell ref="D112:D115"/>
    <mergeCell ref="E112:E115"/>
    <mergeCell ref="F112:F115"/>
    <mergeCell ref="G112:G115"/>
    <mergeCell ref="P104:P107"/>
    <mergeCell ref="B108:B111"/>
    <mergeCell ref="C108:C111"/>
    <mergeCell ref="D108:D111"/>
    <mergeCell ref="E108:E111"/>
    <mergeCell ref="F108:F111"/>
    <mergeCell ref="G108:G111"/>
    <mergeCell ref="P108:P111"/>
    <mergeCell ref="B104:B107"/>
    <mergeCell ref="C104:C107"/>
    <mergeCell ref="D104:D107"/>
    <mergeCell ref="E104:E107"/>
    <mergeCell ref="F104:F107"/>
    <mergeCell ref="G104:G107"/>
    <mergeCell ref="P128:P131"/>
    <mergeCell ref="B132:B135"/>
    <mergeCell ref="C132:C135"/>
    <mergeCell ref="D132:D135"/>
    <mergeCell ref="E132:E135"/>
    <mergeCell ref="F132:F135"/>
    <mergeCell ref="G132:G135"/>
    <mergeCell ref="P132:P135"/>
    <mergeCell ref="B128:B131"/>
    <mergeCell ref="C128:C131"/>
    <mergeCell ref="D128:D131"/>
    <mergeCell ref="E128:E131"/>
    <mergeCell ref="F128:F131"/>
    <mergeCell ref="G128:G131"/>
    <mergeCell ref="P120:P123"/>
    <mergeCell ref="B124:B127"/>
    <mergeCell ref="C124:C127"/>
    <mergeCell ref="D124:D127"/>
    <mergeCell ref="E124:E127"/>
    <mergeCell ref="F124:F127"/>
    <mergeCell ref="G124:G127"/>
    <mergeCell ref="P124:P127"/>
    <mergeCell ref="B120:B123"/>
    <mergeCell ref="C120:C123"/>
    <mergeCell ref="D120:D123"/>
    <mergeCell ref="E120:E123"/>
    <mergeCell ref="F120:F123"/>
    <mergeCell ref="G120:G123"/>
    <mergeCell ref="P144:P147"/>
    <mergeCell ref="B148:B151"/>
    <mergeCell ref="C148:C151"/>
    <mergeCell ref="D148:D151"/>
    <mergeCell ref="E148:E151"/>
    <mergeCell ref="F148:F151"/>
    <mergeCell ref="G148:G151"/>
    <mergeCell ref="P148:P151"/>
    <mergeCell ref="B144:B147"/>
    <mergeCell ref="C144:C147"/>
    <mergeCell ref="D144:D147"/>
    <mergeCell ref="E144:E147"/>
    <mergeCell ref="F144:F147"/>
    <mergeCell ref="G144:G147"/>
    <mergeCell ref="P136:P139"/>
    <mergeCell ref="B140:B143"/>
    <mergeCell ref="C140:C143"/>
    <mergeCell ref="D140:D143"/>
    <mergeCell ref="E140:E143"/>
    <mergeCell ref="F140:F143"/>
    <mergeCell ref="G140:G143"/>
    <mergeCell ref="P140:P143"/>
    <mergeCell ref="B136:B139"/>
    <mergeCell ref="C136:C139"/>
    <mergeCell ref="D136:D139"/>
    <mergeCell ref="E136:E139"/>
    <mergeCell ref="F136:F139"/>
    <mergeCell ref="G136:G139"/>
    <mergeCell ref="P160:P163"/>
    <mergeCell ref="B164:B167"/>
    <mergeCell ref="C164:C167"/>
    <mergeCell ref="D164:D167"/>
    <mergeCell ref="E164:E167"/>
    <mergeCell ref="F164:F167"/>
    <mergeCell ref="G164:G167"/>
    <mergeCell ref="P164:P167"/>
    <mergeCell ref="B160:B163"/>
    <mergeCell ref="C160:C163"/>
    <mergeCell ref="D160:D163"/>
    <mergeCell ref="E160:E163"/>
    <mergeCell ref="F160:F163"/>
    <mergeCell ref="G160:G163"/>
    <mergeCell ref="P152:P155"/>
    <mergeCell ref="B156:B159"/>
    <mergeCell ref="C156:C159"/>
    <mergeCell ref="D156:D159"/>
    <mergeCell ref="E156:E159"/>
    <mergeCell ref="F156:F159"/>
    <mergeCell ref="G156:G159"/>
    <mergeCell ref="P156:P159"/>
    <mergeCell ref="B152:B155"/>
    <mergeCell ref="C152:C155"/>
    <mergeCell ref="D152:D155"/>
    <mergeCell ref="E152:E155"/>
    <mergeCell ref="F152:F155"/>
    <mergeCell ref="G152:G155"/>
    <mergeCell ref="P176:P179"/>
    <mergeCell ref="B180:B183"/>
    <mergeCell ref="C180:C183"/>
    <mergeCell ref="D180:D183"/>
    <mergeCell ref="E180:E183"/>
    <mergeCell ref="F180:F183"/>
    <mergeCell ref="G180:G183"/>
    <mergeCell ref="P180:P183"/>
    <mergeCell ref="B176:B179"/>
    <mergeCell ref="C176:C179"/>
    <mergeCell ref="D176:D179"/>
    <mergeCell ref="E176:E179"/>
    <mergeCell ref="F176:F179"/>
    <mergeCell ref="G176:G179"/>
    <mergeCell ref="P168:P171"/>
    <mergeCell ref="B172:B175"/>
    <mergeCell ref="C172:C175"/>
    <mergeCell ref="D172:D175"/>
    <mergeCell ref="E172:E175"/>
    <mergeCell ref="F172:F175"/>
    <mergeCell ref="G172:G175"/>
    <mergeCell ref="P172:P175"/>
    <mergeCell ref="B168:B171"/>
    <mergeCell ref="C168:C171"/>
    <mergeCell ref="D168:D171"/>
    <mergeCell ref="E168:E171"/>
    <mergeCell ref="F168:F171"/>
    <mergeCell ref="G168:G171"/>
    <mergeCell ref="P189:P192"/>
    <mergeCell ref="B193:B196"/>
    <mergeCell ref="C193:C196"/>
    <mergeCell ref="D193:D196"/>
    <mergeCell ref="E193:E196"/>
    <mergeCell ref="F193:F196"/>
    <mergeCell ref="G193:G196"/>
    <mergeCell ref="P193:P196"/>
    <mergeCell ref="B189:B192"/>
    <mergeCell ref="C189:C192"/>
    <mergeCell ref="D189:D192"/>
    <mergeCell ref="E189:E192"/>
    <mergeCell ref="F189:F192"/>
    <mergeCell ref="G189:G192"/>
    <mergeCell ref="B184:P184"/>
    <mergeCell ref="B185:B188"/>
    <mergeCell ref="C185:C188"/>
    <mergeCell ref="D185:D188"/>
    <mergeCell ref="E185:E188"/>
    <mergeCell ref="F185:F188"/>
    <mergeCell ref="G185:G188"/>
    <mergeCell ref="P185:P188"/>
    <mergeCell ref="P205:P208"/>
    <mergeCell ref="B209:B212"/>
    <mergeCell ref="C209:C212"/>
    <mergeCell ref="D209:D212"/>
    <mergeCell ref="E209:E212"/>
    <mergeCell ref="F209:F212"/>
    <mergeCell ref="G209:G212"/>
    <mergeCell ref="P209:P212"/>
    <mergeCell ref="B205:B208"/>
    <mergeCell ref="C205:C208"/>
    <mergeCell ref="D205:D208"/>
    <mergeCell ref="E205:E208"/>
    <mergeCell ref="F205:F208"/>
    <mergeCell ref="G205:G208"/>
    <mergeCell ref="P197:P200"/>
    <mergeCell ref="B201:B204"/>
    <mergeCell ref="C201:C204"/>
    <mergeCell ref="D201:D204"/>
    <mergeCell ref="E201:E204"/>
    <mergeCell ref="F201:F204"/>
    <mergeCell ref="G201:G204"/>
    <mergeCell ref="P201:P204"/>
    <mergeCell ref="B197:B200"/>
    <mergeCell ref="C197:C200"/>
    <mergeCell ref="D197:D200"/>
    <mergeCell ref="E197:E200"/>
    <mergeCell ref="F197:F200"/>
    <mergeCell ref="G197:G200"/>
    <mergeCell ref="B221:B224"/>
    <mergeCell ref="C221:C224"/>
    <mergeCell ref="D221:D224"/>
    <mergeCell ref="E221:E224"/>
    <mergeCell ref="F221:F224"/>
    <mergeCell ref="G221:G224"/>
    <mergeCell ref="P213:P216"/>
    <mergeCell ref="B217:B220"/>
    <mergeCell ref="C217:C220"/>
    <mergeCell ref="D217:D220"/>
    <mergeCell ref="E217:E220"/>
    <mergeCell ref="F217:F220"/>
    <mergeCell ref="G217:G220"/>
    <mergeCell ref="B213:B216"/>
    <mergeCell ref="C213:C216"/>
    <mergeCell ref="D213:D216"/>
    <mergeCell ref="E213:E216"/>
    <mergeCell ref="F213:F216"/>
    <mergeCell ref="G213:G216"/>
    <mergeCell ref="P229:P232"/>
    <mergeCell ref="B233:P233"/>
    <mergeCell ref="B234:B237"/>
    <mergeCell ref="C234:C237"/>
    <mergeCell ref="D234:D237"/>
    <mergeCell ref="E234:E237"/>
    <mergeCell ref="F234:F237"/>
    <mergeCell ref="G234:G237"/>
    <mergeCell ref="P234:P237"/>
    <mergeCell ref="B229:B232"/>
    <mergeCell ref="C229:C232"/>
    <mergeCell ref="D229:D232"/>
    <mergeCell ref="E229:E232"/>
    <mergeCell ref="F229:F232"/>
    <mergeCell ref="G229:G232"/>
    <mergeCell ref="B225:B228"/>
    <mergeCell ref="C225:C228"/>
    <mergeCell ref="D225:D228"/>
    <mergeCell ref="E225:E228"/>
    <mergeCell ref="F225:F228"/>
    <mergeCell ref="G225:G228"/>
    <mergeCell ref="P246:P249"/>
    <mergeCell ref="B250:P250"/>
    <mergeCell ref="B251:B254"/>
    <mergeCell ref="C251:C254"/>
    <mergeCell ref="D251:D254"/>
    <mergeCell ref="E251:E254"/>
    <mergeCell ref="F251:F254"/>
    <mergeCell ref="G251:G254"/>
    <mergeCell ref="P251:P254"/>
    <mergeCell ref="B246:B249"/>
    <mergeCell ref="C246:C249"/>
    <mergeCell ref="D246:D249"/>
    <mergeCell ref="E246:E249"/>
    <mergeCell ref="F246:F249"/>
    <mergeCell ref="G246:G249"/>
    <mergeCell ref="P238:P241"/>
    <mergeCell ref="B242:B245"/>
    <mergeCell ref="C242:C245"/>
    <mergeCell ref="D242:D245"/>
    <mergeCell ref="E242:E245"/>
    <mergeCell ref="F242:F245"/>
    <mergeCell ref="G242:G245"/>
    <mergeCell ref="P242:P245"/>
    <mergeCell ref="B238:B241"/>
    <mergeCell ref="C238:C241"/>
    <mergeCell ref="D238:D241"/>
    <mergeCell ref="E238:E241"/>
    <mergeCell ref="F238:F241"/>
    <mergeCell ref="G238:G241"/>
    <mergeCell ref="P263:P266"/>
    <mergeCell ref="B267:B270"/>
    <mergeCell ref="C267:C270"/>
    <mergeCell ref="D267:D270"/>
    <mergeCell ref="E267:E270"/>
    <mergeCell ref="F267:F270"/>
    <mergeCell ref="G267:G270"/>
    <mergeCell ref="P267:P270"/>
    <mergeCell ref="B263:B266"/>
    <mergeCell ref="C263:C266"/>
    <mergeCell ref="D263:D266"/>
    <mergeCell ref="E263:E266"/>
    <mergeCell ref="F263:F266"/>
    <mergeCell ref="G263:G266"/>
    <mergeCell ref="P255:P258"/>
    <mergeCell ref="B259:B262"/>
    <mergeCell ref="C259:C262"/>
    <mergeCell ref="D259:D262"/>
    <mergeCell ref="E259:E262"/>
    <mergeCell ref="F259:F262"/>
    <mergeCell ref="G259:G262"/>
    <mergeCell ref="P259:P262"/>
    <mergeCell ref="B255:B258"/>
    <mergeCell ref="C255:C258"/>
    <mergeCell ref="D255:D258"/>
    <mergeCell ref="E255:E258"/>
    <mergeCell ref="F255:F258"/>
    <mergeCell ref="G255:G258"/>
    <mergeCell ref="P276:P279"/>
    <mergeCell ref="B280:B283"/>
    <mergeCell ref="C280:C283"/>
    <mergeCell ref="D280:D283"/>
    <mergeCell ref="E280:E283"/>
    <mergeCell ref="F280:F283"/>
    <mergeCell ref="G280:G283"/>
    <mergeCell ref="P280:P283"/>
    <mergeCell ref="B276:B279"/>
    <mergeCell ref="C276:C279"/>
    <mergeCell ref="D276:D279"/>
    <mergeCell ref="E276:E279"/>
    <mergeCell ref="F276:F279"/>
    <mergeCell ref="G276:G279"/>
    <mergeCell ref="B271:P271"/>
    <mergeCell ref="B272:B275"/>
    <mergeCell ref="C272:C275"/>
    <mergeCell ref="D272:D275"/>
    <mergeCell ref="E272:E275"/>
    <mergeCell ref="F272:F275"/>
    <mergeCell ref="G272:G275"/>
    <mergeCell ref="P272:P275"/>
    <mergeCell ref="P292:P295"/>
    <mergeCell ref="B296:B299"/>
    <mergeCell ref="C296:C299"/>
    <mergeCell ref="D296:D299"/>
    <mergeCell ref="E296:E299"/>
    <mergeCell ref="F296:F299"/>
    <mergeCell ref="G296:G299"/>
    <mergeCell ref="P296:P299"/>
    <mergeCell ref="B292:B295"/>
    <mergeCell ref="C292:C295"/>
    <mergeCell ref="D292:D295"/>
    <mergeCell ref="E292:E295"/>
    <mergeCell ref="F292:F295"/>
    <mergeCell ref="G292:G295"/>
    <mergeCell ref="P284:P287"/>
    <mergeCell ref="B288:B291"/>
    <mergeCell ref="C288:C291"/>
    <mergeCell ref="D288:D291"/>
    <mergeCell ref="E288:E291"/>
    <mergeCell ref="F288:F291"/>
    <mergeCell ref="G288:G291"/>
    <mergeCell ref="P288:P291"/>
    <mergeCell ref="B284:B287"/>
    <mergeCell ref="C284:C287"/>
    <mergeCell ref="D284:D287"/>
    <mergeCell ref="E284:E287"/>
    <mergeCell ref="F284:F287"/>
    <mergeCell ref="G284:G287"/>
    <mergeCell ref="P308:P311"/>
    <mergeCell ref="B312:B315"/>
    <mergeCell ref="C312:C315"/>
    <mergeCell ref="D312:D315"/>
    <mergeCell ref="E312:E315"/>
    <mergeCell ref="F312:F315"/>
    <mergeCell ref="G312:G315"/>
    <mergeCell ref="P312:P315"/>
    <mergeCell ref="B308:B311"/>
    <mergeCell ref="C308:C311"/>
    <mergeCell ref="D308:D311"/>
    <mergeCell ref="E308:E311"/>
    <mergeCell ref="F308:F311"/>
    <mergeCell ref="G308:G311"/>
    <mergeCell ref="P300:P303"/>
    <mergeCell ref="B304:B307"/>
    <mergeCell ref="C304:C307"/>
    <mergeCell ref="D304:D307"/>
    <mergeCell ref="E304:E307"/>
    <mergeCell ref="F304:F307"/>
    <mergeCell ref="G304:G307"/>
    <mergeCell ref="P304:P307"/>
    <mergeCell ref="B300:B303"/>
    <mergeCell ref="C300:C303"/>
    <mergeCell ref="D300:D303"/>
    <mergeCell ref="E300:E303"/>
    <mergeCell ref="F300:F303"/>
    <mergeCell ref="G300:G303"/>
    <mergeCell ref="P324:P327"/>
    <mergeCell ref="B328:B331"/>
    <mergeCell ref="C328:C331"/>
    <mergeCell ref="D328:D331"/>
    <mergeCell ref="E328:E331"/>
    <mergeCell ref="F328:F331"/>
    <mergeCell ref="G328:G331"/>
    <mergeCell ref="P328:P331"/>
    <mergeCell ref="B324:B327"/>
    <mergeCell ref="C324:C327"/>
    <mergeCell ref="D324:D327"/>
    <mergeCell ref="E324:E327"/>
    <mergeCell ref="F324:F327"/>
    <mergeCell ref="G324:G327"/>
    <mergeCell ref="P316:P319"/>
    <mergeCell ref="B320:B323"/>
    <mergeCell ref="C320:C323"/>
    <mergeCell ref="D320:D323"/>
    <mergeCell ref="E320:E323"/>
    <mergeCell ref="F320:F323"/>
    <mergeCell ref="G320:G323"/>
    <mergeCell ref="P320:P323"/>
    <mergeCell ref="B316:B319"/>
    <mergeCell ref="C316:C319"/>
    <mergeCell ref="D316:D319"/>
    <mergeCell ref="E316:E319"/>
    <mergeCell ref="F316:F319"/>
    <mergeCell ref="G316:G319"/>
    <mergeCell ref="P340:P343"/>
    <mergeCell ref="B344:B347"/>
    <mergeCell ref="C344:C347"/>
    <mergeCell ref="D344:D347"/>
    <mergeCell ref="E344:E347"/>
    <mergeCell ref="F344:F347"/>
    <mergeCell ref="G344:G347"/>
    <mergeCell ref="P344:P347"/>
    <mergeCell ref="B340:B343"/>
    <mergeCell ref="C340:C343"/>
    <mergeCell ref="D340:D343"/>
    <mergeCell ref="E340:E343"/>
    <mergeCell ref="F340:F343"/>
    <mergeCell ref="G340:G343"/>
    <mergeCell ref="P332:P335"/>
    <mergeCell ref="B336:B339"/>
    <mergeCell ref="C336:C339"/>
    <mergeCell ref="D336:D339"/>
    <mergeCell ref="E336:E339"/>
    <mergeCell ref="F336:F339"/>
    <mergeCell ref="G336:G339"/>
    <mergeCell ref="P336:P339"/>
    <mergeCell ref="B332:B335"/>
    <mergeCell ref="C332:C335"/>
    <mergeCell ref="D332:D335"/>
    <mergeCell ref="E332:E335"/>
    <mergeCell ref="F332:F335"/>
    <mergeCell ref="G332:G335"/>
    <mergeCell ref="P357:P360"/>
    <mergeCell ref="B361:B364"/>
    <mergeCell ref="C361:C364"/>
    <mergeCell ref="D361:D364"/>
    <mergeCell ref="E361:E364"/>
    <mergeCell ref="F361:F364"/>
    <mergeCell ref="G361:G364"/>
    <mergeCell ref="P361:P364"/>
    <mergeCell ref="B357:B360"/>
    <mergeCell ref="C357:C360"/>
    <mergeCell ref="D357:D360"/>
    <mergeCell ref="E357:E360"/>
    <mergeCell ref="F357:F360"/>
    <mergeCell ref="G357:G360"/>
    <mergeCell ref="P348:P351"/>
    <mergeCell ref="B352:P352"/>
    <mergeCell ref="B353:B356"/>
    <mergeCell ref="C353:C356"/>
    <mergeCell ref="D353:D356"/>
    <mergeCell ref="E353:E356"/>
    <mergeCell ref="F353:F356"/>
    <mergeCell ref="G353:G356"/>
    <mergeCell ref="P353:P356"/>
    <mergeCell ref="B348:B351"/>
    <mergeCell ref="C348:C351"/>
    <mergeCell ref="D348:D351"/>
    <mergeCell ref="E348:E351"/>
    <mergeCell ref="F348:F351"/>
    <mergeCell ref="G348:G351"/>
    <mergeCell ref="P373:P376"/>
    <mergeCell ref="B377:B380"/>
    <mergeCell ref="C377:C380"/>
    <mergeCell ref="D377:D380"/>
    <mergeCell ref="E377:E380"/>
    <mergeCell ref="F377:F380"/>
    <mergeCell ref="G377:G380"/>
    <mergeCell ref="P377:P380"/>
    <mergeCell ref="B373:B376"/>
    <mergeCell ref="C373:C376"/>
    <mergeCell ref="D373:D376"/>
    <mergeCell ref="E373:E376"/>
    <mergeCell ref="F373:F376"/>
    <mergeCell ref="G373:G376"/>
    <mergeCell ref="P365:P368"/>
    <mergeCell ref="B369:B372"/>
    <mergeCell ref="C369:C372"/>
    <mergeCell ref="D369:D372"/>
    <mergeCell ref="E369:E372"/>
    <mergeCell ref="F369:F372"/>
    <mergeCell ref="G369:G372"/>
    <mergeCell ref="P369:P372"/>
    <mergeCell ref="B365:B368"/>
    <mergeCell ref="C365:C368"/>
    <mergeCell ref="D365:D368"/>
    <mergeCell ref="E365:E368"/>
    <mergeCell ref="F365:F368"/>
    <mergeCell ref="G365:G368"/>
    <mergeCell ref="P389:P392"/>
    <mergeCell ref="B393:B396"/>
    <mergeCell ref="C393:C396"/>
    <mergeCell ref="D393:D396"/>
    <mergeCell ref="E393:E396"/>
    <mergeCell ref="F393:F396"/>
    <mergeCell ref="G393:G396"/>
    <mergeCell ref="P393:P396"/>
    <mergeCell ref="B389:B392"/>
    <mergeCell ref="C389:C392"/>
    <mergeCell ref="D389:D392"/>
    <mergeCell ref="E389:E392"/>
    <mergeCell ref="F389:F392"/>
    <mergeCell ref="G389:G392"/>
    <mergeCell ref="P381:P384"/>
    <mergeCell ref="B385:B388"/>
    <mergeCell ref="C385:C388"/>
    <mergeCell ref="D385:D388"/>
    <mergeCell ref="E385:E388"/>
    <mergeCell ref="F385:F388"/>
    <mergeCell ref="G385:G388"/>
    <mergeCell ref="P385:P388"/>
    <mergeCell ref="B381:B384"/>
    <mergeCell ref="C381:C384"/>
    <mergeCell ref="D381:D384"/>
    <mergeCell ref="E381:E384"/>
    <mergeCell ref="F381:F384"/>
    <mergeCell ref="G381:G384"/>
    <mergeCell ref="B405:P405"/>
    <mergeCell ref="B406:B409"/>
    <mergeCell ref="C406:C409"/>
    <mergeCell ref="D406:D409"/>
    <mergeCell ref="E406:E409"/>
    <mergeCell ref="F406:F409"/>
    <mergeCell ref="G406:G409"/>
    <mergeCell ref="P406:P409"/>
    <mergeCell ref="P397:P400"/>
    <mergeCell ref="B401:B404"/>
    <mergeCell ref="C401:C404"/>
    <mergeCell ref="D401:D404"/>
    <mergeCell ref="E401:E404"/>
    <mergeCell ref="F401:F404"/>
    <mergeCell ref="G401:G404"/>
    <mergeCell ref="P401:P404"/>
    <mergeCell ref="B397:B400"/>
    <mergeCell ref="C397:C400"/>
    <mergeCell ref="D397:D400"/>
    <mergeCell ref="E397:E400"/>
    <mergeCell ref="F397:F400"/>
    <mergeCell ref="G397:G400"/>
    <mergeCell ref="P418:P421"/>
    <mergeCell ref="B422:B425"/>
    <mergeCell ref="C422:C425"/>
    <mergeCell ref="D422:D425"/>
    <mergeCell ref="E422:E425"/>
    <mergeCell ref="F422:F425"/>
    <mergeCell ref="G422:G425"/>
    <mergeCell ref="P422:P425"/>
    <mergeCell ref="B418:B421"/>
    <mergeCell ref="C418:C421"/>
    <mergeCell ref="D418:D421"/>
    <mergeCell ref="E418:E421"/>
    <mergeCell ref="F418:F421"/>
    <mergeCell ref="G418:G421"/>
    <mergeCell ref="P410:P413"/>
    <mergeCell ref="B414:B417"/>
    <mergeCell ref="C414:C417"/>
    <mergeCell ref="D414:D417"/>
    <mergeCell ref="E414:E417"/>
    <mergeCell ref="F414:F417"/>
    <mergeCell ref="G414:G417"/>
    <mergeCell ref="P414:P417"/>
    <mergeCell ref="B410:B413"/>
    <mergeCell ref="C410:C413"/>
    <mergeCell ref="D410:D413"/>
    <mergeCell ref="E410:E413"/>
    <mergeCell ref="F410:F413"/>
    <mergeCell ref="G410:G413"/>
    <mergeCell ref="P434:P437"/>
    <mergeCell ref="B438:B441"/>
    <mergeCell ref="C438:C441"/>
    <mergeCell ref="D438:D441"/>
    <mergeCell ref="E438:E441"/>
    <mergeCell ref="F438:F441"/>
    <mergeCell ref="G438:G441"/>
    <mergeCell ref="P438:P441"/>
    <mergeCell ref="B434:B437"/>
    <mergeCell ref="C434:C437"/>
    <mergeCell ref="D434:D437"/>
    <mergeCell ref="E434:E437"/>
    <mergeCell ref="F434:F437"/>
    <mergeCell ref="G434:G437"/>
    <mergeCell ref="P426:P429"/>
    <mergeCell ref="B430:B433"/>
    <mergeCell ref="C430:C433"/>
    <mergeCell ref="D430:D433"/>
    <mergeCell ref="E430:E433"/>
    <mergeCell ref="F430:F433"/>
    <mergeCell ref="G430:G433"/>
    <mergeCell ref="P430:P433"/>
    <mergeCell ref="B426:B429"/>
    <mergeCell ref="C426:C429"/>
    <mergeCell ref="D426:D429"/>
    <mergeCell ref="E426:E429"/>
    <mergeCell ref="F426:F429"/>
    <mergeCell ref="G426:G429"/>
    <mergeCell ref="P447:P450"/>
    <mergeCell ref="B451:B454"/>
    <mergeCell ref="C451:C454"/>
    <mergeCell ref="D451:D454"/>
    <mergeCell ref="E451:E454"/>
    <mergeCell ref="F451:F454"/>
    <mergeCell ref="G451:G454"/>
    <mergeCell ref="P451:P454"/>
    <mergeCell ref="B447:B450"/>
    <mergeCell ref="C447:C450"/>
    <mergeCell ref="D447:D450"/>
    <mergeCell ref="E447:E450"/>
    <mergeCell ref="F447:F450"/>
    <mergeCell ref="G447:G450"/>
    <mergeCell ref="B442:P442"/>
    <mergeCell ref="B443:B446"/>
    <mergeCell ref="C443:C446"/>
    <mergeCell ref="D443:D446"/>
    <mergeCell ref="E443:E446"/>
    <mergeCell ref="F443:F446"/>
    <mergeCell ref="G443:G446"/>
    <mergeCell ref="P443:P446"/>
    <mergeCell ref="P463:P466"/>
    <mergeCell ref="B467:P467"/>
    <mergeCell ref="B468:B471"/>
    <mergeCell ref="C468:C471"/>
    <mergeCell ref="D468:D471"/>
    <mergeCell ref="E468:E471"/>
    <mergeCell ref="F468:F471"/>
    <mergeCell ref="G468:G471"/>
    <mergeCell ref="P468:P471"/>
    <mergeCell ref="B463:B466"/>
    <mergeCell ref="C463:C466"/>
    <mergeCell ref="D463:D466"/>
    <mergeCell ref="E463:E466"/>
    <mergeCell ref="F463:F466"/>
    <mergeCell ref="G463:G466"/>
    <mergeCell ref="P455:P458"/>
    <mergeCell ref="B459:B462"/>
    <mergeCell ref="C459:C462"/>
    <mergeCell ref="D459:D462"/>
    <mergeCell ref="E459:E462"/>
    <mergeCell ref="F459:F462"/>
    <mergeCell ref="G459:G462"/>
    <mergeCell ref="P459:P462"/>
    <mergeCell ref="B455:B458"/>
    <mergeCell ref="C455:C458"/>
    <mergeCell ref="D455:D458"/>
    <mergeCell ref="E455:E458"/>
    <mergeCell ref="F455:F458"/>
    <mergeCell ref="G455:G458"/>
    <mergeCell ref="B480:P480"/>
    <mergeCell ref="B481:B484"/>
    <mergeCell ref="C481:C484"/>
    <mergeCell ref="D481:D484"/>
    <mergeCell ref="E481:E484"/>
    <mergeCell ref="F481:F484"/>
    <mergeCell ref="G481:G484"/>
    <mergeCell ref="P481:P484"/>
    <mergeCell ref="P472:P475"/>
    <mergeCell ref="B476:B479"/>
    <mergeCell ref="C476:C479"/>
    <mergeCell ref="D476:D479"/>
    <mergeCell ref="E476:E479"/>
    <mergeCell ref="F476:F479"/>
    <mergeCell ref="G476:G479"/>
    <mergeCell ref="P476:P479"/>
    <mergeCell ref="B472:B475"/>
    <mergeCell ref="C472:C475"/>
    <mergeCell ref="D472:D475"/>
    <mergeCell ref="E472:E475"/>
    <mergeCell ref="F472:F475"/>
    <mergeCell ref="G472:G475"/>
    <mergeCell ref="P493:P496"/>
    <mergeCell ref="B497:B500"/>
    <mergeCell ref="C497:C500"/>
    <mergeCell ref="D497:D500"/>
    <mergeCell ref="E497:E500"/>
    <mergeCell ref="F497:F500"/>
    <mergeCell ref="G497:G500"/>
    <mergeCell ref="P497:P500"/>
    <mergeCell ref="B493:B496"/>
    <mergeCell ref="C493:C496"/>
    <mergeCell ref="D493:D496"/>
    <mergeCell ref="E493:E496"/>
    <mergeCell ref="F493:F496"/>
    <mergeCell ref="G493:G496"/>
    <mergeCell ref="P485:P488"/>
    <mergeCell ref="B489:B492"/>
    <mergeCell ref="C489:C492"/>
    <mergeCell ref="D489:D492"/>
    <mergeCell ref="E489:E492"/>
    <mergeCell ref="F489:F492"/>
    <mergeCell ref="G489:G492"/>
    <mergeCell ref="P489:P492"/>
    <mergeCell ref="B485:B488"/>
    <mergeCell ref="C485:C488"/>
    <mergeCell ref="D485:D488"/>
    <mergeCell ref="E485:E488"/>
    <mergeCell ref="F485:F488"/>
    <mergeCell ref="G485:G488"/>
    <mergeCell ref="P506:P509"/>
    <mergeCell ref="B510:B513"/>
    <mergeCell ref="C510:C513"/>
    <mergeCell ref="D510:D513"/>
    <mergeCell ref="E510:E513"/>
    <mergeCell ref="F510:F513"/>
    <mergeCell ref="G510:G513"/>
    <mergeCell ref="P510:P513"/>
    <mergeCell ref="B506:B509"/>
    <mergeCell ref="C506:C509"/>
    <mergeCell ref="D506:D509"/>
    <mergeCell ref="E506:E509"/>
    <mergeCell ref="F506:F509"/>
    <mergeCell ref="G506:G509"/>
    <mergeCell ref="B501:P501"/>
    <mergeCell ref="B502:B505"/>
    <mergeCell ref="C502:C505"/>
    <mergeCell ref="D502:D505"/>
    <mergeCell ref="E502:E505"/>
    <mergeCell ref="F502:F505"/>
    <mergeCell ref="G502:G505"/>
    <mergeCell ref="P502:P505"/>
    <mergeCell ref="P522:P525"/>
    <mergeCell ref="B526:B529"/>
    <mergeCell ref="C526:C529"/>
    <mergeCell ref="D526:D529"/>
    <mergeCell ref="E526:E529"/>
    <mergeCell ref="F526:F529"/>
    <mergeCell ref="G526:G529"/>
    <mergeCell ref="P526:P529"/>
    <mergeCell ref="B522:B525"/>
    <mergeCell ref="C522:C525"/>
    <mergeCell ref="D522:D525"/>
    <mergeCell ref="E522:E525"/>
    <mergeCell ref="F522:F525"/>
    <mergeCell ref="G522:G525"/>
    <mergeCell ref="P514:P517"/>
    <mergeCell ref="B518:B521"/>
    <mergeCell ref="C518:C521"/>
    <mergeCell ref="D518:D521"/>
    <mergeCell ref="E518:E521"/>
    <mergeCell ref="F518:F521"/>
    <mergeCell ref="G518:G521"/>
    <mergeCell ref="P518:P521"/>
    <mergeCell ref="B514:B517"/>
    <mergeCell ref="C514:C517"/>
    <mergeCell ref="D514:D517"/>
    <mergeCell ref="E514:E517"/>
    <mergeCell ref="F514:F517"/>
    <mergeCell ref="G514:G517"/>
    <mergeCell ref="P538:P541"/>
    <mergeCell ref="B542:B545"/>
    <mergeCell ref="C542:C545"/>
    <mergeCell ref="D542:D545"/>
    <mergeCell ref="E542:E545"/>
    <mergeCell ref="F542:F545"/>
    <mergeCell ref="G542:G545"/>
    <mergeCell ref="P542:P545"/>
    <mergeCell ref="B538:B541"/>
    <mergeCell ref="C538:C541"/>
    <mergeCell ref="D538:D541"/>
    <mergeCell ref="E538:E541"/>
    <mergeCell ref="F538:F541"/>
    <mergeCell ref="G538:G541"/>
    <mergeCell ref="P530:P533"/>
    <mergeCell ref="B534:B537"/>
    <mergeCell ref="C534:C537"/>
    <mergeCell ref="D534:D537"/>
    <mergeCell ref="E534:E537"/>
    <mergeCell ref="F534:F537"/>
    <mergeCell ref="G534:G537"/>
    <mergeCell ref="P534:P537"/>
    <mergeCell ref="B530:B533"/>
    <mergeCell ref="C530:C533"/>
    <mergeCell ref="D530:D533"/>
    <mergeCell ref="E530:E533"/>
    <mergeCell ref="F530:F533"/>
    <mergeCell ref="G530:G533"/>
    <mergeCell ref="P554:P557"/>
    <mergeCell ref="B558:B561"/>
    <mergeCell ref="C558:C561"/>
    <mergeCell ref="D558:D561"/>
    <mergeCell ref="E558:E561"/>
    <mergeCell ref="F558:F561"/>
    <mergeCell ref="G558:G561"/>
    <mergeCell ref="P558:P561"/>
    <mergeCell ref="B554:B557"/>
    <mergeCell ref="C554:C557"/>
    <mergeCell ref="D554:D557"/>
    <mergeCell ref="E554:E557"/>
    <mergeCell ref="F554:F557"/>
    <mergeCell ref="G554:G557"/>
    <mergeCell ref="P546:P549"/>
    <mergeCell ref="B550:B553"/>
    <mergeCell ref="C550:C553"/>
    <mergeCell ref="D550:D553"/>
    <mergeCell ref="E550:E553"/>
    <mergeCell ref="F550:F553"/>
    <mergeCell ref="G550:G553"/>
    <mergeCell ref="P550:P553"/>
    <mergeCell ref="B546:B549"/>
    <mergeCell ref="C546:C549"/>
    <mergeCell ref="D546:D549"/>
    <mergeCell ref="E546:E549"/>
    <mergeCell ref="F546:F549"/>
    <mergeCell ref="G546:G549"/>
    <mergeCell ref="P567:P570"/>
    <mergeCell ref="B571:B574"/>
    <mergeCell ref="C571:C574"/>
    <mergeCell ref="D571:D574"/>
    <mergeCell ref="E571:E574"/>
    <mergeCell ref="F571:F574"/>
    <mergeCell ref="G571:G574"/>
    <mergeCell ref="P571:P574"/>
    <mergeCell ref="B567:B570"/>
    <mergeCell ref="C567:C570"/>
    <mergeCell ref="D567:D570"/>
    <mergeCell ref="E567:E570"/>
    <mergeCell ref="F567:F570"/>
    <mergeCell ref="G567:G570"/>
    <mergeCell ref="B562:P562"/>
    <mergeCell ref="B563:B566"/>
    <mergeCell ref="C563:C566"/>
    <mergeCell ref="D563:D566"/>
    <mergeCell ref="E563:E566"/>
    <mergeCell ref="F563:F566"/>
    <mergeCell ref="G563:G566"/>
    <mergeCell ref="P563:P566"/>
    <mergeCell ref="B583:P583"/>
    <mergeCell ref="B584:B587"/>
    <mergeCell ref="C584:C587"/>
    <mergeCell ref="D584:D587"/>
    <mergeCell ref="E584:E587"/>
    <mergeCell ref="F584:F587"/>
    <mergeCell ref="G584:G587"/>
    <mergeCell ref="P584:P587"/>
    <mergeCell ref="P575:P578"/>
    <mergeCell ref="B579:B582"/>
    <mergeCell ref="C579:C582"/>
    <mergeCell ref="D579:D582"/>
    <mergeCell ref="E579:E582"/>
    <mergeCell ref="F579:F582"/>
    <mergeCell ref="G579:G582"/>
    <mergeCell ref="P579:P582"/>
    <mergeCell ref="B575:B578"/>
    <mergeCell ref="C575:C578"/>
    <mergeCell ref="D575:D578"/>
    <mergeCell ref="E575:E578"/>
    <mergeCell ref="F575:F578"/>
    <mergeCell ref="G575:G578"/>
    <mergeCell ref="P596:P599"/>
    <mergeCell ref="B600:B603"/>
    <mergeCell ref="C600:C603"/>
    <mergeCell ref="D600:D603"/>
    <mergeCell ref="E600:E603"/>
    <mergeCell ref="F600:F603"/>
    <mergeCell ref="G600:G603"/>
    <mergeCell ref="P600:P603"/>
    <mergeCell ref="B596:B599"/>
    <mergeCell ref="C596:C599"/>
    <mergeCell ref="D596:D599"/>
    <mergeCell ref="E596:E599"/>
    <mergeCell ref="F596:F599"/>
    <mergeCell ref="G596:G599"/>
    <mergeCell ref="P588:P591"/>
    <mergeCell ref="B592:B595"/>
    <mergeCell ref="C592:C595"/>
    <mergeCell ref="D592:D595"/>
    <mergeCell ref="E592:E595"/>
    <mergeCell ref="F592:F595"/>
    <mergeCell ref="G592:G595"/>
    <mergeCell ref="P592:P595"/>
    <mergeCell ref="B588:B591"/>
    <mergeCell ref="C588:C591"/>
    <mergeCell ref="D588:D591"/>
    <mergeCell ref="E588:E591"/>
    <mergeCell ref="F588:F591"/>
    <mergeCell ref="G588:G591"/>
    <mergeCell ref="P612:P615"/>
    <mergeCell ref="B616:B619"/>
    <mergeCell ref="C616:C619"/>
    <mergeCell ref="D616:D619"/>
    <mergeCell ref="E616:E619"/>
    <mergeCell ref="F616:F619"/>
    <mergeCell ref="G616:G619"/>
    <mergeCell ref="P616:P619"/>
    <mergeCell ref="B612:B615"/>
    <mergeCell ref="C612:C615"/>
    <mergeCell ref="D612:D615"/>
    <mergeCell ref="E612:E615"/>
    <mergeCell ref="F612:F615"/>
    <mergeCell ref="G612:G615"/>
    <mergeCell ref="P604:P607"/>
    <mergeCell ref="B608:B611"/>
    <mergeCell ref="C608:C611"/>
    <mergeCell ref="D608:D611"/>
    <mergeCell ref="E608:E611"/>
    <mergeCell ref="F608:F611"/>
    <mergeCell ref="G608:G611"/>
    <mergeCell ref="P608:P611"/>
    <mergeCell ref="B604:B607"/>
    <mergeCell ref="C604:C607"/>
    <mergeCell ref="D604:D607"/>
    <mergeCell ref="E604:E607"/>
    <mergeCell ref="F604:F607"/>
    <mergeCell ref="G604:G607"/>
    <mergeCell ref="P628:P631"/>
    <mergeCell ref="B632:B635"/>
    <mergeCell ref="C632:C635"/>
    <mergeCell ref="D632:D635"/>
    <mergeCell ref="E632:E635"/>
    <mergeCell ref="F632:F635"/>
    <mergeCell ref="G632:G635"/>
    <mergeCell ref="P632:P635"/>
    <mergeCell ref="B628:B631"/>
    <mergeCell ref="C628:C631"/>
    <mergeCell ref="D628:D631"/>
    <mergeCell ref="E628:E631"/>
    <mergeCell ref="F628:F631"/>
    <mergeCell ref="G628:G631"/>
    <mergeCell ref="P620:P623"/>
    <mergeCell ref="B624:B627"/>
    <mergeCell ref="C624:C627"/>
    <mergeCell ref="D624:D627"/>
    <mergeCell ref="E624:E627"/>
    <mergeCell ref="F624:F627"/>
    <mergeCell ref="G624:G627"/>
    <mergeCell ref="P624:P627"/>
    <mergeCell ref="B620:B623"/>
    <mergeCell ref="C620:C623"/>
    <mergeCell ref="D620:D623"/>
    <mergeCell ref="E620:E623"/>
    <mergeCell ref="F620:F623"/>
    <mergeCell ref="G620:G623"/>
    <mergeCell ref="B644:P644"/>
    <mergeCell ref="B645:B648"/>
    <mergeCell ref="C645:C648"/>
    <mergeCell ref="D645:D648"/>
    <mergeCell ref="E645:E648"/>
    <mergeCell ref="F645:F648"/>
    <mergeCell ref="G645:G648"/>
    <mergeCell ref="P645:P648"/>
    <mergeCell ref="P636:P639"/>
    <mergeCell ref="B640:B643"/>
    <mergeCell ref="C640:C643"/>
    <mergeCell ref="D640:D643"/>
    <mergeCell ref="E640:E643"/>
    <mergeCell ref="F640:F643"/>
    <mergeCell ref="G640:G643"/>
    <mergeCell ref="P640:P643"/>
    <mergeCell ref="B636:B639"/>
    <mergeCell ref="C636:C639"/>
    <mergeCell ref="D636:D639"/>
    <mergeCell ref="E636:E639"/>
    <mergeCell ref="F636:F639"/>
    <mergeCell ref="G636:G639"/>
    <mergeCell ref="P657:P660"/>
    <mergeCell ref="B661:B664"/>
    <mergeCell ref="C661:C664"/>
    <mergeCell ref="D661:D664"/>
    <mergeCell ref="E661:E664"/>
    <mergeCell ref="F661:F664"/>
    <mergeCell ref="G661:G664"/>
    <mergeCell ref="P661:P664"/>
    <mergeCell ref="B657:B660"/>
    <mergeCell ref="C657:C660"/>
    <mergeCell ref="D657:D660"/>
    <mergeCell ref="E657:E660"/>
    <mergeCell ref="F657:F660"/>
    <mergeCell ref="G657:G660"/>
    <mergeCell ref="P649:P652"/>
    <mergeCell ref="B653:B656"/>
    <mergeCell ref="C653:C656"/>
    <mergeCell ref="D653:D656"/>
    <mergeCell ref="E653:E656"/>
    <mergeCell ref="F653:F656"/>
    <mergeCell ref="G653:G656"/>
    <mergeCell ref="P653:P656"/>
    <mergeCell ref="B649:B652"/>
    <mergeCell ref="C649:C652"/>
    <mergeCell ref="D649:D652"/>
    <mergeCell ref="E649:E652"/>
    <mergeCell ref="F649:F652"/>
    <mergeCell ref="G649:G652"/>
    <mergeCell ref="B673:P673"/>
    <mergeCell ref="B674:B677"/>
    <mergeCell ref="C674:C677"/>
    <mergeCell ref="D674:D677"/>
    <mergeCell ref="E674:E677"/>
    <mergeCell ref="F674:F677"/>
    <mergeCell ref="G674:G677"/>
    <mergeCell ref="P674:P677"/>
    <mergeCell ref="P665:P668"/>
    <mergeCell ref="B669:B672"/>
    <mergeCell ref="C669:C672"/>
    <mergeCell ref="D669:D672"/>
    <mergeCell ref="E669:E672"/>
    <mergeCell ref="F669:F672"/>
    <mergeCell ref="G669:G672"/>
    <mergeCell ref="P669:P672"/>
    <mergeCell ref="B665:B668"/>
    <mergeCell ref="C665:C668"/>
    <mergeCell ref="D665:D668"/>
    <mergeCell ref="E665:E668"/>
    <mergeCell ref="F665:F668"/>
    <mergeCell ref="G665:G668"/>
    <mergeCell ref="P686:P689"/>
    <mergeCell ref="B690:B693"/>
    <mergeCell ref="C690:C693"/>
    <mergeCell ref="D690:D693"/>
    <mergeCell ref="E690:E693"/>
    <mergeCell ref="F690:F693"/>
    <mergeCell ref="G690:G693"/>
    <mergeCell ref="P690:P693"/>
    <mergeCell ref="B686:B689"/>
    <mergeCell ref="C686:C689"/>
    <mergeCell ref="D686:D689"/>
    <mergeCell ref="E686:E689"/>
    <mergeCell ref="F686:F689"/>
    <mergeCell ref="G686:G689"/>
    <mergeCell ref="P678:P681"/>
    <mergeCell ref="B682:B685"/>
    <mergeCell ref="C682:C685"/>
    <mergeCell ref="D682:D685"/>
    <mergeCell ref="E682:E685"/>
    <mergeCell ref="F682:F685"/>
    <mergeCell ref="G682:G685"/>
    <mergeCell ref="P682:P685"/>
    <mergeCell ref="B678:B681"/>
    <mergeCell ref="C678:C681"/>
    <mergeCell ref="D678:D681"/>
    <mergeCell ref="E678:E681"/>
    <mergeCell ref="F678:F681"/>
    <mergeCell ref="G678:G681"/>
    <mergeCell ref="P702:P705"/>
    <mergeCell ref="B706:B709"/>
    <mergeCell ref="C706:C709"/>
    <mergeCell ref="D706:D709"/>
    <mergeCell ref="E706:E709"/>
    <mergeCell ref="F706:F709"/>
    <mergeCell ref="G706:G709"/>
    <mergeCell ref="P706:P709"/>
    <mergeCell ref="B702:B705"/>
    <mergeCell ref="C702:C705"/>
    <mergeCell ref="D702:D705"/>
    <mergeCell ref="E702:E705"/>
    <mergeCell ref="F702:F705"/>
    <mergeCell ref="G702:G705"/>
    <mergeCell ref="P694:P697"/>
    <mergeCell ref="B698:B701"/>
    <mergeCell ref="C698:C701"/>
    <mergeCell ref="D698:D701"/>
    <mergeCell ref="E698:E701"/>
    <mergeCell ref="F698:F701"/>
    <mergeCell ref="G698:G701"/>
    <mergeCell ref="P698:P701"/>
    <mergeCell ref="B694:B697"/>
    <mergeCell ref="C694:C697"/>
    <mergeCell ref="D694:D697"/>
    <mergeCell ref="E694:E697"/>
    <mergeCell ref="F694:F697"/>
    <mergeCell ref="G694:G697"/>
    <mergeCell ref="P719:P722"/>
    <mergeCell ref="B723:B726"/>
    <mergeCell ref="C723:C726"/>
    <mergeCell ref="D723:D726"/>
    <mergeCell ref="E723:E726"/>
    <mergeCell ref="F723:F726"/>
    <mergeCell ref="G723:G726"/>
    <mergeCell ref="P723:P726"/>
    <mergeCell ref="B719:B722"/>
    <mergeCell ref="C719:C722"/>
    <mergeCell ref="D719:D722"/>
    <mergeCell ref="E719:E722"/>
    <mergeCell ref="F719:F722"/>
    <mergeCell ref="G719:G722"/>
    <mergeCell ref="P710:P713"/>
    <mergeCell ref="B714:P714"/>
    <mergeCell ref="B715:B718"/>
    <mergeCell ref="C715:C718"/>
    <mergeCell ref="D715:D718"/>
    <mergeCell ref="E715:E718"/>
    <mergeCell ref="F715:F718"/>
    <mergeCell ref="G715:G718"/>
    <mergeCell ref="P715:P718"/>
    <mergeCell ref="B710:B713"/>
    <mergeCell ref="C710:C713"/>
    <mergeCell ref="D710:D713"/>
    <mergeCell ref="E710:E713"/>
    <mergeCell ref="F710:F713"/>
    <mergeCell ref="G710:G713"/>
    <mergeCell ref="P735:P738"/>
    <mergeCell ref="B739:B742"/>
    <mergeCell ref="C739:C742"/>
    <mergeCell ref="D739:D742"/>
    <mergeCell ref="E739:E742"/>
    <mergeCell ref="F739:F742"/>
    <mergeCell ref="G739:G742"/>
    <mergeCell ref="P739:P742"/>
    <mergeCell ref="B735:B738"/>
    <mergeCell ref="C735:C738"/>
    <mergeCell ref="D735:D738"/>
    <mergeCell ref="E735:E738"/>
    <mergeCell ref="F735:F738"/>
    <mergeCell ref="G735:G738"/>
    <mergeCell ref="P727:P730"/>
    <mergeCell ref="B731:B734"/>
    <mergeCell ref="C731:C734"/>
    <mergeCell ref="D731:D734"/>
    <mergeCell ref="E731:E734"/>
    <mergeCell ref="F731:F734"/>
    <mergeCell ref="G731:G734"/>
    <mergeCell ref="P731:P734"/>
    <mergeCell ref="B727:B730"/>
    <mergeCell ref="C727:C730"/>
    <mergeCell ref="D727:D730"/>
    <mergeCell ref="E727:E730"/>
    <mergeCell ref="F727:F730"/>
    <mergeCell ref="G727:G730"/>
    <mergeCell ref="P751:P754"/>
    <mergeCell ref="B755:B758"/>
    <mergeCell ref="C755:C758"/>
    <mergeCell ref="D755:D758"/>
    <mergeCell ref="E755:E758"/>
    <mergeCell ref="F755:F758"/>
    <mergeCell ref="G755:G758"/>
    <mergeCell ref="P755:P758"/>
    <mergeCell ref="B751:B754"/>
    <mergeCell ref="C751:C754"/>
    <mergeCell ref="D751:D754"/>
    <mergeCell ref="E751:E754"/>
    <mergeCell ref="F751:F754"/>
    <mergeCell ref="G751:G754"/>
    <mergeCell ref="P743:P746"/>
    <mergeCell ref="B747:B750"/>
    <mergeCell ref="C747:C750"/>
    <mergeCell ref="D747:D750"/>
    <mergeCell ref="E747:E750"/>
    <mergeCell ref="F747:F750"/>
    <mergeCell ref="G747:G750"/>
    <mergeCell ref="P747:P750"/>
    <mergeCell ref="B743:B746"/>
    <mergeCell ref="C743:C746"/>
    <mergeCell ref="D743:D746"/>
    <mergeCell ref="E743:E746"/>
    <mergeCell ref="F743:F746"/>
    <mergeCell ref="G743:G746"/>
    <mergeCell ref="P764:P767"/>
    <mergeCell ref="B768:P768"/>
    <mergeCell ref="B769:B772"/>
    <mergeCell ref="C769:C772"/>
    <mergeCell ref="D769:D772"/>
    <mergeCell ref="E769:E772"/>
    <mergeCell ref="F769:F772"/>
    <mergeCell ref="G769:G772"/>
    <mergeCell ref="P769:P772"/>
    <mergeCell ref="B764:B767"/>
    <mergeCell ref="C764:C767"/>
    <mergeCell ref="D764:D767"/>
    <mergeCell ref="E764:E767"/>
    <mergeCell ref="F764:F767"/>
    <mergeCell ref="G764:G767"/>
    <mergeCell ref="B759:P759"/>
    <mergeCell ref="B760:B763"/>
    <mergeCell ref="C760:C763"/>
    <mergeCell ref="D760:D763"/>
    <mergeCell ref="E760:E763"/>
    <mergeCell ref="F760:F763"/>
    <mergeCell ref="G760:G763"/>
    <mergeCell ref="P760:P763"/>
    <mergeCell ref="P781:P784"/>
    <mergeCell ref="B785:B788"/>
    <mergeCell ref="C785:C788"/>
    <mergeCell ref="D785:D788"/>
    <mergeCell ref="E785:E788"/>
    <mergeCell ref="F785:F788"/>
    <mergeCell ref="G785:G788"/>
    <mergeCell ref="P785:P788"/>
    <mergeCell ref="B781:B784"/>
    <mergeCell ref="C781:C784"/>
    <mergeCell ref="D781:D784"/>
    <mergeCell ref="E781:E784"/>
    <mergeCell ref="F781:F784"/>
    <mergeCell ref="G781:G784"/>
    <mergeCell ref="P773:P776"/>
    <mergeCell ref="B777:B780"/>
    <mergeCell ref="C777:C780"/>
    <mergeCell ref="D777:D780"/>
    <mergeCell ref="E777:E780"/>
    <mergeCell ref="F777:F780"/>
    <mergeCell ref="G777:G780"/>
    <mergeCell ref="P777:P780"/>
    <mergeCell ref="B773:B776"/>
    <mergeCell ref="C773:C776"/>
    <mergeCell ref="D773:D776"/>
    <mergeCell ref="E773:E776"/>
    <mergeCell ref="F773:F776"/>
    <mergeCell ref="G773:G776"/>
    <mergeCell ref="P798:P801"/>
    <mergeCell ref="B802:B805"/>
    <mergeCell ref="C802:C805"/>
    <mergeCell ref="D802:D805"/>
    <mergeCell ref="E802:E805"/>
    <mergeCell ref="F802:F805"/>
    <mergeCell ref="G802:G805"/>
    <mergeCell ref="P802:P805"/>
    <mergeCell ref="B798:B801"/>
    <mergeCell ref="C798:C801"/>
    <mergeCell ref="D798:D801"/>
    <mergeCell ref="E798:E801"/>
    <mergeCell ref="F798:F801"/>
    <mergeCell ref="G798:G801"/>
    <mergeCell ref="P789:P792"/>
    <mergeCell ref="B793:P793"/>
    <mergeCell ref="B794:B797"/>
    <mergeCell ref="C794:C797"/>
    <mergeCell ref="D794:D797"/>
    <mergeCell ref="E794:E797"/>
    <mergeCell ref="F794:F797"/>
    <mergeCell ref="G794:G797"/>
    <mergeCell ref="P794:P797"/>
    <mergeCell ref="B789:B792"/>
    <mergeCell ref="C789:C792"/>
    <mergeCell ref="D789:D792"/>
    <mergeCell ref="E789:E792"/>
    <mergeCell ref="F789:F792"/>
    <mergeCell ref="G789:G792"/>
    <mergeCell ref="P811:P814"/>
    <mergeCell ref="B815:B818"/>
    <mergeCell ref="C815:C818"/>
    <mergeCell ref="D815:D818"/>
    <mergeCell ref="E815:E818"/>
    <mergeCell ref="F815:F818"/>
    <mergeCell ref="G815:G818"/>
    <mergeCell ref="P815:P818"/>
    <mergeCell ref="B811:B814"/>
    <mergeCell ref="C811:C814"/>
    <mergeCell ref="D811:D814"/>
    <mergeCell ref="E811:E814"/>
    <mergeCell ref="F811:F814"/>
    <mergeCell ref="G811:G814"/>
    <mergeCell ref="B806:P806"/>
    <mergeCell ref="B807:B810"/>
    <mergeCell ref="C807:C810"/>
    <mergeCell ref="D807:D810"/>
    <mergeCell ref="E807:E810"/>
    <mergeCell ref="F807:F810"/>
    <mergeCell ref="G807:G810"/>
    <mergeCell ref="P807:P810"/>
    <mergeCell ref="P827:P830"/>
    <mergeCell ref="B831:B834"/>
    <mergeCell ref="C831:C834"/>
    <mergeCell ref="D831:D834"/>
    <mergeCell ref="E831:E834"/>
    <mergeCell ref="F831:F834"/>
    <mergeCell ref="G831:G834"/>
    <mergeCell ref="P831:P834"/>
    <mergeCell ref="B827:B830"/>
    <mergeCell ref="C827:C830"/>
    <mergeCell ref="D827:D830"/>
    <mergeCell ref="E827:E830"/>
    <mergeCell ref="F827:F830"/>
    <mergeCell ref="G827:G830"/>
    <mergeCell ref="P819:P822"/>
    <mergeCell ref="B823:B826"/>
    <mergeCell ref="C823:C826"/>
    <mergeCell ref="D823:D826"/>
    <mergeCell ref="E823:E826"/>
    <mergeCell ref="F823:F826"/>
    <mergeCell ref="G823:G826"/>
    <mergeCell ref="P823:P826"/>
    <mergeCell ref="B819:B822"/>
    <mergeCell ref="C819:C822"/>
    <mergeCell ref="D819:D822"/>
    <mergeCell ref="E819:E822"/>
    <mergeCell ref="F819:F822"/>
    <mergeCell ref="G819:G822"/>
    <mergeCell ref="B843:P843"/>
    <mergeCell ref="B844:B847"/>
    <mergeCell ref="C844:C847"/>
    <mergeCell ref="D844:D847"/>
    <mergeCell ref="E844:E847"/>
    <mergeCell ref="F844:F847"/>
    <mergeCell ref="G844:G847"/>
    <mergeCell ref="P844:P847"/>
    <mergeCell ref="P835:P838"/>
    <mergeCell ref="B839:B842"/>
    <mergeCell ref="C839:C842"/>
    <mergeCell ref="D839:D842"/>
    <mergeCell ref="E839:E842"/>
    <mergeCell ref="F839:F842"/>
    <mergeCell ref="G839:G842"/>
    <mergeCell ref="P839:P842"/>
    <mergeCell ref="B835:B838"/>
    <mergeCell ref="C835:C838"/>
    <mergeCell ref="D835:D838"/>
    <mergeCell ref="E835:E838"/>
    <mergeCell ref="F835:F838"/>
    <mergeCell ref="G835:G838"/>
    <mergeCell ref="P856:P859"/>
    <mergeCell ref="B860:B863"/>
    <mergeCell ref="C860:C863"/>
    <mergeCell ref="D860:D863"/>
    <mergeCell ref="E860:E863"/>
    <mergeCell ref="F860:F863"/>
    <mergeCell ref="G860:G863"/>
    <mergeCell ref="P860:P863"/>
    <mergeCell ref="B856:B859"/>
    <mergeCell ref="C856:C859"/>
    <mergeCell ref="D856:D859"/>
    <mergeCell ref="E856:E859"/>
    <mergeCell ref="F856:F859"/>
    <mergeCell ref="G856:G859"/>
    <mergeCell ref="P848:P851"/>
    <mergeCell ref="B852:B855"/>
    <mergeCell ref="C852:C855"/>
    <mergeCell ref="D852:D855"/>
    <mergeCell ref="E852:E855"/>
    <mergeCell ref="F852:F855"/>
    <mergeCell ref="G852:G855"/>
    <mergeCell ref="P852:P855"/>
    <mergeCell ref="B848:B851"/>
    <mergeCell ref="C848:C851"/>
    <mergeCell ref="D848:D851"/>
    <mergeCell ref="E848:E851"/>
    <mergeCell ref="F848:F851"/>
    <mergeCell ref="G848:G851"/>
    <mergeCell ref="P872:P875"/>
    <mergeCell ref="B876:P876"/>
    <mergeCell ref="B877:B880"/>
    <mergeCell ref="C877:C880"/>
    <mergeCell ref="D877:D880"/>
    <mergeCell ref="E877:E880"/>
    <mergeCell ref="F877:F880"/>
    <mergeCell ref="G877:G880"/>
    <mergeCell ref="P877:P880"/>
    <mergeCell ref="B872:B875"/>
    <mergeCell ref="C872:C875"/>
    <mergeCell ref="D872:D875"/>
    <mergeCell ref="E872:E875"/>
    <mergeCell ref="F872:F875"/>
    <mergeCell ref="G872:G875"/>
    <mergeCell ref="P864:P867"/>
    <mergeCell ref="B868:B871"/>
    <mergeCell ref="C868:C871"/>
    <mergeCell ref="D868:D871"/>
    <mergeCell ref="E868:E871"/>
    <mergeCell ref="F868:F871"/>
    <mergeCell ref="G868:G871"/>
    <mergeCell ref="P868:P871"/>
    <mergeCell ref="B864:B867"/>
    <mergeCell ref="C864:C867"/>
    <mergeCell ref="D864:D867"/>
    <mergeCell ref="E864:E867"/>
    <mergeCell ref="F864:F867"/>
    <mergeCell ref="G864:G867"/>
    <mergeCell ref="P889:P892"/>
    <mergeCell ref="B893:B896"/>
    <mergeCell ref="C893:C896"/>
    <mergeCell ref="D893:D896"/>
    <mergeCell ref="E893:E896"/>
    <mergeCell ref="F893:F896"/>
    <mergeCell ref="G893:G896"/>
    <mergeCell ref="P893:P896"/>
    <mergeCell ref="B889:B892"/>
    <mergeCell ref="C889:C892"/>
    <mergeCell ref="D889:D892"/>
    <mergeCell ref="E889:E892"/>
    <mergeCell ref="F889:F892"/>
    <mergeCell ref="G889:G892"/>
    <mergeCell ref="P881:P884"/>
    <mergeCell ref="B885:B888"/>
    <mergeCell ref="C885:C888"/>
    <mergeCell ref="D885:D888"/>
    <mergeCell ref="E885:E888"/>
    <mergeCell ref="F885:F888"/>
    <mergeCell ref="G885:G888"/>
    <mergeCell ref="P885:P888"/>
    <mergeCell ref="B881:B884"/>
    <mergeCell ref="C881:C884"/>
    <mergeCell ref="D881:D884"/>
    <mergeCell ref="E881:E884"/>
    <mergeCell ref="F881:F884"/>
    <mergeCell ref="G881:G884"/>
    <mergeCell ref="P905:P908"/>
    <mergeCell ref="B909:B912"/>
    <mergeCell ref="C909:C912"/>
    <mergeCell ref="D909:D912"/>
    <mergeCell ref="E909:E912"/>
    <mergeCell ref="F909:F912"/>
    <mergeCell ref="G909:G912"/>
    <mergeCell ref="P909:P912"/>
    <mergeCell ref="B905:B908"/>
    <mergeCell ref="C905:C908"/>
    <mergeCell ref="D905:D908"/>
    <mergeCell ref="E905:E908"/>
    <mergeCell ref="F905:F908"/>
    <mergeCell ref="G905:G908"/>
    <mergeCell ref="P897:P900"/>
    <mergeCell ref="B901:B904"/>
    <mergeCell ref="C901:C904"/>
    <mergeCell ref="D901:D904"/>
    <mergeCell ref="E901:E904"/>
    <mergeCell ref="F901:F904"/>
    <mergeCell ref="G901:G904"/>
    <mergeCell ref="P901:P904"/>
    <mergeCell ref="B897:B900"/>
    <mergeCell ref="C897:C900"/>
    <mergeCell ref="D897:D900"/>
    <mergeCell ref="E897:E900"/>
    <mergeCell ref="F897:F900"/>
    <mergeCell ref="G897:G900"/>
    <mergeCell ref="P921:P924"/>
    <mergeCell ref="B925:B928"/>
    <mergeCell ref="C925:C928"/>
    <mergeCell ref="D925:D928"/>
    <mergeCell ref="E925:E928"/>
    <mergeCell ref="F925:F928"/>
    <mergeCell ref="G925:G928"/>
    <mergeCell ref="P925:P928"/>
    <mergeCell ref="B921:B924"/>
    <mergeCell ref="C921:C924"/>
    <mergeCell ref="D921:D924"/>
    <mergeCell ref="E921:E924"/>
    <mergeCell ref="F921:F924"/>
    <mergeCell ref="G921:G924"/>
    <mergeCell ref="P913:P916"/>
    <mergeCell ref="B917:B920"/>
    <mergeCell ref="C917:C920"/>
    <mergeCell ref="D917:D920"/>
    <mergeCell ref="E917:E920"/>
    <mergeCell ref="F917:F920"/>
    <mergeCell ref="G917:G920"/>
    <mergeCell ref="P917:P920"/>
    <mergeCell ref="B913:B916"/>
    <mergeCell ref="C913:C916"/>
    <mergeCell ref="D913:D916"/>
    <mergeCell ref="E913:E916"/>
    <mergeCell ref="F913:F916"/>
    <mergeCell ref="G913:G916"/>
    <mergeCell ref="P937:P940"/>
    <mergeCell ref="B941:B944"/>
    <mergeCell ref="C941:C944"/>
    <mergeCell ref="D941:D944"/>
    <mergeCell ref="E941:E944"/>
    <mergeCell ref="F941:F944"/>
    <mergeCell ref="G941:G944"/>
    <mergeCell ref="P941:P944"/>
    <mergeCell ref="B937:B940"/>
    <mergeCell ref="C937:C940"/>
    <mergeCell ref="D937:D940"/>
    <mergeCell ref="E937:E940"/>
    <mergeCell ref="F937:F940"/>
    <mergeCell ref="G937:G940"/>
    <mergeCell ref="P929:P932"/>
    <mergeCell ref="B933:B936"/>
    <mergeCell ref="C933:C936"/>
    <mergeCell ref="D933:D936"/>
    <mergeCell ref="E933:E936"/>
    <mergeCell ref="F933:F936"/>
    <mergeCell ref="G933:G936"/>
    <mergeCell ref="P933:P936"/>
    <mergeCell ref="B929:B932"/>
    <mergeCell ref="C929:C932"/>
    <mergeCell ref="D929:D932"/>
    <mergeCell ref="E929:E932"/>
    <mergeCell ref="F929:F932"/>
    <mergeCell ref="G929:G932"/>
    <mergeCell ref="P953:P956"/>
    <mergeCell ref="B957:B960"/>
    <mergeCell ref="C957:C960"/>
    <mergeCell ref="D957:D960"/>
    <mergeCell ref="E957:E960"/>
    <mergeCell ref="F957:F960"/>
    <mergeCell ref="G957:G960"/>
    <mergeCell ref="P957:P960"/>
    <mergeCell ref="B953:B956"/>
    <mergeCell ref="C953:C956"/>
    <mergeCell ref="D953:D956"/>
    <mergeCell ref="E953:E956"/>
    <mergeCell ref="F953:F956"/>
    <mergeCell ref="G953:G956"/>
    <mergeCell ref="P945:P948"/>
    <mergeCell ref="B949:B952"/>
    <mergeCell ref="C949:C952"/>
    <mergeCell ref="D949:D952"/>
    <mergeCell ref="E949:E952"/>
    <mergeCell ref="F949:F952"/>
    <mergeCell ref="G949:G952"/>
    <mergeCell ref="P949:P952"/>
    <mergeCell ref="B945:B948"/>
    <mergeCell ref="C945:C948"/>
    <mergeCell ref="D945:D948"/>
    <mergeCell ref="E945:E948"/>
    <mergeCell ref="F945:F948"/>
    <mergeCell ref="G945:G948"/>
    <mergeCell ref="P969:P972"/>
    <mergeCell ref="B973:B976"/>
    <mergeCell ref="C973:C976"/>
    <mergeCell ref="D973:D976"/>
    <mergeCell ref="E973:E976"/>
    <mergeCell ref="F973:F976"/>
    <mergeCell ref="G973:G976"/>
    <mergeCell ref="P973:P976"/>
    <mergeCell ref="B969:B972"/>
    <mergeCell ref="C969:C972"/>
    <mergeCell ref="D969:D972"/>
    <mergeCell ref="E969:E972"/>
    <mergeCell ref="F969:F972"/>
    <mergeCell ref="G969:G972"/>
    <mergeCell ref="P961:P964"/>
    <mergeCell ref="B965:B968"/>
    <mergeCell ref="C965:C968"/>
    <mergeCell ref="D965:D968"/>
    <mergeCell ref="E965:E968"/>
    <mergeCell ref="F965:F968"/>
    <mergeCell ref="G965:G968"/>
    <mergeCell ref="P965:P968"/>
    <mergeCell ref="B961:B964"/>
    <mergeCell ref="C961:C964"/>
    <mergeCell ref="D961:D964"/>
    <mergeCell ref="E961:E964"/>
    <mergeCell ref="F961:F964"/>
    <mergeCell ref="G961:G964"/>
    <mergeCell ref="P985:P988"/>
    <mergeCell ref="B989:B992"/>
    <mergeCell ref="C989:C992"/>
    <mergeCell ref="D989:D992"/>
    <mergeCell ref="E989:E992"/>
    <mergeCell ref="F989:F992"/>
    <mergeCell ref="G989:G992"/>
    <mergeCell ref="P989:P992"/>
    <mergeCell ref="B985:B988"/>
    <mergeCell ref="C985:C988"/>
    <mergeCell ref="D985:D988"/>
    <mergeCell ref="E985:E988"/>
    <mergeCell ref="F985:F988"/>
    <mergeCell ref="G985:G988"/>
    <mergeCell ref="P977:P980"/>
    <mergeCell ref="B981:B984"/>
    <mergeCell ref="C981:C984"/>
    <mergeCell ref="D981:D984"/>
    <mergeCell ref="E981:E984"/>
    <mergeCell ref="F981:F984"/>
    <mergeCell ref="G981:G984"/>
    <mergeCell ref="P981:P984"/>
    <mergeCell ref="B977:B980"/>
    <mergeCell ref="C977:C980"/>
    <mergeCell ref="D977:D980"/>
    <mergeCell ref="E977:E980"/>
    <mergeCell ref="F977:F980"/>
    <mergeCell ref="G977:G980"/>
    <mergeCell ref="P1001:P1004"/>
    <mergeCell ref="B1005:B1008"/>
    <mergeCell ref="C1005:C1008"/>
    <mergeCell ref="D1005:D1008"/>
    <mergeCell ref="E1005:E1008"/>
    <mergeCell ref="F1005:F1008"/>
    <mergeCell ref="G1005:G1008"/>
    <mergeCell ref="P1005:P1008"/>
    <mergeCell ref="B1001:B1004"/>
    <mergeCell ref="C1001:C1004"/>
    <mergeCell ref="D1001:D1004"/>
    <mergeCell ref="E1001:E1004"/>
    <mergeCell ref="F1001:F1004"/>
    <mergeCell ref="G1001:G1004"/>
    <mergeCell ref="P993:P996"/>
    <mergeCell ref="B997:B1000"/>
    <mergeCell ref="C997:C1000"/>
    <mergeCell ref="D997:D1000"/>
    <mergeCell ref="E997:E1000"/>
    <mergeCell ref="F997:F1000"/>
    <mergeCell ref="G997:G1000"/>
    <mergeCell ref="P997:P1000"/>
    <mergeCell ref="B993:B996"/>
    <mergeCell ref="C993:C996"/>
    <mergeCell ref="D993:D996"/>
    <mergeCell ref="E993:E996"/>
    <mergeCell ref="F993:F996"/>
    <mergeCell ref="G993:G996"/>
    <mergeCell ref="P1017:P1020"/>
    <mergeCell ref="B1021:B1024"/>
    <mergeCell ref="C1021:C1024"/>
    <mergeCell ref="D1021:D1024"/>
    <mergeCell ref="E1021:E1024"/>
    <mergeCell ref="F1021:F1024"/>
    <mergeCell ref="G1021:G1024"/>
    <mergeCell ref="P1021:P1024"/>
    <mergeCell ref="B1017:B1020"/>
    <mergeCell ref="C1017:C1020"/>
    <mergeCell ref="D1017:D1020"/>
    <mergeCell ref="E1017:E1020"/>
    <mergeCell ref="F1017:F1020"/>
    <mergeCell ref="G1017:G1020"/>
    <mergeCell ref="P1009:P1012"/>
    <mergeCell ref="B1013:B1016"/>
    <mergeCell ref="C1013:C1016"/>
    <mergeCell ref="D1013:D1016"/>
    <mergeCell ref="E1013:E1016"/>
    <mergeCell ref="F1013:F1016"/>
    <mergeCell ref="G1013:G1016"/>
    <mergeCell ref="P1013:P1016"/>
    <mergeCell ref="B1009:B1012"/>
    <mergeCell ref="C1009:C1012"/>
    <mergeCell ref="D1009:D1012"/>
    <mergeCell ref="E1009:E1012"/>
    <mergeCell ref="F1009:F1012"/>
    <mergeCell ref="G1009:G1012"/>
    <mergeCell ref="P1033:P1036"/>
    <mergeCell ref="B1037:B1040"/>
    <mergeCell ref="C1037:C1040"/>
    <mergeCell ref="D1037:D1040"/>
    <mergeCell ref="E1037:E1040"/>
    <mergeCell ref="F1037:F1040"/>
    <mergeCell ref="G1037:G1040"/>
    <mergeCell ref="P1037:P1040"/>
    <mergeCell ref="B1033:B1036"/>
    <mergeCell ref="C1033:C1036"/>
    <mergeCell ref="D1033:D1036"/>
    <mergeCell ref="E1033:E1036"/>
    <mergeCell ref="F1033:F1036"/>
    <mergeCell ref="G1033:G1036"/>
    <mergeCell ref="P1025:P1028"/>
    <mergeCell ref="B1029:B1032"/>
    <mergeCell ref="C1029:C1032"/>
    <mergeCell ref="D1029:D1032"/>
    <mergeCell ref="E1029:E1032"/>
    <mergeCell ref="F1029:F1032"/>
    <mergeCell ref="G1029:G1032"/>
    <mergeCell ref="P1029:P1032"/>
    <mergeCell ref="B1025:B1028"/>
    <mergeCell ref="C1025:C1028"/>
    <mergeCell ref="D1025:D1028"/>
    <mergeCell ref="E1025:E1028"/>
    <mergeCell ref="F1025:F1028"/>
    <mergeCell ref="G1025:G1028"/>
    <mergeCell ref="P1049:P1052"/>
    <mergeCell ref="B1053:P1053"/>
    <mergeCell ref="B1054:B1057"/>
    <mergeCell ref="C1054:C1057"/>
    <mergeCell ref="D1054:D1057"/>
    <mergeCell ref="E1054:E1057"/>
    <mergeCell ref="F1054:F1057"/>
    <mergeCell ref="G1054:G1057"/>
    <mergeCell ref="P1054:P1057"/>
    <mergeCell ref="B1049:B1052"/>
    <mergeCell ref="C1049:C1052"/>
    <mergeCell ref="D1049:D1052"/>
    <mergeCell ref="E1049:E1052"/>
    <mergeCell ref="F1049:F1052"/>
    <mergeCell ref="G1049:G1052"/>
    <mergeCell ref="P1041:P1044"/>
    <mergeCell ref="B1045:B1048"/>
    <mergeCell ref="C1045:C1048"/>
    <mergeCell ref="D1045:D1048"/>
    <mergeCell ref="E1045:E1048"/>
    <mergeCell ref="F1045:F1048"/>
    <mergeCell ref="G1045:G1048"/>
    <mergeCell ref="P1045:P1048"/>
    <mergeCell ref="B1041:B1044"/>
    <mergeCell ref="C1041:C1044"/>
    <mergeCell ref="D1041:D1044"/>
    <mergeCell ref="E1041:E1044"/>
    <mergeCell ref="F1041:F1044"/>
    <mergeCell ref="G1041:G1044"/>
    <mergeCell ref="P1066:P1069"/>
    <mergeCell ref="B1070:B1073"/>
    <mergeCell ref="C1070:C1073"/>
    <mergeCell ref="D1070:D1073"/>
    <mergeCell ref="E1070:E1073"/>
    <mergeCell ref="F1070:F1073"/>
    <mergeCell ref="G1070:G1073"/>
    <mergeCell ref="P1070:P1073"/>
    <mergeCell ref="B1066:B1069"/>
    <mergeCell ref="C1066:C1069"/>
    <mergeCell ref="D1066:D1069"/>
    <mergeCell ref="E1066:E1069"/>
    <mergeCell ref="F1066:F1069"/>
    <mergeCell ref="G1066:G1069"/>
    <mergeCell ref="P1058:P1061"/>
    <mergeCell ref="B1062:B1065"/>
    <mergeCell ref="C1062:C1065"/>
    <mergeCell ref="D1062:D1065"/>
    <mergeCell ref="E1062:E1065"/>
    <mergeCell ref="F1062:F1065"/>
    <mergeCell ref="G1062:G1065"/>
    <mergeCell ref="P1062:P1065"/>
    <mergeCell ref="B1058:B1061"/>
    <mergeCell ref="C1058:C1061"/>
    <mergeCell ref="D1058:D1061"/>
    <mergeCell ref="E1058:E1061"/>
    <mergeCell ref="F1058:F1061"/>
    <mergeCell ref="G1058:G1061"/>
    <mergeCell ref="P1082:P1085"/>
    <mergeCell ref="B1086:P1086"/>
    <mergeCell ref="B1087:B1090"/>
    <mergeCell ref="C1087:C1090"/>
    <mergeCell ref="D1087:D1090"/>
    <mergeCell ref="E1087:E1090"/>
    <mergeCell ref="F1087:F1090"/>
    <mergeCell ref="G1087:G1090"/>
    <mergeCell ref="P1087:P1090"/>
    <mergeCell ref="B1082:B1085"/>
    <mergeCell ref="C1082:C1085"/>
    <mergeCell ref="D1082:D1085"/>
    <mergeCell ref="E1082:E1085"/>
    <mergeCell ref="F1082:F1085"/>
    <mergeCell ref="G1082:G1085"/>
    <mergeCell ref="P1074:P1077"/>
    <mergeCell ref="B1078:B1081"/>
    <mergeCell ref="C1078:C1081"/>
    <mergeCell ref="D1078:D1081"/>
    <mergeCell ref="E1078:E1081"/>
    <mergeCell ref="F1078:F1081"/>
    <mergeCell ref="G1078:G1081"/>
    <mergeCell ref="P1078:P1081"/>
    <mergeCell ref="B1074:B1077"/>
    <mergeCell ref="C1074:C1077"/>
    <mergeCell ref="D1074:D1077"/>
    <mergeCell ref="E1074:E1077"/>
    <mergeCell ref="F1074:F1077"/>
    <mergeCell ref="G1074:G1077"/>
    <mergeCell ref="P1099:P1102"/>
    <mergeCell ref="B1103:B1106"/>
    <mergeCell ref="C1103:C1106"/>
    <mergeCell ref="D1103:D1106"/>
    <mergeCell ref="E1103:E1106"/>
    <mergeCell ref="F1103:F1106"/>
    <mergeCell ref="G1103:G1106"/>
    <mergeCell ref="P1103:P1106"/>
    <mergeCell ref="B1099:B1102"/>
    <mergeCell ref="C1099:C1102"/>
    <mergeCell ref="D1099:D1102"/>
    <mergeCell ref="E1099:E1102"/>
    <mergeCell ref="F1099:F1102"/>
    <mergeCell ref="G1099:G1102"/>
    <mergeCell ref="P1091:P1094"/>
    <mergeCell ref="B1095:B1098"/>
    <mergeCell ref="C1095:C1098"/>
    <mergeCell ref="D1095:D1098"/>
    <mergeCell ref="E1095:E1098"/>
    <mergeCell ref="F1095:F1098"/>
    <mergeCell ref="G1095:G1098"/>
    <mergeCell ref="P1095:P1098"/>
    <mergeCell ref="B1091:B1094"/>
    <mergeCell ref="C1091:C1094"/>
    <mergeCell ref="D1091:D1094"/>
    <mergeCell ref="E1091:E1094"/>
    <mergeCell ref="F1091:F1094"/>
    <mergeCell ref="G1091:G1094"/>
  </mergeCells>
  <conditionalFormatting sqref="A1108 A1107:XFD1107 A1109:XFD1048576 C1108:XFD1108 A793:XFD793 A802:P805 I95:O98 I180:O183 I246:O249 I267:O270 I348:O351 I401:O404 I438:O441 I463:O466 I476:O479 I497:O500 I558:O561 I579:O582 I640:O643 I669:O672 I710:O713 I755:O758 I764:O767 I789:O792 I839:O842 I872:O875 I1082:O1085 I1099:O1106 I229:O232 A3:C4 E3:G4 I4:XFD4 P3:XFD3 A5:XFD29 I794:O801 S802:XFD805 A30:P33 S30:XFD33 I1049:O1052 A1:XFD2">
    <cfRule type="cellIs" dxfId="252" priority="29" operator="equal">
      <formula>0</formula>
    </cfRule>
  </conditionalFormatting>
  <conditionalFormatting sqref="B1108">
    <cfRule type="cellIs" dxfId="251" priority="28" operator="equal">
      <formula>0</formula>
    </cfRule>
  </conditionalFormatting>
  <conditionalFormatting sqref="IU794:XFD801">
    <cfRule type="cellIs" dxfId="250" priority="27" operator="equal">
      <formula>0</formula>
    </cfRule>
  </conditionalFormatting>
  <conditionalFormatting sqref="P794:IT801 A794:H801">
    <cfRule type="cellIs" dxfId="249" priority="26" operator="equal">
      <formula>0</formula>
    </cfRule>
  </conditionalFormatting>
  <conditionalFormatting sqref="B406:B437">
    <cfRule type="duplicateValues" dxfId="248" priority="25"/>
  </conditionalFormatting>
  <conditionalFormatting sqref="B636:B639 B584:B607">
    <cfRule type="duplicateValues" dxfId="247" priority="24"/>
  </conditionalFormatting>
  <conditionalFormatting sqref="B608:B611 B616:B635">
    <cfRule type="duplicateValues" dxfId="246" priority="23"/>
  </conditionalFormatting>
  <conditionalFormatting sqref="B612:B615">
    <cfRule type="duplicateValues" dxfId="245" priority="22"/>
  </conditionalFormatting>
  <conditionalFormatting sqref="D3:D4">
    <cfRule type="cellIs" dxfId="244" priority="21" operator="equal">
      <formula>0</formula>
    </cfRule>
  </conditionalFormatting>
  <conditionalFormatting sqref="H4">
    <cfRule type="cellIs" dxfId="243" priority="20" operator="equal">
      <formula>0</formula>
    </cfRule>
  </conditionalFormatting>
  <conditionalFormatting sqref="H3:O3">
    <cfRule type="cellIs" dxfId="242" priority="19" operator="equal">
      <formula>0</formula>
    </cfRule>
  </conditionalFormatting>
  <conditionalFormatting sqref="I35:I94">
    <cfRule type="cellIs" dxfId="241" priority="18" operator="equal">
      <formula>0</formula>
    </cfRule>
  </conditionalFormatting>
  <conditionalFormatting sqref="I807:I838">
    <cfRule type="cellIs" dxfId="240" priority="17" operator="equal">
      <formula>0</formula>
    </cfRule>
  </conditionalFormatting>
  <conditionalFormatting sqref="B877:B892 B1045:B1048">
    <cfRule type="duplicateValues" dxfId="239" priority="16"/>
  </conditionalFormatting>
  <conditionalFormatting sqref="B893:B904">
    <cfRule type="duplicateValues" dxfId="238" priority="15"/>
  </conditionalFormatting>
  <conditionalFormatting sqref="B905:B916">
    <cfRule type="duplicateValues" dxfId="237" priority="14"/>
  </conditionalFormatting>
  <conditionalFormatting sqref="B917:B920 B957:B960 B1041:B1044">
    <cfRule type="duplicateValues" dxfId="236" priority="13"/>
  </conditionalFormatting>
  <conditionalFormatting sqref="B921:B932">
    <cfRule type="duplicateValues" dxfId="235" priority="12"/>
  </conditionalFormatting>
  <conditionalFormatting sqref="B933:B944">
    <cfRule type="duplicateValues" dxfId="234" priority="11"/>
  </conditionalFormatting>
  <conditionalFormatting sqref="B945:B956">
    <cfRule type="duplicateValues" dxfId="233" priority="10"/>
  </conditionalFormatting>
  <conditionalFormatting sqref="B997:B1000">
    <cfRule type="duplicateValues" dxfId="232" priority="9"/>
  </conditionalFormatting>
  <conditionalFormatting sqref="B961:B972">
    <cfRule type="duplicateValues" dxfId="231" priority="8"/>
  </conditionalFormatting>
  <conditionalFormatting sqref="B973:B984">
    <cfRule type="duplicateValues" dxfId="230" priority="7"/>
  </conditionalFormatting>
  <conditionalFormatting sqref="B985:B996">
    <cfRule type="duplicateValues" dxfId="229" priority="6"/>
  </conditionalFormatting>
  <conditionalFormatting sqref="B1037:B1040">
    <cfRule type="duplicateValues" dxfId="228" priority="5"/>
  </conditionalFormatting>
  <conditionalFormatting sqref="B1001:B1012">
    <cfRule type="duplicateValues" dxfId="227" priority="4"/>
  </conditionalFormatting>
  <conditionalFormatting sqref="B1013:B1024">
    <cfRule type="duplicateValues" dxfId="226" priority="3"/>
  </conditionalFormatting>
  <conditionalFormatting sqref="B1025:B1036">
    <cfRule type="duplicateValues" dxfId="225" priority="2"/>
  </conditionalFormatting>
  <conditionalFormatting sqref="J1048">
    <cfRule type="cellIs" dxfId="22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8AE0-C50D-4F86-B4D4-B6A556AF2261}">
  <sheetPr>
    <pageSetUpPr fitToPage="1"/>
  </sheetPr>
  <dimension ref="B1:Q300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6384" width="9.140625" style="2"/>
  </cols>
  <sheetData>
    <row r="1" spans="2:16" ht="21.75" customHeight="1" x14ac:dyDescent="0.25">
      <c r="B1" s="120" t="s">
        <v>950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6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6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6" ht="25.5" customHeight="1" x14ac:dyDescent="0.2">
      <c r="B5" s="111" t="s">
        <v>79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42.75" customHeight="1" outlineLevel="1" x14ac:dyDescent="0.2">
      <c r="B6" s="114" t="s">
        <v>951</v>
      </c>
      <c r="C6" s="114"/>
      <c r="D6" s="117" t="s">
        <v>79</v>
      </c>
      <c r="E6" s="117">
        <v>2021</v>
      </c>
      <c r="F6" s="114" t="s">
        <v>952</v>
      </c>
      <c r="G6" s="114"/>
      <c r="H6" s="50" t="s">
        <v>3</v>
      </c>
      <c r="I6" s="85">
        <f>SUM(J6:O6)</f>
        <v>9.7000000000000011</v>
      </c>
      <c r="J6" s="85">
        <f t="shared" ref="J6:L6" si="0">J7+J8+J9</f>
        <v>0</v>
      </c>
      <c r="K6" s="85">
        <f t="shared" si="0"/>
        <v>9.7000000000000011</v>
      </c>
      <c r="L6" s="85">
        <f t="shared" si="0"/>
        <v>0</v>
      </c>
      <c r="M6" s="85">
        <v>0</v>
      </c>
      <c r="N6" s="85">
        <f t="shared" ref="N6:O6" si="1">N7+N8+N9</f>
        <v>0</v>
      </c>
      <c r="O6" s="85">
        <f t="shared" si="1"/>
        <v>0</v>
      </c>
      <c r="P6" s="114"/>
    </row>
    <row r="7" spans="2:16" outlineLevel="1" x14ac:dyDescent="0.2">
      <c r="B7" s="115"/>
      <c r="C7" s="137"/>
      <c r="D7" s="118"/>
      <c r="E7" s="118"/>
      <c r="F7" s="115"/>
      <c r="G7" s="115"/>
      <c r="H7" s="50" t="s">
        <v>4</v>
      </c>
      <c r="I7" s="85">
        <f>SUM(J7:O7)</f>
        <v>9.2200000000000006</v>
      </c>
      <c r="J7" s="85"/>
      <c r="K7" s="85">
        <v>9.2200000000000006</v>
      </c>
      <c r="L7" s="85"/>
      <c r="M7" s="85"/>
      <c r="N7" s="85"/>
      <c r="O7" s="85"/>
      <c r="P7" s="115"/>
    </row>
    <row r="8" spans="2:16" outlineLevel="1" x14ac:dyDescent="0.2">
      <c r="B8" s="115"/>
      <c r="C8" s="137"/>
      <c r="D8" s="118"/>
      <c r="E8" s="118"/>
      <c r="F8" s="115"/>
      <c r="G8" s="115"/>
      <c r="H8" s="50" t="s">
        <v>6</v>
      </c>
      <c r="I8" s="85">
        <f>SUM(J8:O8)</f>
        <v>0.48</v>
      </c>
      <c r="J8" s="85"/>
      <c r="K8" s="85">
        <v>0.48</v>
      </c>
      <c r="L8" s="85"/>
      <c r="M8" s="85"/>
      <c r="N8" s="85"/>
      <c r="O8" s="85"/>
      <c r="P8" s="115"/>
    </row>
    <row r="9" spans="2:16" outlineLevel="1" x14ac:dyDescent="0.2">
      <c r="B9" s="116"/>
      <c r="C9" s="138"/>
      <c r="D9" s="119"/>
      <c r="E9" s="119"/>
      <c r="F9" s="116"/>
      <c r="G9" s="116"/>
      <c r="H9" s="50" t="s">
        <v>5</v>
      </c>
      <c r="I9" s="85"/>
      <c r="J9" s="85"/>
      <c r="K9" s="85"/>
      <c r="L9" s="85"/>
      <c r="M9" s="85"/>
      <c r="N9" s="85"/>
      <c r="O9" s="85"/>
      <c r="P9" s="116"/>
    </row>
    <row r="10" spans="2:16" ht="42.75" x14ac:dyDescent="0.2">
      <c r="B10" s="128" t="s">
        <v>89</v>
      </c>
      <c r="C10" s="128" t="s">
        <v>38</v>
      </c>
      <c r="D10" s="128" t="s">
        <v>38</v>
      </c>
      <c r="E10" s="128" t="s">
        <v>38</v>
      </c>
      <c r="F10" s="128" t="s">
        <v>38</v>
      </c>
      <c r="G10" s="128" t="s">
        <v>38</v>
      </c>
      <c r="H10" s="84" t="s">
        <v>3</v>
      </c>
      <c r="I10" s="14">
        <f t="shared" ref="I10:O10" si="2">SUMIF($H$6:$H$9,"Объем*",I$6:I$9)</f>
        <v>9.7000000000000011</v>
      </c>
      <c r="J10" s="14">
        <f t="shared" si="2"/>
        <v>0</v>
      </c>
      <c r="K10" s="14">
        <f t="shared" si="2"/>
        <v>9.7000000000000011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28"/>
    </row>
    <row r="11" spans="2:16" ht="15.75" x14ac:dyDescent="0.2">
      <c r="B11" s="129"/>
      <c r="C11" s="129"/>
      <c r="D11" s="129"/>
      <c r="E11" s="129"/>
      <c r="F11" s="129"/>
      <c r="G11" s="129"/>
      <c r="H11" s="84" t="s">
        <v>4</v>
      </c>
      <c r="I11" s="14">
        <f t="shared" ref="I11:O11" si="3">SUMIF($H$6:$H$9,"фед*",I$6:I$9)</f>
        <v>9.2200000000000006</v>
      </c>
      <c r="J11" s="14">
        <f t="shared" si="3"/>
        <v>0</v>
      </c>
      <c r="K11" s="14">
        <f t="shared" si="3"/>
        <v>9.2200000000000006</v>
      </c>
      <c r="L11" s="14">
        <f t="shared" si="3"/>
        <v>0</v>
      </c>
      <c r="M11" s="14">
        <f t="shared" si="3"/>
        <v>0</v>
      </c>
      <c r="N11" s="14">
        <f t="shared" si="3"/>
        <v>0</v>
      </c>
      <c r="O11" s="14">
        <f t="shared" si="3"/>
        <v>0</v>
      </c>
      <c r="P11" s="129"/>
    </row>
    <row r="12" spans="2:16" ht="15.75" x14ac:dyDescent="0.2">
      <c r="B12" s="129"/>
      <c r="C12" s="129"/>
      <c r="D12" s="129"/>
      <c r="E12" s="129"/>
      <c r="F12" s="129"/>
      <c r="G12" s="129"/>
      <c r="H12" s="84" t="s">
        <v>6</v>
      </c>
      <c r="I12" s="14">
        <f t="shared" ref="I12:O12" si="4">SUMIF($H$6:$H$9,"конс*",I$6:I$9)</f>
        <v>0.48</v>
      </c>
      <c r="J12" s="14">
        <f t="shared" si="4"/>
        <v>0</v>
      </c>
      <c r="K12" s="14">
        <f t="shared" si="4"/>
        <v>0.48</v>
      </c>
      <c r="L12" s="14">
        <f t="shared" si="4"/>
        <v>0</v>
      </c>
      <c r="M12" s="14">
        <f t="shared" si="4"/>
        <v>0</v>
      </c>
      <c r="N12" s="14">
        <f t="shared" si="4"/>
        <v>0</v>
      </c>
      <c r="O12" s="14">
        <f t="shared" si="4"/>
        <v>0</v>
      </c>
      <c r="P12" s="129"/>
    </row>
    <row r="13" spans="2:16" ht="15.75" x14ac:dyDescent="0.2">
      <c r="B13" s="130"/>
      <c r="C13" s="130"/>
      <c r="D13" s="130"/>
      <c r="E13" s="130"/>
      <c r="F13" s="130"/>
      <c r="G13" s="130"/>
      <c r="H13" s="84" t="s">
        <v>5</v>
      </c>
      <c r="I13" s="76">
        <f t="shared" ref="I13:O13" si="5">SUMIF($H$6:$H$9,"вне*",I$6:I$9)</f>
        <v>0</v>
      </c>
      <c r="J13" s="76">
        <f t="shared" si="5"/>
        <v>0</v>
      </c>
      <c r="K13" s="76">
        <f t="shared" si="5"/>
        <v>0</v>
      </c>
      <c r="L13" s="76">
        <f t="shared" si="5"/>
        <v>0</v>
      </c>
      <c r="M13" s="76">
        <f t="shared" si="5"/>
        <v>0</v>
      </c>
      <c r="N13" s="76">
        <f t="shared" si="5"/>
        <v>0</v>
      </c>
      <c r="O13" s="76">
        <f t="shared" si="5"/>
        <v>0</v>
      </c>
      <c r="P13" s="130"/>
    </row>
    <row r="14" spans="2:16" ht="25.5" customHeight="1" x14ac:dyDescent="0.2">
      <c r="B14" s="111" t="s">
        <v>90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</row>
    <row r="15" spans="2:16" ht="42.75" customHeight="1" outlineLevel="1" x14ac:dyDescent="0.2">
      <c r="B15" s="117" t="s">
        <v>953</v>
      </c>
      <c r="C15" s="117"/>
      <c r="D15" s="117" t="s">
        <v>954</v>
      </c>
      <c r="E15" s="117">
        <v>2022</v>
      </c>
      <c r="F15" s="117" t="s">
        <v>955</v>
      </c>
      <c r="G15" s="117"/>
      <c r="H15" s="84" t="s">
        <v>3</v>
      </c>
      <c r="I15" s="85">
        <f>SUM(J15:O15)</f>
        <v>19.23</v>
      </c>
      <c r="J15" s="83">
        <f t="shared" ref="J15:O15" si="6">J16+J17+J18</f>
        <v>0</v>
      </c>
      <c r="K15" s="83">
        <f t="shared" si="6"/>
        <v>0</v>
      </c>
      <c r="L15" s="83">
        <f t="shared" si="6"/>
        <v>19.23</v>
      </c>
      <c r="M15" s="83">
        <f t="shared" si="6"/>
        <v>0</v>
      </c>
      <c r="N15" s="83">
        <f t="shared" si="6"/>
        <v>0</v>
      </c>
      <c r="O15" s="83">
        <f t="shared" si="6"/>
        <v>0</v>
      </c>
      <c r="P15" s="117"/>
    </row>
    <row r="16" spans="2:16" outlineLevel="1" x14ac:dyDescent="0.2">
      <c r="B16" s="118"/>
      <c r="C16" s="118"/>
      <c r="D16" s="118"/>
      <c r="E16" s="118"/>
      <c r="F16" s="118"/>
      <c r="G16" s="118"/>
      <c r="H16" s="84" t="s">
        <v>4</v>
      </c>
      <c r="I16" s="85">
        <f>SUM(J16:O16)</f>
        <v>18.27</v>
      </c>
      <c r="J16" s="83"/>
      <c r="K16" s="83"/>
      <c r="L16" s="83">
        <v>18.27</v>
      </c>
      <c r="M16" s="83"/>
      <c r="N16" s="83"/>
      <c r="O16" s="83"/>
      <c r="P16" s="118"/>
    </row>
    <row r="17" spans="2:16" outlineLevel="1" x14ac:dyDescent="0.2">
      <c r="B17" s="118"/>
      <c r="C17" s="118"/>
      <c r="D17" s="118"/>
      <c r="E17" s="118"/>
      <c r="F17" s="118"/>
      <c r="G17" s="118"/>
      <c r="H17" s="84" t="s">
        <v>6</v>
      </c>
      <c r="I17" s="85">
        <f>SUM(J17:O17)</f>
        <v>0.96</v>
      </c>
      <c r="J17" s="83">
        <v>0</v>
      </c>
      <c r="K17" s="83"/>
      <c r="L17" s="83">
        <v>0.96</v>
      </c>
      <c r="M17" s="83">
        <v>0</v>
      </c>
      <c r="N17" s="83">
        <v>0</v>
      </c>
      <c r="O17" s="83">
        <v>0</v>
      </c>
      <c r="P17" s="118"/>
    </row>
    <row r="18" spans="2:16" outlineLevel="1" x14ac:dyDescent="0.2">
      <c r="B18" s="119"/>
      <c r="C18" s="119"/>
      <c r="D18" s="119"/>
      <c r="E18" s="119"/>
      <c r="F18" s="119"/>
      <c r="G18" s="119"/>
      <c r="H18" s="84" t="s">
        <v>5</v>
      </c>
      <c r="P18" s="119"/>
    </row>
    <row r="19" spans="2:16" ht="42.75" customHeight="1" outlineLevel="1" x14ac:dyDescent="0.2">
      <c r="B19" s="114" t="s">
        <v>951</v>
      </c>
      <c r="C19" s="114"/>
      <c r="D19" s="117" t="s">
        <v>954</v>
      </c>
      <c r="E19" s="117" t="s">
        <v>34</v>
      </c>
      <c r="F19" s="114" t="s">
        <v>956</v>
      </c>
      <c r="G19" s="114"/>
      <c r="H19" s="50" t="s">
        <v>3</v>
      </c>
      <c r="I19" s="58">
        <f>SUM(J19:O19)</f>
        <v>15.100000000000001</v>
      </c>
      <c r="J19" s="85">
        <f t="shared" ref="J19:O19" si="7">J20+J21+J22</f>
        <v>0</v>
      </c>
      <c r="K19" s="85">
        <f t="shared" si="7"/>
        <v>4.8500000000000005</v>
      </c>
      <c r="L19" s="85">
        <f t="shared" si="7"/>
        <v>5.03</v>
      </c>
      <c r="M19" s="85">
        <f t="shared" si="7"/>
        <v>5.22</v>
      </c>
      <c r="N19" s="85">
        <f t="shared" si="7"/>
        <v>0</v>
      </c>
      <c r="O19" s="85">
        <f t="shared" si="7"/>
        <v>0</v>
      </c>
      <c r="P19" s="114"/>
    </row>
    <row r="20" spans="2:16" outlineLevel="1" x14ac:dyDescent="0.2">
      <c r="B20" s="115"/>
      <c r="C20" s="137"/>
      <c r="D20" s="118"/>
      <c r="E20" s="118"/>
      <c r="F20" s="115"/>
      <c r="G20" s="115"/>
      <c r="H20" s="50" t="s">
        <v>4</v>
      </c>
      <c r="I20" s="85">
        <f>SUM(J20:O20)</f>
        <v>14.350000000000001</v>
      </c>
      <c r="J20" s="85"/>
      <c r="K20" s="85">
        <v>4.6100000000000003</v>
      </c>
      <c r="L20" s="85">
        <v>4.78</v>
      </c>
      <c r="M20" s="85">
        <v>4.96</v>
      </c>
      <c r="N20" s="85"/>
      <c r="O20" s="85"/>
      <c r="P20" s="115"/>
    </row>
    <row r="21" spans="2:16" outlineLevel="1" x14ac:dyDescent="0.2">
      <c r="B21" s="115"/>
      <c r="C21" s="137"/>
      <c r="D21" s="118"/>
      <c r="E21" s="118"/>
      <c r="F21" s="115"/>
      <c r="G21" s="115"/>
      <c r="H21" s="50" t="s">
        <v>6</v>
      </c>
      <c r="I21" s="85">
        <f>SUM(J21:O21)</f>
        <v>0.75</v>
      </c>
      <c r="J21" s="85"/>
      <c r="K21" s="85">
        <v>0.24</v>
      </c>
      <c r="L21" s="85">
        <v>0.25</v>
      </c>
      <c r="M21" s="85">
        <v>0.26</v>
      </c>
      <c r="N21" s="85"/>
      <c r="O21" s="85"/>
      <c r="P21" s="115"/>
    </row>
    <row r="22" spans="2:16" outlineLevel="1" x14ac:dyDescent="0.2">
      <c r="B22" s="116"/>
      <c r="C22" s="138"/>
      <c r="D22" s="119"/>
      <c r="E22" s="119"/>
      <c r="F22" s="116"/>
      <c r="G22" s="116"/>
      <c r="H22" s="50" t="s">
        <v>5</v>
      </c>
      <c r="I22" s="85"/>
      <c r="J22" s="85"/>
      <c r="K22" s="85"/>
      <c r="L22" s="85"/>
      <c r="M22" s="85"/>
      <c r="N22" s="85"/>
      <c r="O22" s="85"/>
      <c r="P22" s="116"/>
    </row>
    <row r="23" spans="2:16" ht="42.75" x14ac:dyDescent="0.2">
      <c r="B23" s="128" t="s">
        <v>110</v>
      </c>
      <c r="C23" s="128" t="s">
        <v>38</v>
      </c>
      <c r="D23" s="128" t="s">
        <v>38</v>
      </c>
      <c r="E23" s="128" t="s">
        <v>38</v>
      </c>
      <c r="F23" s="128" t="s">
        <v>38</v>
      </c>
      <c r="G23" s="128" t="s">
        <v>38</v>
      </c>
      <c r="H23" s="84" t="s">
        <v>3</v>
      </c>
      <c r="I23" s="14">
        <f>SUMIF($H$15:$H$22,"Объем*",I$15:I$22)</f>
        <v>34.33</v>
      </c>
      <c r="J23" s="14">
        <f t="shared" ref="J23:O23" si="8">SUMIF($H$15:$H$22,"Объем*",J$15:J$22)</f>
        <v>0</v>
      </c>
      <c r="K23" s="14">
        <f t="shared" si="8"/>
        <v>4.8500000000000005</v>
      </c>
      <c r="L23" s="14">
        <f t="shared" si="8"/>
        <v>24.26</v>
      </c>
      <c r="M23" s="14">
        <f t="shared" si="8"/>
        <v>5.22</v>
      </c>
      <c r="N23" s="14">
        <f t="shared" si="8"/>
        <v>0</v>
      </c>
      <c r="O23" s="14">
        <f t="shared" si="8"/>
        <v>0</v>
      </c>
      <c r="P23" s="128"/>
    </row>
    <row r="24" spans="2:16" ht="15.75" x14ac:dyDescent="0.2">
      <c r="B24" s="129"/>
      <c r="C24" s="129"/>
      <c r="D24" s="129"/>
      <c r="E24" s="129"/>
      <c r="F24" s="129"/>
      <c r="G24" s="129"/>
      <c r="H24" s="84" t="s">
        <v>4</v>
      </c>
      <c r="I24" s="14">
        <f>SUMIF($H$15:$H$22,"фед*",I$15:I$22)</f>
        <v>32.620000000000005</v>
      </c>
      <c r="J24" s="14">
        <f t="shared" ref="J24:O24" si="9">SUMIF($H$15:$H$22,"фед*",J$15:J$22)</f>
        <v>0</v>
      </c>
      <c r="K24" s="14">
        <f t="shared" si="9"/>
        <v>4.6100000000000003</v>
      </c>
      <c r="L24" s="14">
        <f t="shared" si="9"/>
        <v>23.05</v>
      </c>
      <c r="M24" s="14">
        <f t="shared" si="9"/>
        <v>4.96</v>
      </c>
      <c r="N24" s="14">
        <f t="shared" si="9"/>
        <v>0</v>
      </c>
      <c r="O24" s="14">
        <f t="shared" si="9"/>
        <v>0</v>
      </c>
      <c r="P24" s="129"/>
    </row>
    <row r="25" spans="2:16" ht="15.75" x14ac:dyDescent="0.2">
      <c r="B25" s="129"/>
      <c r="C25" s="129"/>
      <c r="D25" s="129"/>
      <c r="E25" s="129"/>
      <c r="F25" s="129"/>
      <c r="G25" s="129"/>
      <c r="H25" s="84" t="s">
        <v>6</v>
      </c>
      <c r="I25" s="14">
        <f>SUMIF($H$15:$H$22,"конс*",I$15:I$22)</f>
        <v>1.71</v>
      </c>
      <c r="J25" s="14">
        <f t="shared" ref="J25:O25" si="10">SUMIF($H$15:$H$22,"конс*",J$15:J$22)</f>
        <v>0</v>
      </c>
      <c r="K25" s="14">
        <f t="shared" si="10"/>
        <v>0.24</v>
      </c>
      <c r="L25" s="14">
        <f t="shared" si="10"/>
        <v>1.21</v>
      </c>
      <c r="M25" s="14">
        <f t="shared" si="10"/>
        <v>0.26</v>
      </c>
      <c r="N25" s="14">
        <f t="shared" si="10"/>
        <v>0</v>
      </c>
      <c r="O25" s="14">
        <f t="shared" si="10"/>
        <v>0</v>
      </c>
      <c r="P25" s="129"/>
    </row>
    <row r="26" spans="2:16" ht="15.75" x14ac:dyDescent="0.2">
      <c r="B26" s="130"/>
      <c r="C26" s="130"/>
      <c r="D26" s="130"/>
      <c r="E26" s="130"/>
      <c r="F26" s="130"/>
      <c r="G26" s="130"/>
      <c r="H26" s="84" t="s">
        <v>5</v>
      </c>
      <c r="I26" s="76">
        <f>SUMIF($H$15:$H$22,"вне*",I$15:I$22)</f>
        <v>0</v>
      </c>
      <c r="J26" s="76">
        <f t="shared" ref="J26:O26" si="11">SUMIF($H$15:$H$22,"вне*",J$15:J$22)</f>
        <v>0</v>
      </c>
      <c r="K26" s="76">
        <f t="shared" si="11"/>
        <v>0</v>
      </c>
      <c r="L26" s="76">
        <f t="shared" si="11"/>
        <v>0</v>
      </c>
      <c r="M26" s="76">
        <f t="shared" si="11"/>
        <v>0</v>
      </c>
      <c r="N26" s="76">
        <f t="shared" si="11"/>
        <v>0</v>
      </c>
      <c r="O26" s="76">
        <f t="shared" si="11"/>
        <v>0</v>
      </c>
      <c r="P26" s="130"/>
    </row>
    <row r="27" spans="2:16" ht="25.5" customHeight="1" x14ac:dyDescent="0.2">
      <c r="B27" s="111" t="s">
        <v>32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</row>
    <row r="28" spans="2:16" ht="42.75" customHeight="1" outlineLevel="1" x14ac:dyDescent="0.2">
      <c r="B28" s="114" t="s">
        <v>957</v>
      </c>
      <c r="C28" s="114"/>
      <c r="D28" s="114" t="s">
        <v>958</v>
      </c>
      <c r="E28" s="114" t="s">
        <v>959</v>
      </c>
      <c r="F28" s="114" t="s">
        <v>960</v>
      </c>
      <c r="G28" s="114"/>
      <c r="H28" s="84" t="s">
        <v>3</v>
      </c>
      <c r="I28" s="85">
        <f>SUM(J28:O28)</f>
        <v>78.47</v>
      </c>
      <c r="J28" s="83">
        <f t="shared" ref="J28:O28" si="12">J29+J30+J31</f>
        <v>0</v>
      </c>
      <c r="K28" s="83">
        <f t="shared" si="12"/>
        <v>18.55</v>
      </c>
      <c r="L28" s="83">
        <f t="shared" si="12"/>
        <v>19.23</v>
      </c>
      <c r="M28" s="83">
        <f t="shared" si="12"/>
        <v>19.96</v>
      </c>
      <c r="N28" s="83">
        <f t="shared" si="12"/>
        <v>20.73</v>
      </c>
      <c r="O28" s="83">
        <f t="shared" si="12"/>
        <v>0</v>
      </c>
      <c r="P28" s="114">
        <v>7150</v>
      </c>
    </row>
    <row r="29" spans="2:16" outlineLevel="1" x14ac:dyDescent="0.2">
      <c r="B29" s="115"/>
      <c r="C29" s="115"/>
      <c r="D29" s="115"/>
      <c r="E29" s="115"/>
      <c r="F29" s="115"/>
      <c r="G29" s="115"/>
      <c r="H29" s="84" t="s">
        <v>4</v>
      </c>
      <c r="I29" s="85">
        <f>SUM(J29:O29)</f>
        <v>74.540000000000006</v>
      </c>
      <c r="J29" s="83"/>
      <c r="K29" s="83">
        <v>17.62</v>
      </c>
      <c r="L29" s="83">
        <v>18.27</v>
      </c>
      <c r="M29" s="83">
        <v>18.96</v>
      </c>
      <c r="N29" s="83">
        <v>19.690000000000001</v>
      </c>
      <c r="O29" s="83"/>
      <c r="P29" s="115"/>
    </row>
    <row r="30" spans="2:16" outlineLevel="1" x14ac:dyDescent="0.2">
      <c r="B30" s="115"/>
      <c r="C30" s="115"/>
      <c r="D30" s="115"/>
      <c r="E30" s="115"/>
      <c r="F30" s="115"/>
      <c r="G30" s="115"/>
      <c r="H30" s="84" t="s">
        <v>6</v>
      </c>
      <c r="I30" s="85">
        <f>SUM(J30:O30)</f>
        <v>3.93</v>
      </c>
      <c r="J30" s="83">
        <v>0</v>
      </c>
      <c r="K30" s="83">
        <v>0.93</v>
      </c>
      <c r="L30" s="83">
        <v>0.96</v>
      </c>
      <c r="M30" s="83">
        <v>1</v>
      </c>
      <c r="N30" s="83">
        <v>1.04</v>
      </c>
      <c r="O30" s="83">
        <v>0</v>
      </c>
      <c r="P30" s="115"/>
    </row>
    <row r="31" spans="2:16" outlineLevel="1" x14ac:dyDescent="0.2">
      <c r="B31" s="116"/>
      <c r="C31" s="116"/>
      <c r="D31" s="116"/>
      <c r="E31" s="116"/>
      <c r="F31" s="116"/>
      <c r="G31" s="116"/>
      <c r="H31" s="84" t="s">
        <v>5</v>
      </c>
      <c r="I31" s="13"/>
      <c r="J31" s="13"/>
      <c r="K31" s="13"/>
      <c r="L31" s="13"/>
      <c r="M31" s="13"/>
      <c r="N31" s="13"/>
      <c r="O31" s="13"/>
      <c r="P31" s="116"/>
    </row>
    <row r="32" spans="2:16" ht="42.75" customHeight="1" outlineLevel="1" x14ac:dyDescent="0.2">
      <c r="B32" s="114" t="s">
        <v>951</v>
      </c>
      <c r="C32" s="114"/>
      <c r="D32" s="114" t="s">
        <v>961</v>
      </c>
      <c r="E32" s="114" t="s">
        <v>962</v>
      </c>
      <c r="F32" s="114" t="s">
        <v>963</v>
      </c>
      <c r="G32" s="114"/>
      <c r="H32" s="50" t="s">
        <v>3</v>
      </c>
      <c r="I32" s="58">
        <f>SUM(J32:O32)</f>
        <v>26.099999999999998</v>
      </c>
      <c r="J32" s="85">
        <f t="shared" ref="J32:O32" si="13">J33+J34+J35</f>
        <v>0</v>
      </c>
      <c r="K32" s="85">
        <f t="shared" si="13"/>
        <v>5.22</v>
      </c>
      <c r="L32" s="85">
        <f t="shared" si="13"/>
        <v>5.22</v>
      </c>
      <c r="M32" s="85">
        <f t="shared" si="13"/>
        <v>5.22</v>
      </c>
      <c r="N32" s="85">
        <f t="shared" si="13"/>
        <v>5.22</v>
      </c>
      <c r="O32" s="85">
        <f t="shared" si="13"/>
        <v>5.22</v>
      </c>
      <c r="P32" s="114">
        <v>2263</v>
      </c>
    </row>
    <row r="33" spans="2:16" outlineLevel="1" x14ac:dyDescent="0.2">
      <c r="B33" s="115"/>
      <c r="C33" s="137"/>
      <c r="D33" s="115"/>
      <c r="E33" s="115"/>
      <c r="F33" s="115"/>
      <c r="G33" s="115"/>
      <c r="H33" s="50" t="s">
        <v>4</v>
      </c>
      <c r="I33" s="85">
        <f>SUM(J33:O33)</f>
        <v>24.8</v>
      </c>
      <c r="J33" s="85"/>
      <c r="K33" s="85">
        <v>4.96</v>
      </c>
      <c r="L33" s="85">
        <v>4.96</v>
      </c>
      <c r="M33" s="85">
        <v>4.96</v>
      </c>
      <c r="N33" s="85">
        <v>4.96</v>
      </c>
      <c r="O33" s="85">
        <v>4.96</v>
      </c>
      <c r="P33" s="115"/>
    </row>
    <row r="34" spans="2:16" outlineLevel="1" x14ac:dyDescent="0.2">
      <c r="B34" s="115"/>
      <c r="C34" s="137"/>
      <c r="D34" s="115"/>
      <c r="E34" s="115"/>
      <c r="F34" s="115"/>
      <c r="G34" s="115"/>
      <c r="H34" s="50" t="s">
        <v>6</v>
      </c>
      <c r="I34" s="85">
        <f>SUM(J34:O34)</f>
        <v>1.3</v>
      </c>
      <c r="J34" s="85"/>
      <c r="K34" s="85">
        <v>0.26</v>
      </c>
      <c r="L34" s="85">
        <v>0.26</v>
      </c>
      <c r="M34" s="85">
        <v>0.26</v>
      </c>
      <c r="N34" s="85">
        <v>0.26</v>
      </c>
      <c r="O34" s="85">
        <v>0.26</v>
      </c>
      <c r="P34" s="115"/>
    </row>
    <row r="35" spans="2:16" outlineLevel="1" x14ac:dyDescent="0.2">
      <c r="B35" s="116"/>
      <c r="C35" s="138"/>
      <c r="D35" s="116"/>
      <c r="E35" s="116"/>
      <c r="F35" s="116"/>
      <c r="G35" s="116"/>
      <c r="H35" s="50" t="s">
        <v>5</v>
      </c>
      <c r="I35" s="85"/>
      <c r="J35" s="85"/>
      <c r="K35" s="85"/>
      <c r="L35" s="85"/>
      <c r="M35" s="85"/>
      <c r="N35" s="85"/>
      <c r="O35" s="85"/>
      <c r="P35" s="116"/>
    </row>
    <row r="36" spans="2:16" ht="42.75" x14ac:dyDescent="0.2">
      <c r="B36" s="128" t="s">
        <v>37</v>
      </c>
      <c r="C36" s="128" t="s">
        <v>38</v>
      </c>
      <c r="D36" s="128" t="s">
        <v>38</v>
      </c>
      <c r="E36" s="128" t="s">
        <v>38</v>
      </c>
      <c r="F36" s="128" t="s">
        <v>38</v>
      </c>
      <c r="G36" s="128" t="s">
        <v>38</v>
      </c>
      <c r="H36" s="84" t="s">
        <v>3</v>
      </c>
      <c r="I36" s="14">
        <f>SUMIF($H$28:$H$35,"Объем*",I$28:I$35)</f>
        <v>104.57</v>
      </c>
      <c r="J36" s="14">
        <f t="shared" ref="J36:O36" si="14">SUMIF($H$28:$H$35,"Объем*",J$28:J$35)</f>
        <v>0</v>
      </c>
      <c r="K36" s="14">
        <f t="shared" si="14"/>
        <v>23.77</v>
      </c>
      <c r="L36" s="14">
        <f t="shared" si="14"/>
        <v>24.45</v>
      </c>
      <c r="M36" s="14">
        <f t="shared" si="14"/>
        <v>25.18</v>
      </c>
      <c r="N36" s="14">
        <f t="shared" si="14"/>
        <v>25.95</v>
      </c>
      <c r="O36" s="14">
        <f t="shared" si="14"/>
        <v>5.22</v>
      </c>
      <c r="P36" s="128"/>
    </row>
    <row r="37" spans="2:16" ht="15.75" x14ac:dyDescent="0.2">
      <c r="B37" s="129"/>
      <c r="C37" s="129"/>
      <c r="D37" s="129"/>
      <c r="E37" s="129"/>
      <c r="F37" s="129"/>
      <c r="G37" s="129"/>
      <c r="H37" s="84" t="s">
        <v>4</v>
      </c>
      <c r="I37" s="14">
        <f>SUMIF($H$28:$H$35,"фед*",I$28:I$35)</f>
        <v>99.34</v>
      </c>
      <c r="J37" s="14">
        <f t="shared" ref="J37:O37" si="15">SUMIF($H$28:$H$35,"фед*",J$28:J$35)</f>
        <v>0</v>
      </c>
      <c r="K37" s="14">
        <f t="shared" si="15"/>
        <v>22.580000000000002</v>
      </c>
      <c r="L37" s="14">
        <f t="shared" si="15"/>
        <v>23.23</v>
      </c>
      <c r="M37" s="14">
        <f t="shared" si="15"/>
        <v>23.92</v>
      </c>
      <c r="N37" s="14">
        <f t="shared" si="15"/>
        <v>24.650000000000002</v>
      </c>
      <c r="O37" s="14">
        <f t="shared" si="15"/>
        <v>4.96</v>
      </c>
      <c r="P37" s="129"/>
    </row>
    <row r="38" spans="2:16" ht="15.75" x14ac:dyDescent="0.2">
      <c r="B38" s="129"/>
      <c r="C38" s="129"/>
      <c r="D38" s="129"/>
      <c r="E38" s="129"/>
      <c r="F38" s="129"/>
      <c r="G38" s="129"/>
      <c r="H38" s="84" t="s">
        <v>6</v>
      </c>
      <c r="I38" s="14">
        <f>SUMIF($H$28:$H$35,"конс*",I$28:I$35)</f>
        <v>5.23</v>
      </c>
      <c r="J38" s="14">
        <f t="shared" ref="J38:O38" si="16">SUMIF($H$28:$H$35,"конс*",J$28:J$35)</f>
        <v>0</v>
      </c>
      <c r="K38" s="14">
        <f t="shared" si="16"/>
        <v>1.19</v>
      </c>
      <c r="L38" s="14">
        <f t="shared" si="16"/>
        <v>1.22</v>
      </c>
      <c r="M38" s="14">
        <f t="shared" si="16"/>
        <v>1.26</v>
      </c>
      <c r="N38" s="14">
        <f t="shared" si="16"/>
        <v>1.3</v>
      </c>
      <c r="O38" s="14">
        <f t="shared" si="16"/>
        <v>0.26</v>
      </c>
      <c r="P38" s="129"/>
    </row>
    <row r="39" spans="2:16" ht="15.75" x14ac:dyDescent="0.2">
      <c r="B39" s="130"/>
      <c r="C39" s="130"/>
      <c r="D39" s="130"/>
      <c r="E39" s="130"/>
      <c r="F39" s="130"/>
      <c r="G39" s="130"/>
      <c r="H39" s="84" t="s">
        <v>5</v>
      </c>
      <c r="I39" s="76">
        <f>SUMIF($H$28:$H$35,"вне*",I$28:I$35)</f>
        <v>0</v>
      </c>
      <c r="J39" s="76">
        <f t="shared" ref="J39:O39" si="17">SUMIF($H$28:$H$35,"вне*",J$28:J$35)</f>
        <v>0</v>
      </c>
      <c r="K39" s="76">
        <f t="shared" si="17"/>
        <v>0</v>
      </c>
      <c r="L39" s="76">
        <f t="shared" si="17"/>
        <v>0</v>
      </c>
      <c r="M39" s="76">
        <f t="shared" si="17"/>
        <v>0</v>
      </c>
      <c r="N39" s="76">
        <f t="shared" si="17"/>
        <v>0</v>
      </c>
      <c r="O39" s="76">
        <f t="shared" si="17"/>
        <v>0</v>
      </c>
      <c r="P39" s="130"/>
    </row>
    <row r="40" spans="2:16" ht="25.5" customHeight="1" x14ac:dyDescent="0.2">
      <c r="B40" s="111" t="s">
        <v>159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</row>
    <row r="41" spans="2:16" ht="42.75" customHeight="1" outlineLevel="1" x14ac:dyDescent="0.2">
      <c r="B41" s="117" t="s">
        <v>953</v>
      </c>
      <c r="C41" s="117"/>
      <c r="D41" s="117" t="s">
        <v>159</v>
      </c>
      <c r="E41" s="117" t="s">
        <v>69</v>
      </c>
      <c r="F41" s="117" t="s">
        <v>964</v>
      </c>
      <c r="G41" s="117"/>
      <c r="H41" s="84" t="s">
        <v>3</v>
      </c>
      <c r="I41" s="85">
        <f>SUM(J41:O41)</f>
        <v>58.510000000000005</v>
      </c>
      <c r="J41" s="83">
        <f t="shared" ref="J41:O41" si="18">J42+J43+J44</f>
        <v>0</v>
      </c>
      <c r="K41" s="83">
        <f t="shared" si="18"/>
        <v>18.55</v>
      </c>
      <c r="L41" s="83">
        <f t="shared" si="18"/>
        <v>19.23</v>
      </c>
      <c r="M41" s="83">
        <f t="shared" si="18"/>
        <v>0</v>
      </c>
      <c r="N41" s="83">
        <f t="shared" si="18"/>
        <v>20.73</v>
      </c>
      <c r="O41" s="83">
        <f t="shared" si="18"/>
        <v>0</v>
      </c>
      <c r="P41" s="117"/>
    </row>
    <row r="42" spans="2:16" outlineLevel="1" x14ac:dyDescent="0.2">
      <c r="B42" s="118"/>
      <c r="C42" s="118"/>
      <c r="D42" s="118"/>
      <c r="E42" s="118"/>
      <c r="F42" s="118"/>
      <c r="G42" s="118"/>
      <c r="H42" s="84" t="s">
        <v>4</v>
      </c>
      <c r="I42" s="85">
        <f>SUM(J42:O42)</f>
        <v>55.58</v>
      </c>
      <c r="J42" s="83"/>
      <c r="K42" s="83">
        <v>17.62</v>
      </c>
      <c r="L42" s="83">
        <v>18.27</v>
      </c>
      <c r="M42" s="83"/>
      <c r="N42" s="83">
        <v>19.690000000000001</v>
      </c>
      <c r="O42" s="83"/>
      <c r="P42" s="118"/>
    </row>
    <row r="43" spans="2:16" outlineLevel="1" x14ac:dyDescent="0.2">
      <c r="B43" s="118"/>
      <c r="C43" s="118"/>
      <c r="D43" s="118"/>
      <c r="E43" s="118"/>
      <c r="F43" s="118"/>
      <c r="G43" s="118"/>
      <c r="H43" s="84" t="s">
        <v>6</v>
      </c>
      <c r="I43" s="85">
        <f>SUM(J43:O43)</f>
        <v>2.93</v>
      </c>
      <c r="J43" s="83">
        <v>0</v>
      </c>
      <c r="K43" s="83">
        <v>0.93</v>
      </c>
      <c r="L43" s="83">
        <v>0.96</v>
      </c>
      <c r="M43" s="83"/>
      <c r="N43" s="83">
        <v>1.04</v>
      </c>
      <c r="O43" s="83">
        <v>0</v>
      </c>
      <c r="P43" s="118"/>
    </row>
    <row r="44" spans="2:16" outlineLevel="1" x14ac:dyDescent="0.2">
      <c r="B44" s="119"/>
      <c r="C44" s="119"/>
      <c r="D44" s="119"/>
      <c r="E44" s="119"/>
      <c r="F44" s="119"/>
      <c r="G44" s="119"/>
      <c r="H44" s="84" t="s">
        <v>5</v>
      </c>
      <c r="I44" s="13"/>
      <c r="J44" s="13"/>
      <c r="K44" s="13"/>
      <c r="L44" s="13"/>
      <c r="M44" s="13"/>
      <c r="N44" s="13"/>
      <c r="O44" s="13"/>
      <c r="P44" s="119"/>
    </row>
    <row r="45" spans="2:16" ht="42.75" customHeight="1" outlineLevel="1" x14ac:dyDescent="0.2">
      <c r="B45" s="114" t="s">
        <v>951</v>
      </c>
      <c r="C45" s="114"/>
      <c r="D45" s="117" t="s">
        <v>159</v>
      </c>
      <c r="E45" s="117" t="s">
        <v>69</v>
      </c>
      <c r="F45" s="114" t="s">
        <v>965</v>
      </c>
      <c r="G45" s="114"/>
      <c r="H45" s="50" t="s">
        <v>3</v>
      </c>
      <c r="I45" s="58">
        <f>SUM(J45:O45)</f>
        <v>57.13</v>
      </c>
      <c r="J45" s="85">
        <f t="shared" ref="J45:O45" si="19">J46+J47+J48</f>
        <v>0</v>
      </c>
      <c r="K45" s="85">
        <f t="shared" si="19"/>
        <v>9.7100000000000009</v>
      </c>
      <c r="L45" s="85">
        <f t="shared" si="19"/>
        <v>10.06</v>
      </c>
      <c r="M45" s="85">
        <f t="shared" si="19"/>
        <v>15.67</v>
      </c>
      <c r="N45" s="85">
        <f t="shared" si="19"/>
        <v>21.689999999999998</v>
      </c>
      <c r="O45" s="85">
        <f t="shared" si="19"/>
        <v>0</v>
      </c>
      <c r="P45" s="114"/>
    </row>
    <row r="46" spans="2:16" outlineLevel="1" x14ac:dyDescent="0.2">
      <c r="B46" s="115"/>
      <c r="C46" s="137"/>
      <c r="D46" s="118"/>
      <c r="E46" s="118"/>
      <c r="F46" s="115"/>
      <c r="G46" s="115"/>
      <c r="H46" s="50" t="s">
        <v>4</v>
      </c>
      <c r="I46" s="85">
        <f>SUM(J46:O46)</f>
        <v>54.28</v>
      </c>
      <c r="J46" s="85"/>
      <c r="K46" s="85">
        <v>9.2200000000000006</v>
      </c>
      <c r="L46" s="85">
        <v>9.56</v>
      </c>
      <c r="M46" s="85">
        <v>14.89</v>
      </c>
      <c r="N46" s="85">
        <v>20.61</v>
      </c>
      <c r="O46" s="85"/>
      <c r="P46" s="115"/>
    </row>
    <row r="47" spans="2:16" outlineLevel="1" x14ac:dyDescent="0.2">
      <c r="B47" s="115"/>
      <c r="C47" s="137"/>
      <c r="D47" s="118"/>
      <c r="E47" s="118"/>
      <c r="F47" s="115"/>
      <c r="G47" s="115"/>
      <c r="H47" s="50" t="s">
        <v>6</v>
      </c>
      <c r="I47" s="85">
        <f>SUM(J47:O47)</f>
        <v>2.85</v>
      </c>
      <c r="J47" s="85"/>
      <c r="K47" s="85">
        <v>0.49</v>
      </c>
      <c r="L47" s="85">
        <v>0.5</v>
      </c>
      <c r="M47" s="85">
        <v>0.78</v>
      </c>
      <c r="N47" s="85">
        <v>1.08</v>
      </c>
      <c r="O47" s="85"/>
      <c r="P47" s="115"/>
    </row>
    <row r="48" spans="2:16" outlineLevel="1" x14ac:dyDescent="0.2">
      <c r="B48" s="116"/>
      <c r="C48" s="138"/>
      <c r="D48" s="119"/>
      <c r="E48" s="119"/>
      <c r="F48" s="116"/>
      <c r="G48" s="116"/>
      <c r="H48" s="50" t="s">
        <v>5</v>
      </c>
      <c r="I48" s="85"/>
      <c r="J48" s="85"/>
      <c r="K48" s="85"/>
      <c r="L48" s="85"/>
      <c r="M48" s="85"/>
      <c r="N48" s="85"/>
      <c r="O48" s="85"/>
      <c r="P48" s="116"/>
    </row>
    <row r="49" spans="2:16" ht="42.75" x14ac:dyDescent="0.2">
      <c r="B49" s="128" t="s">
        <v>173</v>
      </c>
      <c r="C49" s="128" t="s">
        <v>38</v>
      </c>
      <c r="D49" s="128" t="s">
        <v>38</v>
      </c>
      <c r="E49" s="128" t="s">
        <v>38</v>
      </c>
      <c r="F49" s="128" t="s">
        <v>38</v>
      </c>
      <c r="G49" s="128" t="s">
        <v>38</v>
      </c>
      <c r="H49" s="84" t="s">
        <v>3</v>
      </c>
      <c r="I49" s="14">
        <f>SUMIF($H$41:$H$48,"Объем*",I$41:I$48)</f>
        <v>115.64000000000001</v>
      </c>
      <c r="J49" s="14">
        <f t="shared" ref="J49:O49" si="20">SUMIF($H$41:$H$48,"Объем*",J$41:J$48)</f>
        <v>0</v>
      </c>
      <c r="K49" s="14">
        <f t="shared" si="20"/>
        <v>28.26</v>
      </c>
      <c r="L49" s="14">
        <f t="shared" si="20"/>
        <v>29.29</v>
      </c>
      <c r="M49" s="14">
        <f t="shared" si="20"/>
        <v>15.67</v>
      </c>
      <c r="N49" s="14">
        <f t="shared" si="20"/>
        <v>42.42</v>
      </c>
      <c r="O49" s="14">
        <f t="shared" si="20"/>
        <v>0</v>
      </c>
      <c r="P49" s="128"/>
    </row>
    <row r="50" spans="2:16" ht="15.75" x14ac:dyDescent="0.2">
      <c r="B50" s="129"/>
      <c r="C50" s="129"/>
      <c r="D50" s="129"/>
      <c r="E50" s="129"/>
      <c r="F50" s="129"/>
      <c r="G50" s="129"/>
      <c r="H50" s="84" t="s">
        <v>4</v>
      </c>
      <c r="I50" s="14">
        <f>SUMIF($H$41:$H$48,"фед*",I$41:I$48)</f>
        <v>109.86</v>
      </c>
      <c r="J50" s="14">
        <f t="shared" ref="J50:O50" si="21">SUMIF($H$41:$H$48,"фед*",J$41:J$48)</f>
        <v>0</v>
      </c>
      <c r="K50" s="14">
        <f t="shared" si="21"/>
        <v>26.840000000000003</v>
      </c>
      <c r="L50" s="14">
        <f t="shared" si="21"/>
        <v>27.83</v>
      </c>
      <c r="M50" s="14">
        <f t="shared" si="21"/>
        <v>14.89</v>
      </c>
      <c r="N50" s="14">
        <f t="shared" si="21"/>
        <v>40.299999999999997</v>
      </c>
      <c r="O50" s="14">
        <f t="shared" si="21"/>
        <v>0</v>
      </c>
      <c r="P50" s="129"/>
    </row>
    <row r="51" spans="2:16" ht="15.75" x14ac:dyDescent="0.2">
      <c r="B51" s="129"/>
      <c r="C51" s="129"/>
      <c r="D51" s="129"/>
      <c r="E51" s="129"/>
      <c r="F51" s="129"/>
      <c r="G51" s="129"/>
      <c r="H51" s="84" t="s">
        <v>6</v>
      </c>
      <c r="I51" s="14">
        <f>SUMIF($H$41:$H$48,"конс*",I$41:I$48)</f>
        <v>5.78</v>
      </c>
      <c r="J51" s="14">
        <f t="shared" ref="J51:O51" si="22">SUMIF($H$41:$H$48,"конс*",J$41:J$48)</f>
        <v>0</v>
      </c>
      <c r="K51" s="14">
        <f t="shared" si="22"/>
        <v>1.42</v>
      </c>
      <c r="L51" s="14">
        <f t="shared" si="22"/>
        <v>1.46</v>
      </c>
      <c r="M51" s="14">
        <f t="shared" si="22"/>
        <v>0.78</v>
      </c>
      <c r="N51" s="14">
        <f t="shared" si="22"/>
        <v>2.12</v>
      </c>
      <c r="O51" s="14">
        <f t="shared" si="22"/>
        <v>0</v>
      </c>
      <c r="P51" s="129"/>
    </row>
    <row r="52" spans="2:16" ht="15.75" x14ac:dyDescent="0.2">
      <c r="B52" s="130"/>
      <c r="C52" s="130"/>
      <c r="D52" s="130"/>
      <c r="E52" s="130"/>
      <c r="F52" s="130"/>
      <c r="G52" s="130"/>
      <c r="H52" s="84" t="s">
        <v>5</v>
      </c>
      <c r="I52" s="76">
        <f>SUMIF($H$41:$H$48,"вне*",I$41:I$48)</f>
        <v>0</v>
      </c>
      <c r="J52" s="76">
        <f t="shared" ref="J52:O52" si="23">SUMIF($H$41:$H$48,"вне*",J$41:J$48)</f>
        <v>0</v>
      </c>
      <c r="K52" s="76">
        <f t="shared" si="23"/>
        <v>0</v>
      </c>
      <c r="L52" s="76">
        <f t="shared" si="23"/>
        <v>0</v>
      </c>
      <c r="M52" s="76">
        <f t="shared" si="23"/>
        <v>0</v>
      </c>
      <c r="N52" s="76">
        <f t="shared" si="23"/>
        <v>0</v>
      </c>
      <c r="O52" s="76">
        <f t="shared" si="23"/>
        <v>0</v>
      </c>
      <c r="P52" s="130"/>
    </row>
    <row r="53" spans="2:16" ht="25.5" customHeight="1" x14ac:dyDescent="0.2">
      <c r="B53" s="111" t="s">
        <v>174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3"/>
    </row>
    <row r="54" spans="2:16" ht="42.75" customHeight="1" outlineLevel="1" x14ac:dyDescent="0.2">
      <c r="B54" s="117" t="s">
        <v>953</v>
      </c>
      <c r="C54" s="117"/>
      <c r="D54" s="117" t="s">
        <v>174</v>
      </c>
      <c r="E54" s="117">
        <v>2024</v>
      </c>
      <c r="F54" s="117" t="s">
        <v>955</v>
      </c>
      <c r="G54" s="117"/>
      <c r="H54" s="84" t="s">
        <v>3</v>
      </c>
      <c r="I54" s="85">
        <f>SUM(J54:O54)</f>
        <v>20.73</v>
      </c>
      <c r="J54" s="83">
        <f t="shared" ref="J54:O54" si="24">J55+J56+J57</f>
        <v>0</v>
      </c>
      <c r="K54" s="83">
        <f t="shared" si="24"/>
        <v>0</v>
      </c>
      <c r="L54" s="83">
        <f t="shared" si="24"/>
        <v>0</v>
      </c>
      <c r="M54" s="83">
        <f t="shared" si="24"/>
        <v>0</v>
      </c>
      <c r="N54" s="83">
        <f t="shared" si="24"/>
        <v>20.73</v>
      </c>
      <c r="O54" s="83">
        <f t="shared" si="24"/>
        <v>0</v>
      </c>
      <c r="P54" s="117"/>
    </row>
    <row r="55" spans="2:16" outlineLevel="1" x14ac:dyDescent="0.2">
      <c r="B55" s="118"/>
      <c r="C55" s="118"/>
      <c r="D55" s="118"/>
      <c r="E55" s="118"/>
      <c r="F55" s="118"/>
      <c r="G55" s="118"/>
      <c r="H55" s="84" t="s">
        <v>4</v>
      </c>
      <c r="I55" s="85">
        <f>SUM(J55:O55)</f>
        <v>19.690000000000001</v>
      </c>
      <c r="J55" s="83"/>
      <c r="K55" s="83"/>
      <c r="L55" s="83"/>
      <c r="M55" s="83"/>
      <c r="N55" s="83">
        <v>19.690000000000001</v>
      </c>
      <c r="O55" s="83"/>
      <c r="P55" s="118"/>
    </row>
    <row r="56" spans="2:16" outlineLevel="1" x14ac:dyDescent="0.2">
      <c r="B56" s="118"/>
      <c r="C56" s="118"/>
      <c r="D56" s="118"/>
      <c r="E56" s="118"/>
      <c r="F56" s="118"/>
      <c r="G56" s="118"/>
      <c r="H56" s="84" t="s">
        <v>6</v>
      </c>
      <c r="I56" s="85">
        <f>SUM(J56:O56)</f>
        <v>1.04</v>
      </c>
      <c r="J56" s="83">
        <v>0</v>
      </c>
      <c r="K56" s="83"/>
      <c r="L56" s="83"/>
      <c r="M56" s="83"/>
      <c r="N56" s="83">
        <v>1.04</v>
      </c>
      <c r="O56" s="83">
        <v>0</v>
      </c>
      <c r="P56" s="118"/>
    </row>
    <row r="57" spans="2:16" outlineLevel="1" x14ac:dyDescent="0.2">
      <c r="B57" s="119"/>
      <c r="C57" s="119"/>
      <c r="D57" s="119"/>
      <c r="E57" s="119"/>
      <c r="F57" s="119"/>
      <c r="G57" s="119"/>
      <c r="H57" s="84" t="s">
        <v>5</v>
      </c>
      <c r="I57" s="13"/>
      <c r="J57" s="13"/>
      <c r="K57" s="13"/>
      <c r="L57" s="13"/>
      <c r="M57" s="13"/>
      <c r="N57" s="13"/>
      <c r="O57" s="13"/>
      <c r="P57" s="119"/>
    </row>
    <row r="58" spans="2:16" ht="42.75" customHeight="1" outlineLevel="1" x14ac:dyDescent="0.2">
      <c r="B58" s="114" t="s">
        <v>951</v>
      </c>
      <c r="C58" s="114"/>
      <c r="D58" s="117" t="s">
        <v>174</v>
      </c>
      <c r="E58" s="117" t="s">
        <v>34</v>
      </c>
      <c r="F58" s="114" t="s">
        <v>956</v>
      </c>
      <c r="G58" s="114"/>
      <c r="H58" s="50" t="s">
        <v>3</v>
      </c>
      <c r="I58" s="58">
        <f>SUM(J58:O58)</f>
        <v>15.100000000000001</v>
      </c>
      <c r="J58" s="85">
        <f t="shared" ref="J58:O58" si="25">J59+J60+J61</f>
        <v>0</v>
      </c>
      <c r="K58" s="85">
        <f t="shared" si="25"/>
        <v>4.8500000000000005</v>
      </c>
      <c r="L58" s="85">
        <f t="shared" si="25"/>
        <v>5.03</v>
      </c>
      <c r="M58" s="85">
        <f t="shared" si="25"/>
        <v>5.22</v>
      </c>
      <c r="N58" s="85">
        <f t="shared" si="25"/>
        <v>0</v>
      </c>
      <c r="O58" s="85">
        <f t="shared" si="25"/>
        <v>0</v>
      </c>
      <c r="P58" s="114"/>
    </row>
    <row r="59" spans="2:16" outlineLevel="1" x14ac:dyDescent="0.2">
      <c r="B59" s="115"/>
      <c r="C59" s="137"/>
      <c r="D59" s="118"/>
      <c r="E59" s="118"/>
      <c r="F59" s="115"/>
      <c r="G59" s="115"/>
      <c r="H59" s="50" t="s">
        <v>4</v>
      </c>
      <c r="I59" s="85">
        <f>SUM(J59:O59)</f>
        <v>14.350000000000001</v>
      </c>
      <c r="J59" s="85"/>
      <c r="K59" s="85">
        <v>4.6100000000000003</v>
      </c>
      <c r="L59" s="85">
        <v>4.78</v>
      </c>
      <c r="M59" s="85">
        <v>4.96</v>
      </c>
      <c r="N59" s="85"/>
      <c r="O59" s="85"/>
      <c r="P59" s="115"/>
    </row>
    <row r="60" spans="2:16" outlineLevel="1" x14ac:dyDescent="0.2">
      <c r="B60" s="115"/>
      <c r="C60" s="137"/>
      <c r="D60" s="118"/>
      <c r="E60" s="118"/>
      <c r="F60" s="115"/>
      <c r="G60" s="115"/>
      <c r="H60" s="50" t="s">
        <v>6</v>
      </c>
      <c r="I60" s="85">
        <f>SUM(J60:O60)</f>
        <v>0.75</v>
      </c>
      <c r="J60" s="85"/>
      <c r="K60" s="85">
        <v>0.24</v>
      </c>
      <c r="L60" s="85">
        <v>0.25</v>
      </c>
      <c r="M60" s="85">
        <v>0.26</v>
      </c>
      <c r="N60" s="85"/>
      <c r="O60" s="85"/>
      <c r="P60" s="115"/>
    </row>
    <row r="61" spans="2:16" outlineLevel="1" x14ac:dyDescent="0.2">
      <c r="B61" s="116"/>
      <c r="C61" s="138"/>
      <c r="D61" s="119"/>
      <c r="E61" s="119"/>
      <c r="F61" s="116"/>
      <c r="G61" s="116"/>
      <c r="H61" s="50" t="s">
        <v>5</v>
      </c>
      <c r="I61" s="85"/>
      <c r="J61" s="85"/>
      <c r="K61" s="85"/>
      <c r="L61" s="85"/>
      <c r="M61" s="85"/>
      <c r="N61" s="85"/>
      <c r="O61" s="85"/>
      <c r="P61" s="116"/>
    </row>
    <row r="62" spans="2:16" ht="42.75" x14ac:dyDescent="0.2">
      <c r="B62" s="128" t="s">
        <v>197</v>
      </c>
      <c r="C62" s="128" t="s">
        <v>38</v>
      </c>
      <c r="D62" s="128" t="s">
        <v>38</v>
      </c>
      <c r="E62" s="128" t="s">
        <v>38</v>
      </c>
      <c r="F62" s="128" t="s">
        <v>38</v>
      </c>
      <c r="G62" s="128" t="s">
        <v>38</v>
      </c>
      <c r="H62" s="84" t="s">
        <v>3</v>
      </c>
      <c r="I62" s="14">
        <f>SUMIF($H$54:$H$61,"Объем*",I$54:I$61)</f>
        <v>35.83</v>
      </c>
      <c r="J62" s="14">
        <f t="shared" ref="J62:O62" si="26">SUMIF($H$54:$H$61,"Объем*",J$54:J$61)</f>
        <v>0</v>
      </c>
      <c r="K62" s="14">
        <f t="shared" si="26"/>
        <v>4.8500000000000005</v>
      </c>
      <c r="L62" s="14">
        <f t="shared" si="26"/>
        <v>5.03</v>
      </c>
      <c r="M62" s="14">
        <f t="shared" si="26"/>
        <v>5.22</v>
      </c>
      <c r="N62" s="14">
        <f t="shared" si="26"/>
        <v>20.73</v>
      </c>
      <c r="O62" s="14">
        <f t="shared" si="26"/>
        <v>0</v>
      </c>
      <c r="P62" s="128"/>
    </row>
    <row r="63" spans="2:16" ht="15.75" x14ac:dyDescent="0.2">
      <c r="B63" s="129"/>
      <c r="C63" s="129"/>
      <c r="D63" s="129"/>
      <c r="E63" s="129"/>
      <c r="F63" s="129"/>
      <c r="G63" s="129"/>
      <c r="H63" s="84" t="s">
        <v>4</v>
      </c>
      <c r="I63" s="14">
        <f>SUMIF($H$54:$H$61,"фед*",I$54:I$61)</f>
        <v>34.040000000000006</v>
      </c>
      <c r="J63" s="14">
        <f t="shared" ref="J63:O63" si="27">SUMIF($H$54:$H$61,"фед*",J$54:J$61)</f>
        <v>0</v>
      </c>
      <c r="K63" s="14">
        <f t="shared" si="27"/>
        <v>4.6100000000000003</v>
      </c>
      <c r="L63" s="14">
        <f t="shared" si="27"/>
        <v>4.78</v>
      </c>
      <c r="M63" s="14">
        <f t="shared" si="27"/>
        <v>4.96</v>
      </c>
      <c r="N63" s="14">
        <f t="shared" si="27"/>
        <v>19.690000000000001</v>
      </c>
      <c r="O63" s="14">
        <f t="shared" si="27"/>
        <v>0</v>
      </c>
      <c r="P63" s="129"/>
    </row>
    <row r="64" spans="2:16" ht="15.75" x14ac:dyDescent="0.2">
      <c r="B64" s="129"/>
      <c r="C64" s="129"/>
      <c r="D64" s="129"/>
      <c r="E64" s="129"/>
      <c r="F64" s="129"/>
      <c r="G64" s="129"/>
      <c r="H64" s="84" t="s">
        <v>6</v>
      </c>
      <c r="I64" s="14">
        <f>SUMIF($H$54:$H$61,"конс*",I$54:I$61)</f>
        <v>1.79</v>
      </c>
      <c r="J64" s="14">
        <f t="shared" ref="J64:O64" si="28">SUMIF($H$54:$H$61,"конс*",J$54:J$61)</f>
        <v>0</v>
      </c>
      <c r="K64" s="14">
        <f t="shared" si="28"/>
        <v>0.24</v>
      </c>
      <c r="L64" s="14">
        <f t="shared" si="28"/>
        <v>0.25</v>
      </c>
      <c r="M64" s="14">
        <f t="shared" si="28"/>
        <v>0.26</v>
      </c>
      <c r="N64" s="14">
        <f t="shared" si="28"/>
        <v>1.04</v>
      </c>
      <c r="O64" s="14">
        <f t="shared" si="28"/>
        <v>0</v>
      </c>
      <c r="P64" s="129"/>
    </row>
    <row r="65" spans="2:16" ht="15.75" x14ac:dyDescent="0.2">
      <c r="B65" s="130"/>
      <c r="C65" s="130"/>
      <c r="D65" s="130"/>
      <c r="E65" s="130"/>
      <c r="F65" s="130"/>
      <c r="G65" s="130"/>
      <c r="H65" s="84" t="s">
        <v>5</v>
      </c>
      <c r="I65" s="76">
        <f>SUMIF($H$54:$H$61,"вне*",I$54:I$61)</f>
        <v>0</v>
      </c>
      <c r="J65" s="76">
        <f t="shared" ref="J65:O65" si="29">SUMIF($H$54:$H$61,"вне*",J$54:J$61)</f>
        <v>0</v>
      </c>
      <c r="K65" s="76">
        <f t="shared" si="29"/>
        <v>0</v>
      </c>
      <c r="L65" s="76">
        <f t="shared" si="29"/>
        <v>0</v>
      </c>
      <c r="M65" s="76">
        <f t="shared" si="29"/>
        <v>0</v>
      </c>
      <c r="N65" s="76">
        <f t="shared" si="29"/>
        <v>0</v>
      </c>
      <c r="O65" s="76">
        <f t="shared" si="29"/>
        <v>0</v>
      </c>
      <c r="P65" s="130"/>
    </row>
    <row r="66" spans="2:16" ht="25.5" customHeight="1" x14ac:dyDescent="0.2">
      <c r="B66" s="111" t="s">
        <v>39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</row>
    <row r="67" spans="2:16" ht="42.75" customHeight="1" outlineLevel="1" x14ac:dyDescent="0.2">
      <c r="B67" s="114" t="s">
        <v>966</v>
      </c>
      <c r="C67" s="114"/>
      <c r="D67" s="114" t="s">
        <v>967</v>
      </c>
      <c r="E67" s="114" t="s">
        <v>75</v>
      </c>
      <c r="F67" s="114" t="s">
        <v>955</v>
      </c>
      <c r="G67" s="114"/>
      <c r="H67" s="84" t="s">
        <v>3</v>
      </c>
      <c r="I67" s="85">
        <f>SUM(J67:O67)</f>
        <v>680</v>
      </c>
      <c r="J67" s="83">
        <f t="shared" ref="J67:O67" si="30">J68+J69+J70</f>
        <v>0</v>
      </c>
      <c r="K67" s="83">
        <f t="shared" si="30"/>
        <v>0</v>
      </c>
      <c r="L67" s="83">
        <f t="shared" si="30"/>
        <v>173.09</v>
      </c>
      <c r="M67" s="83">
        <f t="shared" si="30"/>
        <v>176.60000000000002</v>
      </c>
      <c r="N67" s="83">
        <f t="shared" si="30"/>
        <v>330.31</v>
      </c>
      <c r="O67" s="83">
        <f t="shared" si="30"/>
        <v>0</v>
      </c>
      <c r="P67" s="117"/>
    </row>
    <row r="68" spans="2:16" outlineLevel="1" x14ac:dyDescent="0.2">
      <c r="B68" s="115"/>
      <c r="C68" s="115"/>
      <c r="D68" s="115"/>
      <c r="E68" s="115"/>
      <c r="F68" s="115"/>
      <c r="G68" s="115"/>
      <c r="H68" s="84" t="s">
        <v>4</v>
      </c>
      <c r="I68" s="85">
        <f>SUM(J68:O68)</f>
        <v>378.83000000000004</v>
      </c>
      <c r="J68" s="83"/>
      <c r="K68" s="83"/>
      <c r="L68" s="83">
        <v>102.12</v>
      </c>
      <c r="M68" s="83">
        <v>105.42</v>
      </c>
      <c r="N68" s="83">
        <v>171.29</v>
      </c>
      <c r="O68" s="83"/>
      <c r="P68" s="118"/>
    </row>
    <row r="69" spans="2:16" outlineLevel="1" x14ac:dyDescent="0.2">
      <c r="B69" s="115"/>
      <c r="C69" s="115"/>
      <c r="D69" s="115"/>
      <c r="E69" s="115"/>
      <c r="F69" s="115"/>
      <c r="G69" s="115"/>
      <c r="H69" s="84" t="s">
        <v>6</v>
      </c>
      <c r="I69" s="85">
        <f>SUM(J69:O69)</f>
        <v>301.17</v>
      </c>
      <c r="J69" s="83">
        <v>0</v>
      </c>
      <c r="K69" s="83"/>
      <c r="L69" s="83">
        <v>70.97</v>
      </c>
      <c r="M69" s="83">
        <v>71.180000000000007</v>
      </c>
      <c r="N69" s="83">
        <v>159.02000000000001</v>
      </c>
      <c r="O69" s="83">
        <v>0</v>
      </c>
      <c r="P69" s="118"/>
    </row>
    <row r="70" spans="2:16" outlineLevel="1" x14ac:dyDescent="0.2">
      <c r="B70" s="116"/>
      <c r="C70" s="116"/>
      <c r="D70" s="116"/>
      <c r="E70" s="116"/>
      <c r="F70" s="116"/>
      <c r="G70" s="116"/>
      <c r="H70" s="84" t="s">
        <v>5</v>
      </c>
      <c r="I70" s="13"/>
      <c r="J70" s="13"/>
      <c r="K70" s="13"/>
      <c r="L70" s="13"/>
      <c r="M70" s="13"/>
      <c r="N70" s="13"/>
      <c r="O70" s="13"/>
      <c r="P70" s="119"/>
    </row>
    <row r="71" spans="2:16" ht="42.75" customHeight="1" outlineLevel="1" x14ac:dyDescent="0.2">
      <c r="B71" s="114" t="s">
        <v>951</v>
      </c>
      <c r="C71" s="114"/>
      <c r="D71" s="114" t="s">
        <v>39</v>
      </c>
      <c r="E71" s="114" t="s">
        <v>698</v>
      </c>
      <c r="F71" s="114" t="s">
        <v>968</v>
      </c>
      <c r="G71" s="114"/>
      <c r="H71" s="84" t="s">
        <v>3</v>
      </c>
      <c r="I71" s="85">
        <f>SUM(J71:O71)</f>
        <v>63.15</v>
      </c>
      <c r="J71" s="85">
        <f t="shared" ref="J71:O71" si="31">J72+J73+J74</f>
        <v>16.32</v>
      </c>
      <c r="K71" s="85">
        <f t="shared" si="31"/>
        <v>0</v>
      </c>
      <c r="L71" s="85">
        <f t="shared" si="31"/>
        <v>15.09</v>
      </c>
      <c r="M71" s="85">
        <f t="shared" si="31"/>
        <v>20.89</v>
      </c>
      <c r="N71" s="85">
        <f t="shared" si="31"/>
        <v>10.850000000000001</v>
      </c>
      <c r="O71" s="85">
        <f t="shared" si="31"/>
        <v>0</v>
      </c>
      <c r="P71" s="117"/>
    </row>
    <row r="72" spans="2:16" outlineLevel="1" x14ac:dyDescent="0.2">
      <c r="B72" s="115"/>
      <c r="C72" s="115"/>
      <c r="D72" s="115"/>
      <c r="E72" s="115"/>
      <c r="F72" s="115"/>
      <c r="G72" s="115"/>
      <c r="H72" s="84" t="s">
        <v>4</v>
      </c>
      <c r="I72" s="85">
        <f>SUM(J72:O72)</f>
        <v>60.660000000000004</v>
      </c>
      <c r="J72" s="85">
        <v>16.16</v>
      </c>
      <c r="K72" s="85"/>
      <c r="L72" s="85">
        <v>14.34</v>
      </c>
      <c r="M72" s="85">
        <v>19.850000000000001</v>
      </c>
      <c r="N72" s="85">
        <v>10.31</v>
      </c>
      <c r="O72" s="85"/>
      <c r="P72" s="118"/>
    </row>
    <row r="73" spans="2:16" outlineLevel="1" x14ac:dyDescent="0.2">
      <c r="B73" s="115"/>
      <c r="C73" s="115"/>
      <c r="D73" s="115"/>
      <c r="E73" s="115"/>
      <c r="F73" s="115"/>
      <c r="G73" s="115"/>
      <c r="H73" s="84" t="s">
        <v>6</v>
      </c>
      <c r="I73" s="85">
        <f>SUM(J73:O73)</f>
        <v>2.4900000000000002</v>
      </c>
      <c r="J73" s="85">
        <v>0.16</v>
      </c>
      <c r="K73" s="85"/>
      <c r="L73" s="85">
        <v>0.75</v>
      </c>
      <c r="M73" s="85">
        <v>1.04</v>
      </c>
      <c r="N73" s="85">
        <v>0.54</v>
      </c>
      <c r="O73" s="85"/>
      <c r="P73" s="118"/>
    </row>
    <row r="74" spans="2:16" outlineLevel="1" x14ac:dyDescent="0.2">
      <c r="B74" s="116"/>
      <c r="C74" s="116"/>
      <c r="D74" s="116"/>
      <c r="E74" s="116"/>
      <c r="F74" s="116"/>
      <c r="G74" s="116"/>
      <c r="H74" s="84" t="s">
        <v>5</v>
      </c>
      <c r="I74" s="13"/>
      <c r="J74" s="85"/>
      <c r="K74" s="85"/>
      <c r="L74" s="85"/>
      <c r="M74" s="85"/>
      <c r="N74" s="85"/>
      <c r="O74" s="85"/>
      <c r="P74" s="119"/>
    </row>
    <row r="75" spans="2:16" ht="42.75" customHeight="1" outlineLevel="1" x14ac:dyDescent="0.2">
      <c r="B75" s="114" t="s">
        <v>969</v>
      </c>
      <c r="C75" s="114"/>
      <c r="D75" s="114" t="s">
        <v>39</v>
      </c>
      <c r="E75" s="114">
        <v>2022</v>
      </c>
      <c r="F75" s="114" t="s">
        <v>970</v>
      </c>
      <c r="G75" s="114"/>
      <c r="H75" s="84" t="s">
        <v>3</v>
      </c>
      <c r="I75" s="85">
        <f>SUM(J75:O75)</f>
        <v>102.7</v>
      </c>
      <c r="J75" s="85">
        <v>3.2</v>
      </c>
      <c r="K75" s="85">
        <v>99.5</v>
      </c>
      <c r="L75" s="85"/>
      <c r="M75" s="85"/>
      <c r="N75" s="85"/>
      <c r="O75" s="85"/>
      <c r="P75" s="117"/>
    </row>
    <row r="76" spans="2:16" outlineLevel="1" x14ac:dyDescent="0.2">
      <c r="B76" s="115"/>
      <c r="C76" s="115"/>
      <c r="D76" s="115"/>
      <c r="E76" s="115"/>
      <c r="F76" s="115"/>
      <c r="G76" s="115"/>
      <c r="H76" s="84" t="s">
        <v>4</v>
      </c>
      <c r="I76" s="85">
        <f>SUM(J76:O76)</f>
        <v>0</v>
      </c>
      <c r="J76" s="85"/>
      <c r="K76" s="85"/>
      <c r="L76" s="85"/>
      <c r="M76" s="85"/>
      <c r="N76" s="85"/>
      <c r="O76" s="85"/>
      <c r="P76" s="118"/>
    </row>
    <row r="77" spans="2:16" outlineLevel="1" x14ac:dyDescent="0.2">
      <c r="B77" s="115"/>
      <c r="C77" s="115"/>
      <c r="D77" s="115"/>
      <c r="E77" s="115"/>
      <c r="F77" s="115"/>
      <c r="G77" s="115"/>
      <c r="H77" s="84" t="s">
        <v>6</v>
      </c>
      <c r="I77" s="85">
        <f>SUM(J77:O77)</f>
        <v>102.7</v>
      </c>
      <c r="J77" s="85">
        <v>3.2</v>
      </c>
      <c r="K77" s="85">
        <v>99.5</v>
      </c>
      <c r="L77" s="85"/>
      <c r="M77" s="85"/>
      <c r="N77" s="85"/>
      <c r="O77" s="85"/>
      <c r="P77" s="118"/>
    </row>
    <row r="78" spans="2:16" outlineLevel="1" x14ac:dyDescent="0.2">
      <c r="B78" s="116"/>
      <c r="C78" s="116"/>
      <c r="D78" s="116"/>
      <c r="E78" s="116"/>
      <c r="F78" s="116"/>
      <c r="G78" s="116"/>
      <c r="H78" s="84" t="s">
        <v>5</v>
      </c>
      <c r="I78" s="13"/>
      <c r="J78" s="85"/>
      <c r="K78" s="85"/>
      <c r="L78" s="85"/>
      <c r="M78" s="85"/>
      <c r="N78" s="85"/>
      <c r="O78" s="85"/>
      <c r="P78" s="119"/>
    </row>
    <row r="79" spans="2:16" ht="42.75" customHeight="1" outlineLevel="1" x14ac:dyDescent="0.2">
      <c r="B79" s="114" t="s">
        <v>971</v>
      </c>
      <c r="C79" s="114"/>
      <c r="D79" s="114" t="s">
        <v>39</v>
      </c>
      <c r="E79" s="114"/>
      <c r="F79" s="114" t="s">
        <v>964</v>
      </c>
      <c r="G79" s="114"/>
      <c r="H79" s="84" t="s">
        <v>3</v>
      </c>
      <c r="I79" s="85">
        <f>SUM(J79:O79)</f>
        <v>6.7</v>
      </c>
      <c r="J79" s="85"/>
      <c r="K79" s="85">
        <v>6.7</v>
      </c>
      <c r="L79" s="85"/>
      <c r="M79" s="85"/>
      <c r="N79" s="85"/>
      <c r="O79" s="85"/>
      <c r="P79" s="117"/>
    </row>
    <row r="80" spans="2:16" outlineLevel="1" x14ac:dyDescent="0.2">
      <c r="B80" s="115"/>
      <c r="C80" s="115"/>
      <c r="D80" s="115"/>
      <c r="E80" s="115"/>
      <c r="F80" s="115"/>
      <c r="G80" s="115"/>
      <c r="H80" s="84" t="s">
        <v>4</v>
      </c>
      <c r="I80" s="85">
        <f>SUM(J80:O80)</f>
        <v>0</v>
      </c>
      <c r="J80" s="85"/>
      <c r="K80" s="85"/>
      <c r="L80" s="85"/>
      <c r="M80" s="85"/>
      <c r="N80" s="85"/>
      <c r="O80" s="85"/>
      <c r="P80" s="118"/>
    </row>
    <row r="81" spans="2:16" outlineLevel="1" x14ac:dyDescent="0.2">
      <c r="B81" s="115"/>
      <c r="C81" s="115"/>
      <c r="D81" s="115"/>
      <c r="E81" s="115"/>
      <c r="F81" s="115"/>
      <c r="G81" s="115"/>
      <c r="H81" s="84" t="s">
        <v>6</v>
      </c>
      <c r="I81" s="85">
        <f>SUM(J81:O81)</f>
        <v>6.7</v>
      </c>
      <c r="J81" s="85"/>
      <c r="K81" s="85">
        <v>6.7</v>
      </c>
      <c r="L81" s="85"/>
      <c r="M81" s="85"/>
      <c r="N81" s="85"/>
      <c r="O81" s="85"/>
      <c r="P81" s="118"/>
    </row>
    <row r="82" spans="2:16" outlineLevel="1" x14ac:dyDescent="0.2">
      <c r="B82" s="116"/>
      <c r="C82" s="116"/>
      <c r="D82" s="116"/>
      <c r="E82" s="116"/>
      <c r="F82" s="116"/>
      <c r="G82" s="116"/>
      <c r="H82" s="84" t="s">
        <v>5</v>
      </c>
      <c r="I82" s="13"/>
      <c r="J82" s="85"/>
      <c r="K82" s="85"/>
      <c r="L82" s="85"/>
      <c r="M82" s="85"/>
      <c r="N82" s="85"/>
      <c r="O82" s="85"/>
      <c r="P82" s="119"/>
    </row>
    <row r="83" spans="2:16" ht="42.75" customHeight="1" outlineLevel="1" x14ac:dyDescent="0.2">
      <c r="B83" s="114" t="s">
        <v>972</v>
      </c>
      <c r="C83" s="114"/>
      <c r="D83" s="114" t="s">
        <v>973</v>
      </c>
      <c r="E83" s="114"/>
      <c r="F83" s="114" t="s">
        <v>955</v>
      </c>
      <c r="G83" s="114"/>
      <c r="H83" s="50" t="s">
        <v>3</v>
      </c>
      <c r="I83" s="58">
        <f>SUM(J83:O83)</f>
        <v>10</v>
      </c>
      <c r="J83" s="85"/>
      <c r="K83" s="85">
        <v>10</v>
      </c>
      <c r="L83" s="85"/>
      <c r="M83" s="85"/>
      <c r="N83" s="85"/>
      <c r="O83" s="85"/>
      <c r="P83" s="114"/>
    </row>
    <row r="84" spans="2:16" outlineLevel="1" x14ac:dyDescent="0.2">
      <c r="B84" s="115"/>
      <c r="C84" s="137"/>
      <c r="D84" s="115"/>
      <c r="E84" s="115"/>
      <c r="F84" s="115"/>
      <c r="G84" s="115"/>
      <c r="H84" s="50" t="s">
        <v>4</v>
      </c>
      <c r="I84" s="85">
        <f>SUM(J84:O84)</f>
        <v>0</v>
      </c>
      <c r="J84" s="85"/>
      <c r="K84" s="85"/>
      <c r="L84" s="85"/>
      <c r="M84" s="85"/>
      <c r="N84" s="85"/>
      <c r="O84" s="85"/>
      <c r="P84" s="115"/>
    </row>
    <row r="85" spans="2:16" outlineLevel="1" x14ac:dyDescent="0.2">
      <c r="B85" s="115"/>
      <c r="C85" s="137"/>
      <c r="D85" s="115"/>
      <c r="E85" s="115"/>
      <c r="F85" s="115"/>
      <c r="G85" s="115"/>
      <c r="H85" s="50" t="s">
        <v>6</v>
      </c>
      <c r="I85" s="85">
        <f>SUM(J85:O85)</f>
        <v>10</v>
      </c>
      <c r="J85" s="85"/>
      <c r="K85" s="85">
        <v>10</v>
      </c>
      <c r="L85" s="85"/>
      <c r="M85" s="85"/>
      <c r="N85" s="85"/>
      <c r="O85" s="85"/>
      <c r="P85" s="115"/>
    </row>
    <row r="86" spans="2:16" outlineLevel="1" x14ac:dyDescent="0.2">
      <c r="B86" s="116"/>
      <c r="C86" s="138"/>
      <c r="D86" s="116"/>
      <c r="E86" s="116"/>
      <c r="F86" s="116"/>
      <c r="G86" s="116"/>
      <c r="H86" s="50" t="s">
        <v>5</v>
      </c>
      <c r="I86" s="85"/>
      <c r="J86" s="85"/>
      <c r="K86" s="85"/>
      <c r="L86" s="85"/>
      <c r="M86" s="85"/>
      <c r="N86" s="85"/>
      <c r="O86" s="85"/>
      <c r="P86" s="116"/>
    </row>
    <row r="87" spans="2:16" ht="42.75" x14ac:dyDescent="0.2">
      <c r="B87" s="128" t="s">
        <v>46</v>
      </c>
      <c r="C87" s="128" t="s">
        <v>38</v>
      </c>
      <c r="D87" s="128" t="s">
        <v>38</v>
      </c>
      <c r="E87" s="128" t="s">
        <v>38</v>
      </c>
      <c r="F87" s="128" t="s">
        <v>38</v>
      </c>
      <c r="G87" s="128" t="s">
        <v>38</v>
      </c>
      <c r="H87" s="84" t="s">
        <v>3</v>
      </c>
      <c r="I87" s="14">
        <f>SUMIF($H$67:$H$86,"Объем*",I$67:I$86)</f>
        <v>862.55000000000007</v>
      </c>
      <c r="J87" s="14">
        <f t="shared" ref="J87:O87" si="32">SUMIF($H$67:$H$86,"Объем*",J$67:J$86)</f>
        <v>19.52</v>
      </c>
      <c r="K87" s="14">
        <f t="shared" si="32"/>
        <v>116.2</v>
      </c>
      <c r="L87" s="14">
        <f t="shared" si="32"/>
        <v>188.18</v>
      </c>
      <c r="M87" s="14">
        <f t="shared" si="32"/>
        <v>197.49</v>
      </c>
      <c r="N87" s="14">
        <f t="shared" si="32"/>
        <v>341.16</v>
      </c>
      <c r="O87" s="14">
        <f t="shared" si="32"/>
        <v>0</v>
      </c>
      <c r="P87" s="128"/>
    </row>
    <row r="88" spans="2:16" ht="15.75" x14ac:dyDescent="0.2">
      <c r="B88" s="129"/>
      <c r="C88" s="129"/>
      <c r="D88" s="129"/>
      <c r="E88" s="129"/>
      <c r="F88" s="129"/>
      <c r="G88" s="129"/>
      <c r="H88" s="84" t="s">
        <v>4</v>
      </c>
      <c r="I88" s="14">
        <f>SUMIF($H$67:$H$86,"фед*",I$67:I$86)</f>
        <v>439.49000000000007</v>
      </c>
      <c r="J88" s="14">
        <f t="shared" ref="J88:O88" si="33">SUMIF($H$67:$H$86,"фед*",J$67:J$86)</f>
        <v>16.16</v>
      </c>
      <c r="K88" s="14">
        <f t="shared" si="33"/>
        <v>0</v>
      </c>
      <c r="L88" s="14">
        <f t="shared" si="33"/>
        <v>116.46000000000001</v>
      </c>
      <c r="M88" s="14">
        <f t="shared" si="33"/>
        <v>125.27000000000001</v>
      </c>
      <c r="N88" s="14">
        <f t="shared" si="33"/>
        <v>181.6</v>
      </c>
      <c r="O88" s="14">
        <f t="shared" si="33"/>
        <v>0</v>
      </c>
      <c r="P88" s="129"/>
    </row>
    <row r="89" spans="2:16" ht="15.75" x14ac:dyDescent="0.2">
      <c r="B89" s="129"/>
      <c r="C89" s="129"/>
      <c r="D89" s="129"/>
      <c r="E89" s="129"/>
      <c r="F89" s="129"/>
      <c r="G89" s="129"/>
      <c r="H89" s="84" t="s">
        <v>6</v>
      </c>
      <c r="I89" s="14">
        <f>SUMIF($H$67:$H$86,"конс*",I$67:I$86)</f>
        <v>423.06</v>
      </c>
      <c r="J89" s="14">
        <f t="shared" ref="J89:O89" si="34">SUMIF($H$67:$H$86,"конс*",J$67:J$86)</f>
        <v>3.3600000000000003</v>
      </c>
      <c r="K89" s="14">
        <f t="shared" si="34"/>
        <v>116.2</v>
      </c>
      <c r="L89" s="14">
        <f t="shared" si="34"/>
        <v>71.72</v>
      </c>
      <c r="M89" s="14">
        <f t="shared" si="34"/>
        <v>72.220000000000013</v>
      </c>
      <c r="N89" s="14">
        <f t="shared" si="34"/>
        <v>159.56</v>
      </c>
      <c r="O89" s="14">
        <f t="shared" si="34"/>
        <v>0</v>
      </c>
      <c r="P89" s="129"/>
    </row>
    <row r="90" spans="2:16" ht="15.75" x14ac:dyDescent="0.2">
      <c r="B90" s="130"/>
      <c r="C90" s="130"/>
      <c r="D90" s="130"/>
      <c r="E90" s="130"/>
      <c r="F90" s="130"/>
      <c r="G90" s="130"/>
      <c r="H90" s="84" t="s">
        <v>5</v>
      </c>
      <c r="I90" s="76">
        <f>SUMIF($H$67:$H$86,"вне*",I$67:I$86)</f>
        <v>0</v>
      </c>
      <c r="J90" s="76">
        <f t="shared" ref="J90:O90" si="35">SUMIF($H$67:$H$86,"вне*",J$67:J$86)</f>
        <v>0</v>
      </c>
      <c r="K90" s="76">
        <f t="shared" si="35"/>
        <v>0</v>
      </c>
      <c r="L90" s="76">
        <f t="shared" si="35"/>
        <v>0</v>
      </c>
      <c r="M90" s="76">
        <f t="shared" si="35"/>
        <v>0</v>
      </c>
      <c r="N90" s="76">
        <f t="shared" si="35"/>
        <v>0</v>
      </c>
      <c r="O90" s="76">
        <f t="shared" si="35"/>
        <v>0</v>
      </c>
      <c r="P90" s="130"/>
    </row>
    <row r="91" spans="2:16" ht="25.5" customHeight="1" x14ac:dyDescent="0.2">
      <c r="B91" s="111" t="s">
        <v>223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3"/>
    </row>
    <row r="92" spans="2:16" ht="42.75" customHeight="1" outlineLevel="1" x14ac:dyDescent="0.2">
      <c r="B92" s="114" t="s">
        <v>951</v>
      </c>
      <c r="C92" s="114"/>
      <c r="D92" s="117" t="s">
        <v>223</v>
      </c>
      <c r="E92" s="117" t="s">
        <v>69</v>
      </c>
      <c r="F92" s="114" t="s">
        <v>956</v>
      </c>
      <c r="G92" s="114"/>
      <c r="H92" s="50" t="s">
        <v>3</v>
      </c>
      <c r="I92" s="58">
        <f>SUM(J92:O92)</f>
        <v>15.3</v>
      </c>
      <c r="J92" s="85">
        <f t="shared" ref="J92:O92" si="36">J93+J94+J95</f>
        <v>0</v>
      </c>
      <c r="K92" s="85">
        <f t="shared" si="36"/>
        <v>4.8500000000000005</v>
      </c>
      <c r="L92" s="85">
        <f t="shared" si="36"/>
        <v>5.03</v>
      </c>
      <c r="M92" s="85">
        <f t="shared" si="36"/>
        <v>0</v>
      </c>
      <c r="N92" s="85">
        <f t="shared" si="36"/>
        <v>5.42</v>
      </c>
      <c r="O92" s="85">
        <f t="shared" si="36"/>
        <v>0</v>
      </c>
      <c r="P92" s="114"/>
    </row>
    <row r="93" spans="2:16" outlineLevel="1" x14ac:dyDescent="0.2">
      <c r="B93" s="115"/>
      <c r="C93" s="137"/>
      <c r="D93" s="118"/>
      <c r="E93" s="118"/>
      <c r="F93" s="115"/>
      <c r="G93" s="115"/>
      <c r="H93" s="50" t="s">
        <v>4</v>
      </c>
      <c r="I93" s="85">
        <f>SUM(J93:O93)</f>
        <v>14.540000000000001</v>
      </c>
      <c r="J93" s="85"/>
      <c r="K93" s="85">
        <v>4.6100000000000003</v>
      </c>
      <c r="L93" s="85">
        <v>4.78</v>
      </c>
      <c r="M93" s="85"/>
      <c r="N93" s="85">
        <v>5.15</v>
      </c>
      <c r="O93" s="85"/>
      <c r="P93" s="115"/>
    </row>
    <row r="94" spans="2:16" outlineLevel="1" x14ac:dyDescent="0.2">
      <c r="B94" s="115"/>
      <c r="C94" s="137"/>
      <c r="D94" s="118"/>
      <c r="E94" s="118"/>
      <c r="F94" s="115"/>
      <c r="G94" s="115"/>
      <c r="H94" s="50" t="s">
        <v>6</v>
      </c>
      <c r="I94" s="85">
        <f>SUM(J94:O94)</f>
        <v>0.76</v>
      </c>
      <c r="J94" s="85"/>
      <c r="K94" s="85">
        <v>0.24</v>
      </c>
      <c r="L94" s="85">
        <v>0.25</v>
      </c>
      <c r="M94" s="85"/>
      <c r="N94" s="85">
        <v>0.27</v>
      </c>
      <c r="O94" s="85"/>
      <c r="P94" s="115"/>
    </row>
    <row r="95" spans="2:16" outlineLevel="1" x14ac:dyDescent="0.2">
      <c r="B95" s="116"/>
      <c r="C95" s="138"/>
      <c r="D95" s="119"/>
      <c r="E95" s="119"/>
      <c r="F95" s="116"/>
      <c r="G95" s="116"/>
      <c r="H95" s="50" t="s">
        <v>5</v>
      </c>
      <c r="I95" s="85"/>
      <c r="J95" s="85"/>
      <c r="K95" s="85"/>
      <c r="L95" s="85"/>
      <c r="M95" s="85"/>
      <c r="N95" s="85"/>
      <c r="O95" s="85"/>
      <c r="P95" s="116"/>
    </row>
    <row r="96" spans="2:16" ht="42.75" x14ac:dyDescent="0.2">
      <c r="B96" s="128" t="s">
        <v>288</v>
      </c>
      <c r="C96" s="128" t="s">
        <v>38</v>
      </c>
      <c r="D96" s="128" t="s">
        <v>38</v>
      </c>
      <c r="E96" s="128" t="s">
        <v>38</v>
      </c>
      <c r="F96" s="128" t="s">
        <v>38</v>
      </c>
      <c r="G96" s="128" t="s">
        <v>38</v>
      </c>
      <c r="H96" s="84" t="s">
        <v>3</v>
      </c>
      <c r="I96" s="14">
        <f>SUMIF($H$92:$H$95,"Объем*",I$92:I$95)</f>
        <v>15.3</v>
      </c>
      <c r="J96" s="14">
        <f t="shared" ref="J96:O96" si="37">SUMIF($H$92:$H$95,"Объем*",J$92:J$95)</f>
        <v>0</v>
      </c>
      <c r="K96" s="14">
        <f t="shared" si="37"/>
        <v>4.8500000000000005</v>
      </c>
      <c r="L96" s="14">
        <f t="shared" si="37"/>
        <v>5.03</v>
      </c>
      <c r="M96" s="14">
        <f t="shared" si="37"/>
        <v>0</v>
      </c>
      <c r="N96" s="14">
        <f t="shared" si="37"/>
        <v>5.42</v>
      </c>
      <c r="O96" s="14">
        <f t="shared" si="37"/>
        <v>0</v>
      </c>
      <c r="P96" s="128"/>
    </row>
    <row r="97" spans="2:16" ht="15.75" x14ac:dyDescent="0.2">
      <c r="B97" s="129"/>
      <c r="C97" s="129"/>
      <c r="D97" s="129"/>
      <c r="E97" s="129"/>
      <c r="F97" s="129"/>
      <c r="G97" s="129"/>
      <c r="H97" s="84" t="s">
        <v>4</v>
      </c>
      <c r="I97" s="14">
        <f>SUMIF($H$92:$H$95,"фед*",I$92:I$95)</f>
        <v>14.540000000000001</v>
      </c>
      <c r="J97" s="14">
        <f t="shared" ref="J97:O97" si="38">SUMIF($H$92:$H$95,"фед*",J$92:J$95)</f>
        <v>0</v>
      </c>
      <c r="K97" s="14">
        <f t="shared" si="38"/>
        <v>4.6100000000000003</v>
      </c>
      <c r="L97" s="14">
        <f t="shared" si="38"/>
        <v>4.78</v>
      </c>
      <c r="M97" s="14">
        <f t="shared" si="38"/>
        <v>0</v>
      </c>
      <c r="N97" s="14">
        <f t="shared" si="38"/>
        <v>5.15</v>
      </c>
      <c r="O97" s="14">
        <f t="shared" si="38"/>
        <v>0</v>
      </c>
      <c r="P97" s="129"/>
    </row>
    <row r="98" spans="2:16" ht="15.75" x14ac:dyDescent="0.2">
      <c r="B98" s="129"/>
      <c r="C98" s="129"/>
      <c r="D98" s="129"/>
      <c r="E98" s="129"/>
      <c r="F98" s="129"/>
      <c r="G98" s="129"/>
      <c r="H98" s="84" t="s">
        <v>6</v>
      </c>
      <c r="I98" s="14">
        <f>SUMIF($H$92:$H$95,"конс*",I$92:I$95)</f>
        <v>0.76</v>
      </c>
      <c r="J98" s="14">
        <f t="shared" ref="J98:O98" si="39">SUMIF($H$92:$H$95,"конс*",J$92:J$95)</f>
        <v>0</v>
      </c>
      <c r="K98" s="14">
        <f t="shared" si="39"/>
        <v>0.24</v>
      </c>
      <c r="L98" s="14">
        <f t="shared" si="39"/>
        <v>0.25</v>
      </c>
      <c r="M98" s="14">
        <f t="shared" si="39"/>
        <v>0</v>
      </c>
      <c r="N98" s="14">
        <f t="shared" si="39"/>
        <v>0.27</v>
      </c>
      <c r="O98" s="14">
        <f t="shared" si="39"/>
        <v>0</v>
      </c>
      <c r="P98" s="129"/>
    </row>
    <row r="99" spans="2:16" ht="15.75" x14ac:dyDescent="0.2">
      <c r="B99" s="130"/>
      <c r="C99" s="130"/>
      <c r="D99" s="130"/>
      <c r="E99" s="130"/>
      <c r="F99" s="130"/>
      <c r="G99" s="130"/>
      <c r="H99" s="84" t="s">
        <v>5</v>
      </c>
      <c r="I99" s="76">
        <f>SUMIF($H$92:$H$95,"вне*",I$92:I$95)</f>
        <v>0</v>
      </c>
      <c r="J99" s="76">
        <f t="shared" ref="J99:O99" si="40">SUMIF($H$92:$H$95,"вне*",J$92:J$95)</f>
        <v>0</v>
      </c>
      <c r="K99" s="76">
        <f t="shared" si="40"/>
        <v>0</v>
      </c>
      <c r="L99" s="76">
        <f t="shared" si="40"/>
        <v>0</v>
      </c>
      <c r="M99" s="76">
        <f t="shared" si="40"/>
        <v>0</v>
      </c>
      <c r="N99" s="76">
        <f t="shared" si="40"/>
        <v>0</v>
      </c>
      <c r="O99" s="76">
        <f t="shared" si="40"/>
        <v>0</v>
      </c>
      <c r="P99" s="130"/>
    </row>
    <row r="100" spans="2:16" ht="25.5" customHeight="1" x14ac:dyDescent="0.2">
      <c r="B100" s="111" t="s">
        <v>289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</row>
    <row r="101" spans="2:16" ht="42.75" customHeight="1" outlineLevel="1" x14ac:dyDescent="0.2">
      <c r="B101" s="117" t="s">
        <v>953</v>
      </c>
      <c r="C101" s="117"/>
      <c r="D101" s="117" t="s">
        <v>289</v>
      </c>
      <c r="E101" s="117">
        <v>2024</v>
      </c>
      <c r="F101" s="117" t="s">
        <v>955</v>
      </c>
      <c r="G101" s="117"/>
      <c r="H101" s="84" t="s">
        <v>3</v>
      </c>
      <c r="I101" s="85">
        <f>SUM(J101:O101)</f>
        <v>20.740000000000002</v>
      </c>
      <c r="J101" s="83">
        <f t="shared" ref="J101:O101" si="41">J102+J103+J104</f>
        <v>0</v>
      </c>
      <c r="K101" s="83">
        <f t="shared" si="41"/>
        <v>0</v>
      </c>
      <c r="L101" s="83">
        <f t="shared" si="41"/>
        <v>0</v>
      </c>
      <c r="M101" s="83">
        <f t="shared" si="41"/>
        <v>0</v>
      </c>
      <c r="N101" s="83">
        <f t="shared" si="41"/>
        <v>20.740000000000002</v>
      </c>
      <c r="O101" s="83">
        <f t="shared" si="41"/>
        <v>0</v>
      </c>
      <c r="P101" s="117"/>
    </row>
    <row r="102" spans="2:16" outlineLevel="1" x14ac:dyDescent="0.2">
      <c r="B102" s="118"/>
      <c r="C102" s="118"/>
      <c r="D102" s="118"/>
      <c r="E102" s="118"/>
      <c r="F102" s="118"/>
      <c r="G102" s="118"/>
      <c r="H102" s="84" t="s">
        <v>4</v>
      </c>
      <c r="I102" s="85">
        <f>SUM(J102:O102)</f>
        <v>19.690000000000001</v>
      </c>
      <c r="J102" s="83"/>
      <c r="K102" s="83"/>
      <c r="L102" s="83"/>
      <c r="M102" s="83"/>
      <c r="N102" s="83">
        <v>19.690000000000001</v>
      </c>
      <c r="O102" s="83"/>
      <c r="P102" s="118"/>
    </row>
    <row r="103" spans="2:16" outlineLevel="1" x14ac:dyDescent="0.2">
      <c r="B103" s="118"/>
      <c r="C103" s="118"/>
      <c r="D103" s="118"/>
      <c r="E103" s="118"/>
      <c r="F103" s="118"/>
      <c r="G103" s="118"/>
      <c r="H103" s="84" t="s">
        <v>6</v>
      </c>
      <c r="I103" s="85">
        <f>SUM(J103:O103)</f>
        <v>1.05</v>
      </c>
      <c r="J103" s="83">
        <v>0</v>
      </c>
      <c r="K103" s="83"/>
      <c r="L103" s="83"/>
      <c r="M103" s="83"/>
      <c r="N103" s="83">
        <v>1.05</v>
      </c>
      <c r="O103" s="83">
        <v>0</v>
      </c>
      <c r="P103" s="118"/>
    </row>
    <row r="104" spans="2:16" outlineLevel="1" x14ac:dyDescent="0.2">
      <c r="B104" s="119"/>
      <c r="C104" s="119"/>
      <c r="D104" s="119"/>
      <c r="E104" s="119"/>
      <c r="F104" s="119"/>
      <c r="G104" s="119"/>
      <c r="H104" s="84" t="s">
        <v>5</v>
      </c>
      <c r="I104" s="13"/>
      <c r="J104" s="13"/>
      <c r="K104" s="13"/>
      <c r="L104" s="13"/>
      <c r="M104" s="13"/>
      <c r="N104" s="13"/>
      <c r="O104" s="13"/>
      <c r="P104" s="119"/>
    </row>
    <row r="105" spans="2:16" ht="42.75" customHeight="1" outlineLevel="1" x14ac:dyDescent="0.2">
      <c r="B105" s="114" t="s">
        <v>951</v>
      </c>
      <c r="C105" s="114"/>
      <c r="D105" s="117" t="s">
        <v>289</v>
      </c>
      <c r="E105" s="117" t="s">
        <v>69</v>
      </c>
      <c r="F105" s="114" t="s">
        <v>974</v>
      </c>
      <c r="G105" s="114"/>
      <c r="H105" s="50" t="s">
        <v>3</v>
      </c>
      <c r="I105" s="58">
        <f>SUM(J105:O105)</f>
        <v>46.480000000000004</v>
      </c>
      <c r="J105" s="85">
        <f t="shared" ref="J105:O105" si="42">J106+J107+J108</f>
        <v>0</v>
      </c>
      <c r="K105" s="85">
        <f t="shared" si="42"/>
        <v>9.7100000000000009</v>
      </c>
      <c r="L105" s="85">
        <f t="shared" si="42"/>
        <v>10.06</v>
      </c>
      <c r="M105" s="85">
        <f t="shared" si="42"/>
        <v>10.44</v>
      </c>
      <c r="N105" s="85">
        <f t="shared" si="42"/>
        <v>16.27</v>
      </c>
      <c r="O105" s="85">
        <f t="shared" si="42"/>
        <v>0</v>
      </c>
      <c r="P105" s="114"/>
    </row>
    <row r="106" spans="2:16" outlineLevel="1" x14ac:dyDescent="0.2">
      <c r="B106" s="115"/>
      <c r="C106" s="137"/>
      <c r="D106" s="118"/>
      <c r="E106" s="118"/>
      <c r="F106" s="115"/>
      <c r="G106" s="115"/>
      <c r="H106" s="50" t="s">
        <v>4</v>
      </c>
      <c r="I106" s="85">
        <f>SUM(J106:O106)</f>
        <v>44.160000000000004</v>
      </c>
      <c r="J106" s="85"/>
      <c r="K106" s="85">
        <v>9.2200000000000006</v>
      </c>
      <c r="L106" s="85">
        <v>9.56</v>
      </c>
      <c r="M106" s="85">
        <v>9.92</v>
      </c>
      <c r="N106" s="85">
        <v>15.46</v>
      </c>
      <c r="O106" s="85"/>
      <c r="P106" s="115"/>
    </row>
    <row r="107" spans="2:16" outlineLevel="1" x14ac:dyDescent="0.2">
      <c r="B107" s="115"/>
      <c r="C107" s="137"/>
      <c r="D107" s="118"/>
      <c r="E107" s="118"/>
      <c r="F107" s="115"/>
      <c r="G107" s="115"/>
      <c r="H107" s="50" t="s">
        <v>6</v>
      </c>
      <c r="I107" s="85">
        <f>SUM(J107:O107)</f>
        <v>2.3200000000000003</v>
      </c>
      <c r="J107" s="85"/>
      <c r="K107" s="85">
        <v>0.49</v>
      </c>
      <c r="L107" s="85">
        <v>0.5</v>
      </c>
      <c r="M107" s="85">
        <v>0.52</v>
      </c>
      <c r="N107" s="85">
        <v>0.81</v>
      </c>
      <c r="O107" s="85"/>
      <c r="P107" s="115"/>
    </row>
    <row r="108" spans="2:16" outlineLevel="1" x14ac:dyDescent="0.2">
      <c r="B108" s="116"/>
      <c r="C108" s="138"/>
      <c r="D108" s="119"/>
      <c r="E108" s="119"/>
      <c r="F108" s="116"/>
      <c r="G108" s="116"/>
      <c r="H108" s="50" t="s">
        <v>5</v>
      </c>
      <c r="I108" s="85"/>
      <c r="J108" s="85"/>
      <c r="K108" s="85"/>
      <c r="L108" s="85"/>
      <c r="M108" s="85"/>
      <c r="N108" s="85"/>
      <c r="O108" s="85"/>
      <c r="P108" s="116"/>
    </row>
    <row r="109" spans="2:16" ht="42.75" x14ac:dyDescent="0.2">
      <c r="B109" s="128" t="s">
        <v>320</v>
      </c>
      <c r="C109" s="128" t="s">
        <v>38</v>
      </c>
      <c r="D109" s="128" t="s">
        <v>38</v>
      </c>
      <c r="E109" s="128" t="s">
        <v>38</v>
      </c>
      <c r="F109" s="128" t="s">
        <v>38</v>
      </c>
      <c r="G109" s="128" t="s">
        <v>38</v>
      </c>
      <c r="H109" s="84" t="s">
        <v>3</v>
      </c>
      <c r="I109" s="14">
        <f>SUMIF($H$101:$H$108,"Объем*",I$101:I$108)</f>
        <v>67.22</v>
      </c>
      <c r="J109" s="14">
        <f t="shared" ref="J109:O109" si="43">SUMIF($H$101:$H$108,"Объем*",J$101:J$108)</f>
        <v>0</v>
      </c>
      <c r="K109" s="14">
        <f t="shared" si="43"/>
        <v>9.7100000000000009</v>
      </c>
      <c r="L109" s="14">
        <f t="shared" si="43"/>
        <v>10.06</v>
      </c>
      <c r="M109" s="14">
        <f t="shared" si="43"/>
        <v>10.44</v>
      </c>
      <c r="N109" s="14">
        <f t="shared" si="43"/>
        <v>37.010000000000005</v>
      </c>
      <c r="O109" s="14">
        <f t="shared" si="43"/>
        <v>0</v>
      </c>
      <c r="P109" s="128"/>
    </row>
    <row r="110" spans="2:16" ht="15.75" x14ac:dyDescent="0.2">
      <c r="B110" s="129"/>
      <c r="C110" s="129"/>
      <c r="D110" s="129"/>
      <c r="E110" s="129"/>
      <c r="F110" s="129"/>
      <c r="G110" s="129"/>
      <c r="H110" s="84" t="s">
        <v>4</v>
      </c>
      <c r="I110" s="14">
        <f>SUMIF($H$101:$H$108,"фед*",I$101:I$108)</f>
        <v>63.850000000000009</v>
      </c>
      <c r="J110" s="14">
        <f t="shared" ref="J110:O110" si="44">SUMIF($H$101:$H$108,"фед*",J$101:J$108)</f>
        <v>0</v>
      </c>
      <c r="K110" s="14">
        <f t="shared" si="44"/>
        <v>9.2200000000000006</v>
      </c>
      <c r="L110" s="14">
        <f t="shared" si="44"/>
        <v>9.56</v>
      </c>
      <c r="M110" s="14">
        <f t="shared" si="44"/>
        <v>9.92</v>
      </c>
      <c r="N110" s="14">
        <f t="shared" si="44"/>
        <v>35.150000000000006</v>
      </c>
      <c r="O110" s="14">
        <f t="shared" si="44"/>
        <v>0</v>
      </c>
      <c r="P110" s="129"/>
    </row>
    <row r="111" spans="2:16" ht="15.75" x14ac:dyDescent="0.2">
      <c r="B111" s="129"/>
      <c r="C111" s="129"/>
      <c r="D111" s="129"/>
      <c r="E111" s="129"/>
      <c r="F111" s="129"/>
      <c r="G111" s="129"/>
      <c r="H111" s="84" t="s">
        <v>6</v>
      </c>
      <c r="I111" s="14">
        <f>SUMIF($H$101:$H$108,"конс*",I$101:I$108)</f>
        <v>3.37</v>
      </c>
      <c r="J111" s="14">
        <f t="shared" ref="J111:O111" si="45">SUMIF($H$101:$H$108,"конс*",J$101:J$108)</f>
        <v>0</v>
      </c>
      <c r="K111" s="14">
        <f t="shared" si="45"/>
        <v>0.49</v>
      </c>
      <c r="L111" s="14">
        <f t="shared" si="45"/>
        <v>0.5</v>
      </c>
      <c r="M111" s="14">
        <f t="shared" si="45"/>
        <v>0.52</v>
      </c>
      <c r="N111" s="14">
        <f t="shared" si="45"/>
        <v>1.86</v>
      </c>
      <c r="O111" s="14">
        <f t="shared" si="45"/>
        <v>0</v>
      </c>
      <c r="P111" s="129"/>
    </row>
    <row r="112" spans="2:16" ht="15.75" x14ac:dyDescent="0.2">
      <c r="B112" s="130"/>
      <c r="C112" s="130"/>
      <c r="D112" s="130"/>
      <c r="E112" s="130"/>
      <c r="F112" s="130"/>
      <c r="G112" s="130"/>
      <c r="H112" s="84" t="s">
        <v>5</v>
      </c>
      <c r="I112" s="76">
        <f>SUMIF($H$101:$H$108,"вне*",I$101:I$108)</f>
        <v>0</v>
      </c>
      <c r="J112" s="76">
        <f t="shared" ref="J112:O112" si="46">SUMIF($H$101:$H$108,"вне*",J$101:J$108)</f>
        <v>0</v>
      </c>
      <c r="K112" s="76">
        <f t="shared" si="46"/>
        <v>0</v>
      </c>
      <c r="L112" s="76">
        <f t="shared" si="46"/>
        <v>0</v>
      </c>
      <c r="M112" s="76">
        <f t="shared" si="46"/>
        <v>0</v>
      </c>
      <c r="N112" s="76">
        <f t="shared" si="46"/>
        <v>0</v>
      </c>
      <c r="O112" s="76">
        <f t="shared" si="46"/>
        <v>0</v>
      </c>
      <c r="P112" s="130"/>
    </row>
    <row r="113" spans="2:16" ht="25.5" customHeight="1" x14ac:dyDescent="0.2">
      <c r="B113" s="111" t="s">
        <v>321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</row>
    <row r="114" spans="2:16" ht="42.75" customHeight="1" outlineLevel="1" x14ac:dyDescent="0.2">
      <c r="B114" s="114" t="s">
        <v>951</v>
      </c>
      <c r="C114" s="114"/>
      <c r="D114" s="117" t="s">
        <v>321</v>
      </c>
      <c r="E114" s="117" t="s">
        <v>69</v>
      </c>
      <c r="F114" s="114" t="s">
        <v>956</v>
      </c>
      <c r="G114" s="114"/>
      <c r="H114" s="50" t="s">
        <v>3</v>
      </c>
      <c r="I114" s="58">
        <f>SUM(J114:O114)</f>
        <v>16.12</v>
      </c>
      <c r="J114" s="85">
        <f t="shared" ref="J114:O114" si="47">J115+J116+J117</f>
        <v>0</v>
      </c>
      <c r="K114" s="85">
        <f t="shared" si="47"/>
        <v>4.8500000000000005</v>
      </c>
      <c r="L114" s="85">
        <f t="shared" si="47"/>
        <v>0</v>
      </c>
      <c r="M114" s="85">
        <f t="shared" si="47"/>
        <v>5.22</v>
      </c>
      <c r="N114" s="85">
        <f t="shared" si="47"/>
        <v>6.05</v>
      </c>
      <c r="O114" s="85">
        <f t="shared" si="47"/>
        <v>0</v>
      </c>
      <c r="P114" s="114"/>
    </row>
    <row r="115" spans="2:16" outlineLevel="1" x14ac:dyDescent="0.2">
      <c r="B115" s="115"/>
      <c r="C115" s="137"/>
      <c r="D115" s="118"/>
      <c r="E115" s="118"/>
      <c r="F115" s="115"/>
      <c r="G115" s="115"/>
      <c r="H115" s="50" t="s">
        <v>4</v>
      </c>
      <c r="I115" s="85">
        <f>SUM(J115:O115)</f>
        <v>15.32</v>
      </c>
      <c r="J115" s="85"/>
      <c r="K115" s="85">
        <v>4.6100000000000003</v>
      </c>
      <c r="L115" s="85"/>
      <c r="M115" s="85">
        <v>4.96</v>
      </c>
      <c r="N115" s="85">
        <v>5.75</v>
      </c>
      <c r="O115" s="85"/>
      <c r="P115" s="115"/>
    </row>
    <row r="116" spans="2:16" outlineLevel="1" x14ac:dyDescent="0.2">
      <c r="B116" s="115"/>
      <c r="C116" s="137"/>
      <c r="D116" s="118"/>
      <c r="E116" s="118"/>
      <c r="F116" s="115"/>
      <c r="G116" s="115"/>
      <c r="H116" s="50" t="s">
        <v>6</v>
      </c>
      <c r="I116" s="85">
        <f>SUM(J116:O116)</f>
        <v>0.8</v>
      </c>
      <c r="J116" s="85"/>
      <c r="K116" s="85">
        <v>0.24</v>
      </c>
      <c r="L116" s="85"/>
      <c r="M116" s="85">
        <v>0.26</v>
      </c>
      <c r="N116" s="85">
        <v>0.3</v>
      </c>
      <c r="O116" s="85"/>
      <c r="P116" s="115"/>
    </row>
    <row r="117" spans="2:16" outlineLevel="1" x14ac:dyDescent="0.2">
      <c r="B117" s="116"/>
      <c r="C117" s="138"/>
      <c r="D117" s="119"/>
      <c r="E117" s="119"/>
      <c r="F117" s="116"/>
      <c r="G117" s="116"/>
      <c r="H117" s="50" t="s">
        <v>5</v>
      </c>
      <c r="I117" s="85"/>
      <c r="J117" s="85"/>
      <c r="K117" s="85"/>
      <c r="L117" s="85"/>
      <c r="M117" s="85"/>
      <c r="N117" s="85"/>
      <c r="O117" s="85"/>
      <c r="P117" s="116"/>
    </row>
    <row r="118" spans="2:16" ht="42.75" x14ac:dyDescent="0.2">
      <c r="B118" s="128" t="s">
        <v>337</v>
      </c>
      <c r="C118" s="128" t="s">
        <v>38</v>
      </c>
      <c r="D118" s="128" t="s">
        <v>38</v>
      </c>
      <c r="E118" s="128" t="s">
        <v>38</v>
      </c>
      <c r="F118" s="128" t="s">
        <v>38</v>
      </c>
      <c r="G118" s="128" t="s">
        <v>38</v>
      </c>
      <c r="H118" s="84" t="s">
        <v>3</v>
      </c>
      <c r="I118" s="14">
        <f>SUMIF($H$114:$H$117,"Объем*",I$114:I$117)</f>
        <v>16.12</v>
      </c>
      <c r="J118" s="14">
        <f t="shared" ref="J118:O118" si="48">SUMIF($H$114:$H$117,"Объем*",J$114:J$117)</f>
        <v>0</v>
      </c>
      <c r="K118" s="14">
        <f t="shared" si="48"/>
        <v>4.8500000000000005</v>
      </c>
      <c r="L118" s="14">
        <f t="shared" si="48"/>
        <v>0</v>
      </c>
      <c r="M118" s="14">
        <f t="shared" si="48"/>
        <v>5.22</v>
      </c>
      <c r="N118" s="14">
        <f t="shared" si="48"/>
        <v>6.05</v>
      </c>
      <c r="O118" s="14">
        <f t="shared" si="48"/>
        <v>0</v>
      </c>
      <c r="P118" s="128"/>
    </row>
    <row r="119" spans="2:16" ht="15.75" x14ac:dyDescent="0.2">
      <c r="B119" s="129"/>
      <c r="C119" s="129"/>
      <c r="D119" s="129"/>
      <c r="E119" s="129"/>
      <c r="F119" s="129"/>
      <c r="G119" s="129"/>
      <c r="H119" s="84" t="s">
        <v>4</v>
      </c>
      <c r="I119" s="14">
        <f>SUMIF($H$114:$H$117,"фед*",I$114:I$117)</f>
        <v>15.32</v>
      </c>
      <c r="J119" s="14">
        <f t="shared" ref="J119:O119" si="49">SUMIF($H$114:$H$117,"фед*",J$114:J$117)</f>
        <v>0</v>
      </c>
      <c r="K119" s="14">
        <f t="shared" si="49"/>
        <v>4.6100000000000003</v>
      </c>
      <c r="L119" s="14">
        <f t="shared" si="49"/>
        <v>0</v>
      </c>
      <c r="M119" s="14">
        <f t="shared" si="49"/>
        <v>4.96</v>
      </c>
      <c r="N119" s="14">
        <f t="shared" si="49"/>
        <v>5.75</v>
      </c>
      <c r="O119" s="14">
        <f t="shared" si="49"/>
        <v>0</v>
      </c>
      <c r="P119" s="129"/>
    </row>
    <row r="120" spans="2:16" ht="15.75" x14ac:dyDescent="0.2">
      <c r="B120" s="129"/>
      <c r="C120" s="129"/>
      <c r="D120" s="129"/>
      <c r="E120" s="129"/>
      <c r="F120" s="129"/>
      <c r="G120" s="129"/>
      <c r="H120" s="84" t="s">
        <v>6</v>
      </c>
      <c r="I120" s="14">
        <f>SUMIF($H$114:$H$117,"конс*",I$114:I$117)</f>
        <v>0.8</v>
      </c>
      <c r="J120" s="14">
        <f t="shared" ref="J120:O120" si="50">SUMIF($H$114:$H$117,"конс*",J$114:J$117)</f>
        <v>0</v>
      </c>
      <c r="K120" s="14">
        <f t="shared" si="50"/>
        <v>0.24</v>
      </c>
      <c r="L120" s="14">
        <f t="shared" si="50"/>
        <v>0</v>
      </c>
      <c r="M120" s="14">
        <f t="shared" si="50"/>
        <v>0.26</v>
      </c>
      <c r="N120" s="14">
        <f t="shared" si="50"/>
        <v>0.3</v>
      </c>
      <c r="O120" s="14">
        <f t="shared" si="50"/>
        <v>0</v>
      </c>
      <c r="P120" s="129"/>
    </row>
    <row r="121" spans="2:16" ht="15.75" x14ac:dyDescent="0.2">
      <c r="B121" s="130"/>
      <c r="C121" s="130"/>
      <c r="D121" s="130"/>
      <c r="E121" s="130"/>
      <c r="F121" s="130"/>
      <c r="G121" s="130"/>
      <c r="H121" s="84" t="s">
        <v>5</v>
      </c>
      <c r="I121" s="76">
        <f>SUMIF($H$114:$H$117,"вне*",I$114:I$117)</f>
        <v>0</v>
      </c>
      <c r="J121" s="76">
        <f t="shared" ref="J121:O121" si="51">SUMIF($H$114:$H$117,"вне*",J$114:J$117)</f>
        <v>0</v>
      </c>
      <c r="K121" s="76">
        <f t="shared" si="51"/>
        <v>0</v>
      </c>
      <c r="L121" s="76">
        <f t="shared" si="51"/>
        <v>0</v>
      </c>
      <c r="M121" s="76">
        <f t="shared" si="51"/>
        <v>0</v>
      </c>
      <c r="N121" s="76">
        <f t="shared" si="51"/>
        <v>0</v>
      </c>
      <c r="O121" s="76">
        <f t="shared" si="51"/>
        <v>0</v>
      </c>
      <c r="P121" s="130"/>
    </row>
    <row r="122" spans="2:16" ht="25.5" customHeight="1" x14ac:dyDescent="0.2">
      <c r="B122" s="111" t="s">
        <v>338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3"/>
    </row>
    <row r="123" spans="2:16" ht="42.75" customHeight="1" outlineLevel="1" x14ac:dyDescent="0.2">
      <c r="B123" s="117" t="s">
        <v>953</v>
      </c>
      <c r="C123" s="117"/>
      <c r="D123" s="117" t="s">
        <v>338</v>
      </c>
      <c r="E123" s="117">
        <v>2023</v>
      </c>
      <c r="F123" s="117" t="s">
        <v>955</v>
      </c>
      <c r="G123" s="117"/>
      <c r="H123" s="84" t="s">
        <v>3</v>
      </c>
      <c r="I123" s="85">
        <f>SUM(J123:O123)</f>
        <v>19.97</v>
      </c>
      <c r="J123" s="83">
        <f t="shared" ref="J123:O123" si="52">J124+J125+J126</f>
        <v>0</v>
      </c>
      <c r="K123" s="83">
        <f t="shared" si="52"/>
        <v>0</v>
      </c>
      <c r="L123" s="83">
        <f t="shared" si="52"/>
        <v>0</v>
      </c>
      <c r="M123" s="83">
        <f t="shared" si="52"/>
        <v>19.97</v>
      </c>
      <c r="N123" s="83">
        <f t="shared" si="52"/>
        <v>0</v>
      </c>
      <c r="O123" s="83">
        <f t="shared" si="52"/>
        <v>0</v>
      </c>
      <c r="P123" s="117"/>
    </row>
    <row r="124" spans="2:16" outlineLevel="1" x14ac:dyDescent="0.2">
      <c r="B124" s="118"/>
      <c r="C124" s="118"/>
      <c r="D124" s="118"/>
      <c r="E124" s="118"/>
      <c r="F124" s="118"/>
      <c r="G124" s="118"/>
      <c r="H124" s="84" t="s">
        <v>4</v>
      </c>
      <c r="I124" s="85">
        <f>SUM(J124:O124)</f>
        <v>18.97</v>
      </c>
      <c r="J124" s="83"/>
      <c r="K124" s="83"/>
      <c r="L124" s="83"/>
      <c r="M124" s="83">
        <v>18.97</v>
      </c>
      <c r="N124" s="83"/>
      <c r="O124" s="83"/>
      <c r="P124" s="118"/>
    </row>
    <row r="125" spans="2:16" outlineLevel="1" x14ac:dyDescent="0.2">
      <c r="B125" s="118"/>
      <c r="C125" s="118"/>
      <c r="D125" s="118"/>
      <c r="E125" s="118"/>
      <c r="F125" s="118"/>
      <c r="G125" s="118"/>
      <c r="H125" s="84" t="s">
        <v>6</v>
      </c>
      <c r="I125" s="85">
        <f>SUM(J125:O125)</f>
        <v>1</v>
      </c>
      <c r="J125" s="83">
        <v>0</v>
      </c>
      <c r="K125" s="83"/>
      <c r="L125" s="83"/>
      <c r="M125" s="83">
        <v>1</v>
      </c>
      <c r="N125" s="83"/>
      <c r="O125" s="83">
        <v>0</v>
      </c>
      <c r="P125" s="118"/>
    </row>
    <row r="126" spans="2:16" outlineLevel="1" x14ac:dyDescent="0.2">
      <c r="B126" s="119"/>
      <c r="C126" s="119"/>
      <c r="D126" s="119"/>
      <c r="E126" s="119"/>
      <c r="F126" s="119"/>
      <c r="G126" s="119"/>
      <c r="H126" s="84" t="s">
        <v>5</v>
      </c>
      <c r="I126" s="13"/>
      <c r="J126" s="13"/>
      <c r="K126" s="13"/>
      <c r="L126" s="13"/>
      <c r="M126" s="13"/>
      <c r="N126" s="13"/>
      <c r="O126" s="13"/>
      <c r="P126" s="119"/>
    </row>
    <row r="127" spans="2:16" ht="42.75" customHeight="1" outlineLevel="1" x14ac:dyDescent="0.2">
      <c r="B127" s="114" t="s">
        <v>951</v>
      </c>
      <c r="C127" s="114"/>
      <c r="D127" s="117" t="s">
        <v>338</v>
      </c>
      <c r="E127" s="117" t="s">
        <v>69</v>
      </c>
      <c r="F127" s="114" t="s">
        <v>956</v>
      </c>
      <c r="G127" s="114"/>
      <c r="H127" s="50" t="s">
        <v>3</v>
      </c>
      <c r="I127" s="58">
        <f>SUM(J127:O127)</f>
        <v>15.49</v>
      </c>
      <c r="J127" s="85">
        <f t="shared" ref="J127:O127" si="53">J128+J129+J130</f>
        <v>0</v>
      </c>
      <c r="K127" s="85">
        <f t="shared" si="53"/>
        <v>4.8500000000000005</v>
      </c>
      <c r="L127" s="85">
        <f t="shared" si="53"/>
        <v>0</v>
      </c>
      <c r="M127" s="85">
        <f t="shared" si="53"/>
        <v>5.22</v>
      </c>
      <c r="N127" s="85">
        <f t="shared" si="53"/>
        <v>5.42</v>
      </c>
      <c r="O127" s="85">
        <f t="shared" si="53"/>
        <v>0</v>
      </c>
      <c r="P127" s="114"/>
    </row>
    <row r="128" spans="2:16" outlineLevel="1" x14ac:dyDescent="0.2">
      <c r="B128" s="115"/>
      <c r="C128" s="137"/>
      <c r="D128" s="118"/>
      <c r="E128" s="118"/>
      <c r="F128" s="115"/>
      <c r="G128" s="115"/>
      <c r="H128" s="50" t="s">
        <v>4</v>
      </c>
      <c r="I128" s="85">
        <f>SUM(J128:O128)</f>
        <v>14.72</v>
      </c>
      <c r="J128" s="85"/>
      <c r="K128" s="85">
        <v>4.6100000000000003</v>
      </c>
      <c r="L128" s="85"/>
      <c r="M128" s="85">
        <v>4.96</v>
      </c>
      <c r="N128" s="85">
        <v>5.15</v>
      </c>
      <c r="O128" s="85"/>
      <c r="P128" s="115"/>
    </row>
    <row r="129" spans="2:16" outlineLevel="1" x14ac:dyDescent="0.2">
      <c r="B129" s="115"/>
      <c r="C129" s="137"/>
      <c r="D129" s="118"/>
      <c r="E129" s="118"/>
      <c r="F129" s="115"/>
      <c r="G129" s="115"/>
      <c r="H129" s="50" t="s">
        <v>6</v>
      </c>
      <c r="I129" s="85">
        <f>SUM(J129:O129)</f>
        <v>0.77</v>
      </c>
      <c r="J129" s="85"/>
      <c r="K129" s="85">
        <v>0.24</v>
      </c>
      <c r="L129" s="85"/>
      <c r="M129" s="85">
        <v>0.26</v>
      </c>
      <c r="N129" s="85">
        <v>0.27</v>
      </c>
      <c r="O129" s="85"/>
      <c r="P129" s="115"/>
    </row>
    <row r="130" spans="2:16" outlineLevel="1" x14ac:dyDescent="0.2">
      <c r="B130" s="116"/>
      <c r="C130" s="138"/>
      <c r="D130" s="119"/>
      <c r="E130" s="119"/>
      <c r="F130" s="116"/>
      <c r="G130" s="116"/>
      <c r="H130" s="50" t="s">
        <v>5</v>
      </c>
      <c r="I130" s="85"/>
      <c r="J130" s="85"/>
      <c r="K130" s="85"/>
      <c r="L130" s="85"/>
      <c r="M130" s="85"/>
      <c r="N130" s="85"/>
      <c r="O130" s="85"/>
      <c r="P130" s="116"/>
    </row>
    <row r="131" spans="2:16" ht="42.75" x14ac:dyDescent="0.2">
      <c r="B131" s="128" t="s">
        <v>343</v>
      </c>
      <c r="C131" s="128" t="s">
        <v>38</v>
      </c>
      <c r="D131" s="128" t="s">
        <v>38</v>
      </c>
      <c r="E131" s="128" t="s">
        <v>38</v>
      </c>
      <c r="F131" s="128" t="s">
        <v>38</v>
      </c>
      <c r="G131" s="128" t="s">
        <v>38</v>
      </c>
      <c r="H131" s="84" t="s">
        <v>3</v>
      </c>
      <c r="I131" s="14">
        <f>SUMIF($H$123:$H$130,"Объем*",I$123:I$130)</f>
        <v>35.46</v>
      </c>
      <c r="J131" s="14">
        <f t="shared" ref="J131:O131" si="54">SUMIF($H$123:$H$130,"Объем*",J$123:J$130)</f>
        <v>0</v>
      </c>
      <c r="K131" s="14">
        <f t="shared" si="54"/>
        <v>4.8500000000000005</v>
      </c>
      <c r="L131" s="14">
        <f t="shared" si="54"/>
        <v>0</v>
      </c>
      <c r="M131" s="14">
        <f t="shared" si="54"/>
        <v>25.189999999999998</v>
      </c>
      <c r="N131" s="14">
        <f t="shared" si="54"/>
        <v>5.42</v>
      </c>
      <c r="O131" s="14">
        <f t="shared" si="54"/>
        <v>0</v>
      </c>
      <c r="P131" s="128"/>
    </row>
    <row r="132" spans="2:16" ht="15.75" x14ac:dyDescent="0.2">
      <c r="B132" s="129"/>
      <c r="C132" s="129"/>
      <c r="D132" s="129"/>
      <c r="E132" s="129"/>
      <c r="F132" s="129"/>
      <c r="G132" s="129"/>
      <c r="H132" s="84" t="s">
        <v>4</v>
      </c>
      <c r="I132" s="14">
        <f>SUMIF($H$123:$H$130,"фед*",I$123:I$130)</f>
        <v>33.69</v>
      </c>
      <c r="J132" s="14">
        <f t="shared" ref="J132:O132" si="55">SUMIF($H$123:$H$130,"фед*",J$123:J$130)</f>
        <v>0</v>
      </c>
      <c r="K132" s="14">
        <f t="shared" si="55"/>
        <v>4.6100000000000003</v>
      </c>
      <c r="L132" s="14">
        <f t="shared" si="55"/>
        <v>0</v>
      </c>
      <c r="M132" s="14">
        <f t="shared" si="55"/>
        <v>23.93</v>
      </c>
      <c r="N132" s="14">
        <f t="shared" si="55"/>
        <v>5.15</v>
      </c>
      <c r="O132" s="14">
        <f t="shared" si="55"/>
        <v>0</v>
      </c>
      <c r="P132" s="129"/>
    </row>
    <row r="133" spans="2:16" ht="15.75" x14ac:dyDescent="0.2">
      <c r="B133" s="129"/>
      <c r="C133" s="129"/>
      <c r="D133" s="129"/>
      <c r="E133" s="129"/>
      <c r="F133" s="129"/>
      <c r="G133" s="129"/>
      <c r="H133" s="84" t="s">
        <v>6</v>
      </c>
      <c r="I133" s="14">
        <f>SUMIF($H$123:$H$130,"конс*",I$123:I$130)</f>
        <v>1.77</v>
      </c>
      <c r="J133" s="14">
        <f t="shared" ref="J133:O133" si="56">SUMIF($H$123:$H$130,"конс*",J$123:J$130)</f>
        <v>0</v>
      </c>
      <c r="K133" s="14">
        <f t="shared" si="56"/>
        <v>0.24</v>
      </c>
      <c r="L133" s="14">
        <f t="shared" si="56"/>
        <v>0</v>
      </c>
      <c r="M133" s="14">
        <f t="shared" si="56"/>
        <v>1.26</v>
      </c>
      <c r="N133" s="14">
        <f t="shared" si="56"/>
        <v>0.27</v>
      </c>
      <c r="O133" s="14">
        <f t="shared" si="56"/>
        <v>0</v>
      </c>
      <c r="P133" s="129"/>
    </row>
    <row r="134" spans="2:16" ht="15.75" x14ac:dyDescent="0.2">
      <c r="B134" s="130"/>
      <c r="C134" s="130"/>
      <c r="D134" s="130"/>
      <c r="E134" s="130"/>
      <c r="F134" s="130"/>
      <c r="G134" s="130"/>
      <c r="H134" s="84" t="s">
        <v>5</v>
      </c>
      <c r="I134" s="76">
        <f>SUMIF($H$123:$H$130,"вне*",I$123:I$130)</f>
        <v>0</v>
      </c>
      <c r="J134" s="76">
        <f t="shared" ref="J134:O134" si="57">SUMIF($H$123:$H$130,"вне*",J$123:J$130)</f>
        <v>0</v>
      </c>
      <c r="K134" s="76">
        <f t="shared" si="57"/>
        <v>0</v>
      </c>
      <c r="L134" s="76">
        <f t="shared" si="57"/>
        <v>0</v>
      </c>
      <c r="M134" s="76">
        <f t="shared" si="57"/>
        <v>0</v>
      </c>
      <c r="N134" s="76">
        <f t="shared" si="57"/>
        <v>0</v>
      </c>
      <c r="O134" s="76">
        <f t="shared" si="57"/>
        <v>0</v>
      </c>
      <c r="P134" s="130"/>
    </row>
    <row r="135" spans="2:16" ht="25.5" customHeight="1" x14ac:dyDescent="0.2">
      <c r="B135" s="111" t="s">
        <v>344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3"/>
    </row>
    <row r="136" spans="2:16" ht="42.75" customHeight="1" outlineLevel="1" x14ac:dyDescent="0.2">
      <c r="B136" s="114" t="s">
        <v>951</v>
      </c>
      <c r="C136" s="114"/>
      <c r="D136" s="117" t="s">
        <v>344</v>
      </c>
      <c r="E136" s="117" t="s">
        <v>69</v>
      </c>
      <c r="F136" s="114" t="s">
        <v>975</v>
      </c>
      <c r="G136" s="114"/>
      <c r="H136" s="50" t="s">
        <v>3</v>
      </c>
      <c r="I136" s="58">
        <f>SUM(J136:O136)</f>
        <v>25.380000000000003</v>
      </c>
      <c r="J136" s="85">
        <f t="shared" ref="J136:O136" si="58">J137+J138+J139</f>
        <v>0</v>
      </c>
      <c r="K136" s="85">
        <f t="shared" si="58"/>
        <v>9.7100000000000009</v>
      </c>
      <c r="L136" s="85">
        <f t="shared" si="58"/>
        <v>5.03</v>
      </c>
      <c r="M136" s="85">
        <f t="shared" si="58"/>
        <v>5.22</v>
      </c>
      <c r="N136" s="85">
        <f t="shared" si="58"/>
        <v>5.42</v>
      </c>
      <c r="O136" s="85">
        <f t="shared" si="58"/>
        <v>0</v>
      </c>
      <c r="P136" s="114"/>
    </row>
    <row r="137" spans="2:16" outlineLevel="1" x14ac:dyDescent="0.2">
      <c r="B137" s="115"/>
      <c r="C137" s="137"/>
      <c r="D137" s="118"/>
      <c r="E137" s="118"/>
      <c r="F137" s="115"/>
      <c r="G137" s="115"/>
      <c r="H137" s="50" t="s">
        <v>4</v>
      </c>
      <c r="I137" s="85">
        <f>SUM(J137:O137)</f>
        <v>24.11</v>
      </c>
      <c r="J137" s="85"/>
      <c r="K137" s="85">
        <v>9.2200000000000006</v>
      </c>
      <c r="L137" s="85">
        <v>4.78</v>
      </c>
      <c r="M137" s="85">
        <v>4.96</v>
      </c>
      <c r="N137" s="85">
        <v>5.15</v>
      </c>
      <c r="O137" s="85"/>
      <c r="P137" s="115"/>
    </row>
    <row r="138" spans="2:16" outlineLevel="1" x14ac:dyDescent="0.2">
      <c r="B138" s="115"/>
      <c r="C138" s="137"/>
      <c r="D138" s="118"/>
      <c r="E138" s="118"/>
      <c r="F138" s="115"/>
      <c r="G138" s="115"/>
      <c r="H138" s="50" t="s">
        <v>6</v>
      </c>
      <c r="I138" s="85">
        <f>SUM(J138:O138)</f>
        <v>1.27</v>
      </c>
      <c r="J138" s="85"/>
      <c r="K138" s="85">
        <v>0.49</v>
      </c>
      <c r="L138" s="85">
        <v>0.25</v>
      </c>
      <c r="M138" s="85">
        <v>0.26</v>
      </c>
      <c r="N138" s="85">
        <v>0.27</v>
      </c>
      <c r="O138" s="85"/>
      <c r="P138" s="115"/>
    </row>
    <row r="139" spans="2:16" outlineLevel="1" x14ac:dyDescent="0.2">
      <c r="B139" s="116"/>
      <c r="C139" s="138"/>
      <c r="D139" s="119"/>
      <c r="E139" s="119"/>
      <c r="F139" s="116"/>
      <c r="G139" s="116"/>
      <c r="H139" s="50" t="s">
        <v>5</v>
      </c>
      <c r="I139" s="85"/>
      <c r="J139" s="85"/>
      <c r="K139" s="85"/>
      <c r="L139" s="85"/>
      <c r="M139" s="85"/>
      <c r="N139" s="85"/>
      <c r="O139" s="85"/>
      <c r="P139" s="116"/>
    </row>
    <row r="140" spans="2:16" ht="42.75" x14ac:dyDescent="0.2">
      <c r="B140" s="128" t="s">
        <v>349</v>
      </c>
      <c r="C140" s="128" t="s">
        <v>38</v>
      </c>
      <c r="D140" s="128" t="s">
        <v>38</v>
      </c>
      <c r="E140" s="128" t="s">
        <v>38</v>
      </c>
      <c r="F140" s="128" t="s">
        <v>38</v>
      </c>
      <c r="G140" s="128" t="s">
        <v>38</v>
      </c>
      <c r="H140" s="84" t="s">
        <v>3</v>
      </c>
      <c r="I140" s="14">
        <f>SUMIF($H$136:$H$139,"Объем*",I$136:I$139)</f>
        <v>25.380000000000003</v>
      </c>
      <c r="J140" s="14">
        <f t="shared" ref="J140:O140" si="59">SUMIF($H$136:$H$139,"Объем*",J$136:J$139)</f>
        <v>0</v>
      </c>
      <c r="K140" s="14">
        <f t="shared" si="59"/>
        <v>9.7100000000000009</v>
      </c>
      <c r="L140" s="14">
        <f t="shared" si="59"/>
        <v>5.03</v>
      </c>
      <c r="M140" s="14">
        <f t="shared" si="59"/>
        <v>5.22</v>
      </c>
      <c r="N140" s="14">
        <f t="shared" si="59"/>
        <v>5.42</v>
      </c>
      <c r="O140" s="14">
        <f t="shared" si="59"/>
        <v>0</v>
      </c>
      <c r="P140" s="128"/>
    </row>
    <row r="141" spans="2:16" ht="15.75" x14ac:dyDescent="0.2">
      <c r="B141" s="129"/>
      <c r="C141" s="129"/>
      <c r="D141" s="129"/>
      <c r="E141" s="129"/>
      <c r="F141" s="129"/>
      <c r="G141" s="129"/>
      <c r="H141" s="84" t="s">
        <v>4</v>
      </c>
      <c r="I141" s="14">
        <f>SUMIF($H$136:$H$139,"фед*",I$136:I$139)</f>
        <v>24.11</v>
      </c>
      <c r="J141" s="14">
        <f t="shared" ref="J141:O141" si="60">SUMIF($H$136:$H$139,"фед*",J$136:J$139)</f>
        <v>0</v>
      </c>
      <c r="K141" s="14">
        <f t="shared" si="60"/>
        <v>9.2200000000000006</v>
      </c>
      <c r="L141" s="14">
        <f t="shared" si="60"/>
        <v>4.78</v>
      </c>
      <c r="M141" s="14">
        <f t="shared" si="60"/>
        <v>4.96</v>
      </c>
      <c r="N141" s="14">
        <f t="shared" si="60"/>
        <v>5.15</v>
      </c>
      <c r="O141" s="14">
        <f t="shared" si="60"/>
        <v>0</v>
      </c>
      <c r="P141" s="129"/>
    </row>
    <row r="142" spans="2:16" ht="15.75" x14ac:dyDescent="0.2">
      <c r="B142" s="129"/>
      <c r="C142" s="129"/>
      <c r="D142" s="129"/>
      <c r="E142" s="129"/>
      <c r="F142" s="129"/>
      <c r="G142" s="129"/>
      <c r="H142" s="84" t="s">
        <v>6</v>
      </c>
      <c r="I142" s="14">
        <f>SUMIF($H$136:$H$139,"конс*",I$136:I$139)</f>
        <v>1.27</v>
      </c>
      <c r="J142" s="14">
        <f t="shared" ref="J142:O142" si="61">SUMIF($H$136:$H$139,"конс*",J$136:J$139)</f>
        <v>0</v>
      </c>
      <c r="K142" s="14">
        <f t="shared" si="61"/>
        <v>0.49</v>
      </c>
      <c r="L142" s="14">
        <f t="shared" si="61"/>
        <v>0.25</v>
      </c>
      <c r="M142" s="14">
        <f t="shared" si="61"/>
        <v>0.26</v>
      </c>
      <c r="N142" s="14">
        <f t="shared" si="61"/>
        <v>0.27</v>
      </c>
      <c r="O142" s="14">
        <f t="shared" si="61"/>
        <v>0</v>
      </c>
      <c r="P142" s="129"/>
    </row>
    <row r="143" spans="2:16" ht="15.75" x14ac:dyDescent="0.2">
      <c r="B143" s="130"/>
      <c r="C143" s="130"/>
      <c r="D143" s="130"/>
      <c r="E143" s="130"/>
      <c r="F143" s="130"/>
      <c r="G143" s="130"/>
      <c r="H143" s="84" t="s">
        <v>5</v>
      </c>
      <c r="I143" s="76">
        <f>SUMIF($H$136:$H$139,"вне*",I$136:I$139)</f>
        <v>0</v>
      </c>
      <c r="J143" s="76">
        <f t="shared" ref="J143:O143" si="62">SUMIF($H$136:$H$139,"вне*",J$136:J$139)</f>
        <v>0</v>
      </c>
      <c r="K143" s="76">
        <f t="shared" si="62"/>
        <v>0</v>
      </c>
      <c r="L143" s="76">
        <f t="shared" si="62"/>
        <v>0</v>
      </c>
      <c r="M143" s="76">
        <f t="shared" si="62"/>
        <v>0</v>
      </c>
      <c r="N143" s="76">
        <f t="shared" si="62"/>
        <v>0</v>
      </c>
      <c r="O143" s="76">
        <f t="shared" si="62"/>
        <v>0</v>
      </c>
      <c r="P143" s="130"/>
    </row>
    <row r="144" spans="2:16" ht="25.5" customHeight="1" x14ac:dyDescent="0.2">
      <c r="B144" s="111" t="s">
        <v>350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3"/>
    </row>
    <row r="145" spans="2:16" ht="42.75" customHeight="1" outlineLevel="1" x14ac:dyDescent="0.2">
      <c r="B145" s="117" t="s">
        <v>953</v>
      </c>
      <c r="C145" s="117"/>
      <c r="D145" s="117" t="s">
        <v>350</v>
      </c>
      <c r="E145" s="117" t="s">
        <v>75</v>
      </c>
      <c r="F145" s="117" t="s">
        <v>964</v>
      </c>
      <c r="G145" s="117"/>
      <c r="H145" s="84" t="s">
        <v>3</v>
      </c>
      <c r="I145" s="85">
        <f>SUM(J145:O145)</f>
        <v>398.81</v>
      </c>
      <c r="J145" s="83">
        <f t="shared" ref="J145:O145" si="63">J146+J147+J148</f>
        <v>0</v>
      </c>
      <c r="K145" s="83">
        <f t="shared" si="63"/>
        <v>0</v>
      </c>
      <c r="L145" s="83">
        <f t="shared" si="63"/>
        <v>107.5</v>
      </c>
      <c r="M145" s="83">
        <f t="shared" si="63"/>
        <v>111</v>
      </c>
      <c r="N145" s="83">
        <f t="shared" si="63"/>
        <v>180.31</v>
      </c>
      <c r="O145" s="83">
        <f t="shared" si="63"/>
        <v>0</v>
      </c>
      <c r="P145" s="117"/>
    </row>
    <row r="146" spans="2:16" outlineLevel="1" x14ac:dyDescent="0.2">
      <c r="B146" s="118"/>
      <c r="C146" s="118"/>
      <c r="D146" s="118"/>
      <c r="E146" s="118"/>
      <c r="F146" s="118"/>
      <c r="G146" s="118"/>
      <c r="H146" s="84" t="s">
        <v>4</v>
      </c>
      <c r="I146" s="85">
        <f>SUM(J146:O146)</f>
        <v>378.83000000000004</v>
      </c>
      <c r="J146" s="83"/>
      <c r="K146" s="83"/>
      <c r="L146" s="83">
        <v>102.12</v>
      </c>
      <c r="M146" s="83">
        <v>105.42</v>
      </c>
      <c r="N146" s="83">
        <v>171.29</v>
      </c>
      <c r="O146" s="83"/>
      <c r="P146" s="118"/>
    </row>
    <row r="147" spans="2:16" outlineLevel="1" x14ac:dyDescent="0.2">
      <c r="B147" s="118"/>
      <c r="C147" s="118"/>
      <c r="D147" s="118"/>
      <c r="E147" s="118"/>
      <c r="F147" s="118"/>
      <c r="G147" s="118"/>
      <c r="H147" s="84" t="s">
        <v>6</v>
      </c>
      <c r="I147" s="85">
        <f>SUM(J147:O147)</f>
        <v>19.98</v>
      </c>
      <c r="J147" s="83">
        <v>0</v>
      </c>
      <c r="K147" s="83"/>
      <c r="L147" s="83">
        <v>5.38</v>
      </c>
      <c r="M147" s="83">
        <v>5.58</v>
      </c>
      <c r="N147" s="83">
        <v>9.02</v>
      </c>
      <c r="O147" s="83">
        <v>0</v>
      </c>
      <c r="P147" s="118"/>
    </row>
    <row r="148" spans="2:16" outlineLevel="1" x14ac:dyDescent="0.2">
      <c r="B148" s="119"/>
      <c r="C148" s="119"/>
      <c r="D148" s="119"/>
      <c r="E148" s="119"/>
      <c r="F148" s="119"/>
      <c r="G148" s="119"/>
      <c r="H148" s="84" t="s">
        <v>5</v>
      </c>
      <c r="I148" s="13"/>
      <c r="J148" s="13"/>
      <c r="K148" s="13"/>
      <c r="L148" s="13"/>
      <c r="M148" s="13"/>
      <c r="N148" s="13"/>
      <c r="O148" s="13"/>
      <c r="P148" s="119"/>
    </row>
    <row r="149" spans="2:16" ht="42.75" customHeight="1" outlineLevel="1" x14ac:dyDescent="0.2">
      <c r="B149" s="114" t="s">
        <v>951</v>
      </c>
      <c r="C149" s="114"/>
      <c r="D149" s="117" t="s">
        <v>350</v>
      </c>
      <c r="E149" s="117" t="s">
        <v>209</v>
      </c>
      <c r="F149" s="114" t="s">
        <v>952</v>
      </c>
      <c r="G149" s="114"/>
      <c r="H149" s="50" t="s">
        <v>3</v>
      </c>
      <c r="I149" s="58">
        <f>SUM(J149:O149)</f>
        <v>10.64</v>
      </c>
      <c r="J149" s="85">
        <f t="shared" ref="J149:O149" si="64">J150+J151+J152</f>
        <v>0</v>
      </c>
      <c r="K149" s="85">
        <f t="shared" si="64"/>
        <v>0</v>
      </c>
      <c r="L149" s="85">
        <f t="shared" si="64"/>
        <v>0</v>
      </c>
      <c r="M149" s="85">
        <f t="shared" si="64"/>
        <v>5.22</v>
      </c>
      <c r="N149" s="85">
        <f t="shared" si="64"/>
        <v>5.42</v>
      </c>
      <c r="O149" s="85">
        <f t="shared" si="64"/>
        <v>0</v>
      </c>
      <c r="P149" s="114"/>
    </row>
    <row r="150" spans="2:16" outlineLevel="1" x14ac:dyDescent="0.2">
      <c r="B150" s="115"/>
      <c r="C150" s="137"/>
      <c r="D150" s="118"/>
      <c r="E150" s="118"/>
      <c r="F150" s="115"/>
      <c r="G150" s="115"/>
      <c r="H150" s="50" t="s">
        <v>4</v>
      </c>
      <c r="I150" s="85">
        <f>SUM(J150:O150)</f>
        <v>10.11</v>
      </c>
      <c r="J150" s="85"/>
      <c r="K150" s="85"/>
      <c r="L150" s="85"/>
      <c r="M150" s="85">
        <v>4.96</v>
      </c>
      <c r="N150" s="85">
        <v>5.15</v>
      </c>
      <c r="O150" s="85"/>
      <c r="P150" s="115"/>
    </row>
    <row r="151" spans="2:16" outlineLevel="1" x14ac:dyDescent="0.2">
      <c r="B151" s="115"/>
      <c r="C151" s="137"/>
      <c r="D151" s="118"/>
      <c r="E151" s="118"/>
      <c r="F151" s="115"/>
      <c r="G151" s="115"/>
      <c r="H151" s="50" t="s">
        <v>6</v>
      </c>
      <c r="I151" s="85">
        <f>SUM(J151:O151)</f>
        <v>0.53</v>
      </c>
      <c r="J151" s="85"/>
      <c r="K151" s="85"/>
      <c r="L151" s="85"/>
      <c r="M151" s="85">
        <v>0.26</v>
      </c>
      <c r="N151" s="85">
        <v>0.27</v>
      </c>
      <c r="O151" s="85"/>
      <c r="P151" s="115"/>
    </row>
    <row r="152" spans="2:16" outlineLevel="1" x14ac:dyDescent="0.2">
      <c r="B152" s="116"/>
      <c r="C152" s="138"/>
      <c r="D152" s="119"/>
      <c r="E152" s="119"/>
      <c r="F152" s="116"/>
      <c r="G152" s="116"/>
      <c r="H152" s="50" t="s">
        <v>5</v>
      </c>
      <c r="I152" s="85"/>
      <c r="J152" s="85"/>
      <c r="K152" s="85"/>
      <c r="L152" s="85"/>
      <c r="M152" s="85"/>
      <c r="N152" s="85"/>
      <c r="O152" s="85"/>
      <c r="P152" s="116"/>
    </row>
    <row r="153" spans="2:16" ht="42.75" x14ac:dyDescent="0.2">
      <c r="B153" s="128" t="s">
        <v>357</v>
      </c>
      <c r="C153" s="128" t="s">
        <v>38</v>
      </c>
      <c r="D153" s="128" t="s">
        <v>38</v>
      </c>
      <c r="E153" s="128" t="s">
        <v>38</v>
      </c>
      <c r="F153" s="128" t="s">
        <v>38</v>
      </c>
      <c r="G153" s="128" t="s">
        <v>38</v>
      </c>
      <c r="H153" s="84" t="s">
        <v>3</v>
      </c>
      <c r="I153" s="14">
        <f>SUMIF($H$145:$H$152,"Объем*",I$145:I$152)</f>
        <v>409.45</v>
      </c>
      <c r="J153" s="14">
        <f t="shared" ref="J153:O153" si="65">SUMIF($H$145:$H$152,"Объем*",J$145:J$152)</f>
        <v>0</v>
      </c>
      <c r="K153" s="14">
        <f t="shared" si="65"/>
        <v>0</v>
      </c>
      <c r="L153" s="14">
        <f t="shared" si="65"/>
        <v>107.5</v>
      </c>
      <c r="M153" s="14">
        <f t="shared" si="65"/>
        <v>116.22</v>
      </c>
      <c r="N153" s="14">
        <f t="shared" si="65"/>
        <v>185.73</v>
      </c>
      <c r="O153" s="14">
        <f t="shared" si="65"/>
        <v>0</v>
      </c>
      <c r="P153" s="128"/>
    </row>
    <row r="154" spans="2:16" ht="15.75" x14ac:dyDescent="0.2">
      <c r="B154" s="129"/>
      <c r="C154" s="129"/>
      <c r="D154" s="129"/>
      <c r="E154" s="129"/>
      <c r="F154" s="129"/>
      <c r="G154" s="129"/>
      <c r="H154" s="84" t="s">
        <v>4</v>
      </c>
      <c r="I154" s="14">
        <f>SUMIF($H$145:$H$152,"фед*",I$145:I$152)</f>
        <v>388.94000000000005</v>
      </c>
      <c r="J154" s="14">
        <f t="shared" ref="J154:O154" si="66">SUMIF($H$145:$H$152,"фед*",J$145:J$152)</f>
        <v>0</v>
      </c>
      <c r="K154" s="14">
        <f t="shared" si="66"/>
        <v>0</v>
      </c>
      <c r="L154" s="14">
        <f t="shared" si="66"/>
        <v>102.12</v>
      </c>
      <c r="M154" s="14">
        <f t="shared" si="66"/>
        <v>110.38</v>
      </c>
      <c r="N154" s="14">
        <f t="shared" si="66"/>
        <v>176.44</v>
      </c>
      <c r="O154" s="14">
        <f t="shared" si="66"/>
        <v>0</v>
      </c>
      <c r="P154" s="129"/>
    </row>
    <row r="155" spans="2:16" ht="15.75" x14ac:dyDescent="0.2">
      <c r="B155" s="129"/>
      <c r="C155" s="129"/>
      <c r="D155" s="129"/>
      <c r="E155" s="129"/>
      <c r="F155" s="129"/>
      <c r="G155" s="129"/>
      <c r="H155" s="84" t="s">
        <v>6</v>
      </c>
      <c r="I155" s="14">
        <f>SUMIF($H$145:$H$152,"конс*",I$145:I$152)</f>
        <v>20.51</v>
      </c>
      <c r="J155" s="14">
        <f t="shared" ref="J155:O155" si="67">SUMIF($H$145:$H$152,"конс*",J$145:J$152)</f>
        <v>0</v>
      </c>
      <c r="K155" s="14">
        <f t="shared" si="67"/>
        <v>0</v>
      </c>
      <c r="L155" s="14">
        <f t="shared" si="67"/>
        <v>5.38</v>
      </c>
      <c r="M155" s="14">
        <f t="shared" si="67"/>
        <v>5.84</v>
      </c>
      <c r="N155" s="14">
        <f t="shared" si="67"/>
        <v>9.2899999999999991</v>
      </c>
      <c r="O155" s="14">
        <f t="shared" si="67"/>
        <v>0</v>
      </c>
      <c r="P155" s="129"/>
    </row>
    <row r="156" spans="2:16" ht="15.75" x14ac:dyDescent="0.2">
      <c r="B156" s="130"/>
      <c r="C156" s="130"/>
      <c r="D156" s="130"/>
      <c r="E156" s="130"/>
      <c r="F156" s="130"/>
      <c r="G156" s="130"/>
      <c r="H156" s="84" t="s">
        <v>5</v>
      </c>
      <c r="I156" s="76">
        <f>SUMIF($H$145:$H$152,"вне*",I$145:I$152)</f>
        <v>0</v>
      </c>
      <c r="J156" s="76">
        <f t="shared" ref="J156:O156" si="68">SUMIF($H$145:$H$152,"вне*",J$145:J$152)</f>
        <v>0</v>
      </c>
      <c r="K156" s="76">
        <f t="shared" si="68"/>
        <v>0</v>
      </c>
      <c r="L156" s="76">
        <f t="shared" si="68"/>
        <v>0</v>
      </c>
      <c r="M156" s="76">
        <f t="shared" si="68"/>
        <v>0</v>
      </c>
      <c r="N156" s="76">
        <f t="shared" si="68"/>
        <v>0</v>
      </c>
      <c r="O156" s="76">
        <f t="shared" si="68"/>
        <v>0</v>
      </c>
      <c r="P156" s="130"/>
    </row>
    <row r="157" spans="2:16" ht="25.5" customHeight="1" x14ac:dyDescent="0.2">
      <c r="B157" s="111" t="s">
        <v>47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3"/>
    </row>
    <row r="158" spans="2:16" ht="42.75" customHeight="1" outlineLevel="1" x14ac:dyDescent="0.2">
      <c r="B158" s="117" t="s">
        <v>953</v>
      </c>
      <c r="C158" s="117"/>
      <c r="D158" s="117" t="s">
        <v>47</v>
      </c>
      <c r="E158" s="117">
        <v>2024</v>
      </c>
      <c r="F158" s="117" t="s">
        <v>976</v>
      </c>
      <c r="G158" s="117"/>
      <c r="H158" s="84" t="s">
        <v>3</v>
      </c>
      <c r="I158" s="85">
        <f>SUM(J158:O158)</f>
        <v>20.740000000000002</v>
      </c>
      <c r="J158" s="83">
        <f t="shared" ref="J158:O158" si="69">J159+J160+J161</f>
        <v>0</v>
      </c>
      <c r="K158" s="83">
        <f t="shared" si="69"/>
        <v>0</v>
      </c>
      <c r="L158" s="83">
        <f t="shared" si="69"/>
        <v>0</v>
      </c>
      <c r="M158" s="83">
        <f t="shared" si="69"/>
        <v>0</v>
      </c>
      <c r="N158" s="83">
        <f t="shared" si="69"/>
        <v>20.740000000000002</v>
      </c>
      <c r="O158" s="83">
        <f t="shared" si="69"/>
        <v>0</v>
      </c>
      <c r="P158" s="117"/>
    </row>
    <row r="159" spans="2:16" outlineLevel="1" x14ac:dyDescent="0.2">
      <c r="B159" s="118"/>
      <c r="C159" s="118"/>
      <c r="D159" s="118"/>
      <c r="E159" s="118"/>
      <c r="F159" s="118"/>
      <c r="G159" s="118"/>
      <c r="H159" s="84" t="s">
        <v>4</v>
      </c>
      <c r="I159" s="85">
        <f>SUM(J159:O159)</f>
        <v>19.690000000000001</v>
      </c>
      <c r="J159" s="83"/>
      <c r="K159" s="83"/>
      <c r="L159" s="83"/>
      <c r="M159" s="83"/>
      <c r="N159" s="83">
        <v>19.690000000000001</v>
      </c>
      <c r="O159" s="83"/>
      <c r="P159" s="118"/>
    </row>
    <row r="160" spans="2:16" outlineLevel="1" x14ac:dyDescent="0.2">
      <c r="B160" s="118"/>
      <c r="C160" s="118"/>
      <c r="D160" s="118"/>
      <c r="E160" s="118"/>
      <c r="F160" s="118"/>
      <c r="G160" s="118"/>
      <c r="H160" s="84" t="s">
        <v>6</v>
      </c>
      <c r="I160" s="85">
        <f>SUM(J160:O160)</f>
        <v>1.05</v>
      </c>
      <c r="J160" s="83">
        <v>0</v>
      </c>
      <c r="K160" s="83"/>
      <c r="L160" s="83"/>
      <c r="M160" s="83"/>
      <c r="N160" s="83">
        <v>1.05</v>
      </c>
      <c r="O160" s="83">
        <v>0</v>
      </c>
      <c r="P160" s="118"/>
    </row>
    <row r="161" spans="2:16" outlineLevel="1" x14ac:dyDescent="0.2">
      <c r="B161" s="119"/>
      <c r="C161" s="119"/>
      <c r="D161" s="119"/>
      <c r="E161" s="119"/>
      <c r="F161" s="119"/>
      <c r="G161" s="119"/>
      <c r="H161" s="84" t="s">
        <v>5</v>
      </c>
      <c r="I161" s="13"/>
      <c r="J161" s="13"/>
      <c r="K161" s="13"/>
      <c r="L161" s="13"/>
      <c r="M161" s="13"/>
      <c r="N161" s="13"/>
      <c r="O161" s="13"/>
      <c r="P161" s="119"/>
    </row>
    <row r="162" spans="2:16" ht="42.75" customHeight="1" outlineLevel="1" x14ac:dyDescent="0.2">
      <c r="B162" s="114" t="s">
        <v>951</v>
      </c>
      <c r="C162" s="114"/>
      <c r="D162" s="117" t="s">
        <v>47</v>
      </c>
      <c r="E162" s="117" t="s">
        <v>698</v>
      </c>
      <c r="F162" s="114" t="s">
        <v>975</v>
      </c>
      <c r="G162" s="114"/>
      <c r="H162" s="50" t="s">
        <v>3</v>
      </c>
      <c r="I162" s="58">
        <f>SUM(J162:O162)</f>
        <v>10.86</v>
      </c>
      <c r="J162" s="85">
        <f t="shared" ref="J162:O162" si="70">J163+J164+J165</f>
        <v>5.4399999999999995</v>
      </c>
      <c r="K162" s="85">
        <f t="shared" si="70"/>
        <v>0</v>
      </c>
      <c r="L162" s="85">
        <f t="shared" si="70"/>
        <v>0</v>
      </c>
      <c r="M162" s="85">
        <f t="shared" si="70"/>
        <v>0</v>
      </c>
      <c r="N162" s="85">
        <f t="shared" si="70"/>
        <v>5.42</v>
      </c>
      <c r="O162" s="85">
        <f t="shared" si="70"/>
        <v>0</v>
      </c>
      <c r="P162" s="114"/>
    </row>
    <row r="163" spans="2:16" outlineLevel="1" x14ac:dyDescent="0.2">
      <c r="B163" s="115"/>
      <c r="C163" s="137"/>
      <c r="D163" s="118"/>
      <c r="E163" s="118"/>
      <c r="F163" s="115"/>
      <c r="G163" s="115"/>
      <c r="H163" s="50" t="s">
        <v>4</v>
      </c>
      <c r="I163" s="85">
        <f>SUM(J163:O163)</f>
        <v>10.54</v>
      </c>
      <c r="J163" s="85">
        <v>5.39</v>
      </c>
      <c r="K163" s="85"/>
      <c r="L163" s="85"/>
      <c r="M163" s="85"/>
      <c r="N163" s="85">
        <v>5.15</v>
      </c>
      <c r="O163" s="85"/>
      <c r="P163" s="115"/>
    </row>
    <row r="164" spans="2:16" outlineLevel="1" x14ac:dyDescent="0.2">
      <c r="B164" s="115"/>
      <c r="C164" s="137"/>
      <c r="D164" s="118"/>
      <c r="E164" s="118"/>
      <c r="F164" s="115"/>
      <c r="G164" s="115"/>
      <c r="H164" s="50" t="s">
        <v>6</v>
      </c>
      <c r="I164" s="85">
        <f>SUM(J164:O164)</f>
        <v>0.32</v>
      </c>
      <c r="J164" s="85">
        <v>0.05</v>
      </c>
      <c r="K164" s="85"/>
      <c r="L164" s="85"/>
      <c r="M164" s="85"/>
      <c r="N164" s="85">
        <v>0.27</v>
      </c>
      <c r="O164" s="85"/>
      <c r="P164" s="115"/>
    </row>
    <row r="165" spans="2:16" outlineLevel="1" x14ac:dyDescent="0.2">
      <c r="B165" s="116"/>
      <c r="C165" s="138"/>
      <c r="D165" s="119"/>
      <c r="E165" s="119"/>
      <c r="F165" s="116"/>
      <c r="G165" s="116"/>
      <c r="H165" s="50" t="s">
        <v>5</v>
      </c>
      <c r="I165" s="85"/>
      <c r="J165" s="85"/>
      <c r="K165" s="85"/>
      <c r="L165" s="85"/>
      <c r="M165" s="85"/>
      <c r="N165" s="85"/>
      <c r="O165" s="85"/>
      <c r="P165" s="116"/>
    </row>
    <row r="166" spans="2:16" ht="42.75" x14ac:dyDescent="0.2">
      <c r="B166" s="128" t="s">
        <v>57</v>
      </c>
      <c r="C166" s="128" t="s">
        <v>38</v>
      </c>
      <c r="D166" s="128" t="s">
        <v>38</v>
      </c>
      <c r="E166" s="128" t="s">
        <v>38</v>
      </c>
      <c r="F166" s="128" t="s">
        <v>38</v>
      </c>
      <c r="G166" s="128" t="s">
        <v>38</v>
      </c>
      <c r="H166" s="84" t="s">
        <v>3</v>
      </c>
      <c r="I166" s="14">
        <f>SUMIF($H$158:$H$165,"Объем*",I$158:I$165)</f>
        <v>31.6</v>
      </c>
      <c r="J166" s="14">
        <f t="shared" ref="J166:O166" si="71">SUMIF($H$158:$H$165,"Объем*",J$158:J$165)</f>
        <v>5.4399999999999995</v>
      </c>
      <c r="K166" s="14">
        <f t="shared" si="71"/>
        <v>0</v>
      </c>
      <c r="L166" s="14">
        <f t="shared" si="71"/>
        <v>0</v>
      </c>
      <c r="M166" s="14">
        <f t="shared" si="71"/>
        <v>0</v>
      </c>
      <c r="N166" s="14">
        <f t="shared" si="71"/>
        <v>26.160000000000004</v>
      </c>
      <c r="O166" s="14">
        <f t="shared" si="71"/>
        <v>0</v>
      </c>
      <c r="P166" s="128"/>
    </row>
    <row r="167" spans="2:16" ht="15.75" x14ac:dyDescent="0.2">
      <c r="B167" s="129"/>
      <c r="C167" s="129"/>
      <c r="D167" s="129"/>
      <c r="E167" s="129"/>
      <c r="F167" s="129"/>
      <c r="G167" s="129"/>
      <c r="H167" s="84" t="s">
        <v>4</v>
      </c>
      <c r="I167" s="14">
        <f>SUMIF($H$158:$H$165,"фед*",I$158:I$165)</f>
        <v>30.23</v>
      </c>
      <c r="J167" s="14">
        <f t="shared" ref="J167:O167" si="72">SUMIF($H$158:$H$165,"фед*",J$158:J$165)</f>
        <v>5.39</v>
      </c>
      <c r="K167" s="14">
        <f t="shared" si="72"/>
        <v>0</v>
      </c>
      <c r="L167" s="14">
        <f t="shared" si="72"/>
        <v>0</v>
      </c>
      <c r="M167" s="14">
        <f t="shared" si="72"/>
        <v>0</v>
      </c>
      <c r="N167" s="14">
        <f t="shared" si="72"/>
        <v>24.840000000000003</v>
      </c>
      <c r="O167" s="14">
        <f t="shared" si="72"/>
        <v>0</v>
      </c>
      <c r="P167" s="129"/>
    </row>
    <row r="168" spans="2:16" ht="15.75" x14ac:dyDescent="0.2">
      <c r="B168" s="129"/>
      <c r="C168" s="129"/>
      <c r="D168" s="129"/>
      <c r="E168" s="129"/>
      <c r="F168" s="129"/>
      <c r="G168" s="129"/>
      <c r="H168" s="84" t="s">
        <v>6</v>
      </c>
      <c r="I168" s="14">
        <f>SUMIF($H$158:$H$165,"конс*",I$158:I$165)</f>
        <v>1.37</v>
      </c>
      <c r="J168" s="14">
        <f t="shared" ref="J168:O168" si="73">SUMIF($H$158:$H$165,"конс*",J$158:J$165)</f>
        <v>0.05</v>
      </c>
      <c r="K168" s="14">
        <f t="shared" si="73"/>
        <v>0</v>
      </c>
      <c r="L168" s="14">
        <f t="shared" si="73"/>
        <v>0</v>
      </c>
      <c r="M168" s="14">
        <f t="shared" si="73"/>
        <v>0</v>
      </c>
      <c r="N168" s="14">
        <f t="shared" si="73"/>
        <v>1.32</v>
      </c>
      <c r="O168" s="14">
        <f t="shared" si="73"/>
        <v>0</v>
      </c>
      <c r="P168" s="129"/>
    </row>
    <row r="169" spans="2:16" ht="15.75" x14ac:dyDescent="0.2">
      <c r="B169" s="130"/>
      <c r="C169" s="130"/>
      <c r="D169" s="130"/>
      <c r="E169" s="130"/>
      <c r="F169" s="130"/>
      <c r="G169" s="130"/>
      <c r="H169" s="84" t="s">
        <v>5</v>
      </c>
      <c r="I169" s="76">
        <f>SUMIF($H$158:$H$165,"вне*",I$158:I$165)</f>
        <v>0</v>
      </c>
      <c r="J169" s="76">
        <f t="shared" ref="J169:O169" si="74">SUMIF($H$158:$H$165,"вне*",J$158:J$165)</f>
        <v>0</v>
      </c>
      <c r="K169" s="76">
        <f t="shared" si="74"/>
        <v>0</v>
      </c>
      <c r="L169" s="76">
        <f t="shared" si="74"/>
        <v>0</v>
      </c>
      <c r="M169" s="76">
        <f t="shared" si="74"/>
        <v>0</v>
      </c>
      <c r="N169" s="76">
        <f t="shared" si="74"/>
        <v>0</v>
      </c>
      <c r="O169" s="76">
        <f t="shared" si="74"/>
        <v>0</v>
      </c>
      <c r="P169" s="130"/>
    </row>
    <row r="170" spans="2:16" ht="25.5" customHeight="1" x14ac:dyDescent="0.2">
      <c r="B170" s="111" t="s">
        <v>409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3"/>
    </row>
    <row r="171" spans="2:16" ht="42.75" customHeight="1" outlineLevel="1" x14ac:dyDescent="0.2">
      <c r="B171" s="117" t="s">
        <v>953</v>
      </c>
      <c r="C171" s="117"/>
      <c r="D171" s="117" t="s">
        <v>409</v>
      </c>
      <c r="E171" s="117">
        <v>2022</v>
      </c>
      <c r="F171" s="117" t="s">
        <v>955</v>
      </c>
      <c r="G171" s="117"/>
      <c r="H171" s="84" t="s">
        <v>3</v>
      </c>
      <c r="I171" s="85">
        <f>SUM(J171:O171)</f>
        <v>19.23</v>
      </c>
      <c r="J171" s="83">
        <f t="shared" ref="J171:O171" si="75">J172+J173+J174</f>
        <v>0</v>
      </c>
      <c r="K171" s="83">
        <f t="shared" si="75"/>
        <v>0</v>
      </c>
      <c r="L171" s="83">
        <f t="shared" si="75"/>
        <v>19.23</v>
      </c>
      <c r="M171" s="83">
        <f t="shared" si="75"/>
        <v>0</v>
      </c>
      <c r="N171" s="83">
        <f t="shared" si="75"/>
        <v>0</v>
      </c>
      <c r="O171" s="83">
        <f t="shared" si="75"/>
        <v>0</v>
      </c>
      <c r="P171" s="117"/>
    </row>
    <row r="172" spans="2:16" outlineLevel="1" x14ac:dyDescent="0.2">
      <c r="B172" s="118"/>
      <c r="C172" s="118"/>
      <c r="D172" s="118"/>
      <c r="E172" s="118"/>
      <c r="F172" s="118"/>
      <c r="G172" s="118"/>
      <c r="H172" s="84" t="s">
        <v>4</v>
      </c>
      <c r="I172" s="85">
        <f>SUM(J172:O172)</f>
        <v>18.27</v>
      </c>
      <c r="J172" s="83"/>
      <c r="K172" s="83"/>
      <c r="L172" s="83">
        <v>18.27</v>
      </c>
      <c r="M172" s="83"/>
      <c r="N172" s="83"/>
      <c r="O172" s="83"/>
      <c r="P172" s="118"/>
    </row>
    <row r="173" spans="2:16" outlineLevel="1" x14ac:dyDescent="0.2">
      <c r="B173" s="118"/>
      <c r="C173" s="118"/>
      <c r="D173" s="118"/>
      <c r="E173" s="118"/>
      <c r="F173" s="118"/>
      <c r="G173" s="118"/>
      <c r="H173" s="84" t="s">
        <v>6</v>
      </c>
      <c r="I173" s="85">
        <f>SUM(J173:O173)</f>
        <v>0.96</v>
      </c>
      <c r="J173" s="83">
        <v>0</v>
      </c>
      <c r="K173" s="83"/>
      <c r="L173" s="83">
        <v>0.96</v>
      </c>
      <c r="M173" s="83"/>
      <c r="N173" s="83"/>
      <c r="O173" s="83">
        <v>0</v>
      </c>
      <c r="P173" s="118"/>
    </row>
    <row r="174" spans="2:16" outlineLevel="1" x14ac:dyDescent="0.2">
      <c r="B174" s="119"/>
      <c r="C174" s="119"/>
      <c r="D174" s="119"/>
      <c r="E174" s="119"/>
      <c r="F174" s="119"/>
      <c r="G174" s="119"/>
      <c r="H174" s="84" t="s">
        <v>5</v>
      </c>
      <c r="I174" s="13"/>
      <c r="J174" s="13"/>
      <c r="K174" s="13"/>
      <c r="L174" s="13"/>
      <c r="M174" s="13"/>
      <c r="N174" s="13"/>
      <c r="O174" s="13"/>
      <c r="P174" s="119"/>
    </row>
    <row r="175" spans="2:16" ht="42.75" customHeight="1" outlineLevel="1" x14ac:dyDescent="0.2">
      <c r="B175" s="114" t="s">
        <v>951</v>
      </c>
      <c r="C175" s="114"/>
      <c r="D175" s="117" t="s">
        <v>409</v>
      </c>
      <c r="E175" s="117" t="s">
        <v>34</v>
      </c>
      <c r="F175" s="114" t="s">
        <v>956</v>
      </c>
      <c r="G175" s="114"/>
      <c r="H175" s="50" t="s">
        <v>3</v>
      </c>
      <c r="I175" s="58">
        <f>SUM(J175:O175)</f>
        <v>15.100000000000001</v>
      </c>
      <c r="J175" s="85">
        <f t="shared" ref="J175:O175" si="76">J176+J177+J178</f>
        <v>0</v>
      </c>
      <c r="K175" s="85">
        <f t="shared" si="76"/>
        <v>4.8500000000000005</v>
      </c>
      <c r="L175" s="85">
        <f t="shared" si="76"/>
        <v>5.03</v>
      </c>
      <c r="M175" s="85">
        <f t="shared" si="76"/>
        <v>5.22</v>
      </c>
      <c r="N175" s="85">
        <f t="shared" si="76"/>
        <v>0</v>
      </c>
      <c r="O175" s="85">
        <f t="shared" si="76"/>
        <v>0</v>
      </c>
      <c r="P175" s="114"/>
    </row>
    <row r="176" spans="2:16" outlineLevel="1" x14ac:dyDescent="0.2">
      <c r="B176" s="115"/>
      <c r="C176" s="137"/>
      <c r="D176" s="118"/>
      <c r="E176" s="118"/>
      <c r="F176" s="115"/>
      <c r="G176" s="115"/>
      <c r="H176" s="50" t="s">
        <v>4</v>
      </c>
      <c r="I176" s="85">
        <f>SUM(J176:O176)</f>
        <v>14.350000000000001</v>
      </c>
      <c r="J176" s="85"/>
      <c r="K176" s="85">
        <v>4.6100000000000003</v>
      </c>
      <c r="L176" s="85">
        <v>4.78</v>
      </c>
      <c r="M176" s="85">
        <v>4.96</v>
      </c>
      <c r="N176" s="85"/>
      <c r="O176" s="85"/>
      <c r="P176" s="115"/>
    </row>
    <row r="177" spans="2:16" outlineLevel="1" x14ac:dyDescent="0.2">
      <c r="B177" s="115"/>
      <c r="C177" s="137"/>
      <c r="D177" s="118"/>
      <c r="E177" s="118"/>
      <c r="F177" s="115"/>
      <c r="G177" s="115"/>
      <c r="H177" s="50" t="s">
        <v>6</v>
      </c>
      <c r="I177" s="85">
        <f>SUM(J177:O177)</f>
        <v>0.75</v>
      </c>
      <c r="J177" s="85"/>
      <c r="K177" s="85">
        <v>0.24</v>
      </c>
      <c r="L177" s="85">
        <v>0.25</v>
      </c>
      <c r="M177" s="85">
        <v>0.26</v>
      </c>
      <c r="N177" s="85"/>
      <c r="O177" s="85"/>
      <c r="P177" s="115"/>
    </row>
    <row r="178" spans="2:16" outlineLevel="1" x14ac:dyDescent="0.2">
      <c r="B178" s="116"/>
      <c r="C178" s="138"/>
      <c r="D178" s="119"/>
      <c r="E178" s="119"/>
      <c r="F178" s="116"/>
      <c r="G178" s="116"/>
      <c r="H178" s="50" t="s">
        <v>5</v>
      </c>
      <c r="I178" s="85"/>
      <c r="J178" s="85"/>
      <c r="K178" s="85"/>
      <c r="L178" s="85"/>
      <c r="M178" s="85"/>
      <c r="N178" s="85"/>
      <c r="O178" s="85"/>
      <c r="P178" s="116"/>
    </row>
    <row r="179" spans="2:16" ht="42.75" x14ac:dyDescent="0.2">
      <c r="B179" s="128" t="s">
        <v>414</v>
      </c>
      <c r="C179" s="128" t="s">
        <v>38</v>
      </c>
      <c r="D179" s="128" t="s">
        <v>38</v>
      </c>
      <c r="E179" s="128" t="s">
        <v>38</v>
      </c>
      <c r="F179" s="128" t="s">
        <v>38</v>
      </c>
      <c r="G179" s="128" t="s">
        <v>38</v>
      </c>
      <c r="H179" s="84" t="s">
        <v>3</v>
      </c>
      <c r="I179" s="14">
        <f>SUMIF($H$171:$H$178,"Объем*",I$171:I$178)</f>
        <v>34.33</v>
      </c>
      <c r="J179" s="14">
        <f t="shared" ref="J179:O179" si="77">SUMIF($H$171:$H$178,"Объем*",J$171:J$178)</f>
        <v>0</v>
      </c>
      <c r="K179" s="14">
        <f t="shared" si="77"/>
        <v>4.8500000000000005</v>
      </c>
      <c r="L179" s="14">
        <f t="shared" si="77"/>
        <v>24.26</v>
      </c>
      <c r="M179" s="14">
        <f t="shared" si="77"/>
        <v>5.22</v>
      </c>
      <c r="N179" s="14">
        <f t="shared" si="77"/>
        <v>0</v>
      </c>
      <c r="O179" s="14">
        <f t="shared" si="77"/>
        <v>0</v>
      </c>
      <c r="P179" s="128"/>
    </row>
    <row r="180" spans="2:16" ht="15.75" x14ac:dyDescent="0.2">
      <c r="B180" s="129"/>
      <c r="C180" s="129"/>
      <c r="D180" s="129"/>
      <c r="E180" s="129"/>
      <c r="F180" s="129"/>
      <c r="G180" s="129"/>
      <c r="H180" s="84" t="s">
        <v>4</v>
      </c>
      <c r="I180" s="14">
        <f>SUMIF($H$171:$H$178,"фед*",I$171:I$178)</f>
        <v>32.620000000000005</v>
      </c>
      <c r="J180" s="14">
        <f t="shared" ref="J180:O180" si="78">SUMIF($H$171:$H$178,"фед*",J$171:J$178)</f>
        <v>0</v>
      </c>
      <c r="K180" s="14">
        <f t="shared" si="78"/>
        <v>4.6100000000000003</v>
      </c>
      <c r="L180" s="14">
        <f t="shared" si="78"/>
        <v>23.05</v>
      </c>
      <c r="M180" s="14">
        <f t="shared" si="78"/>
        <v>4.96</v>
      </c>
      <c r="N180" s="14">
        <f t="shared" si="78"/>
        <v>0</v>
      </c>
      <c r="O180" s="14">
        <f t="shared" si="78"/>
        <v>0</v>
      </c>
      <c r="P180" s="129"/>
    </row>
    <row r="181" spans="2:16" ht="15.75" x14ac:dyDescent="0.2">
      <c r="B181" s="129"/>
      <c r="C181" s="129"/>
      <c r="D181" s="129"/>
      <c r="E181" s="129"/>
      <c r="F181" s="129"/>
      <c r="G181" s="129"/>
      <c r="H181" s="84" t="s">
        <v>6</v>
      </c>
      <c r="I181" s="14">
        <f>SUMIF($H$171:$H$178,"конс*",I$171:I$178)</f>
        <v>1.71</v>
      </c>
      <c r="J181" s="14">
        <f t="shared" ref="J181:O181" si="79">SUMIF($H$171:$H$178,"конс*",J$171:J$178)</f>
        <v>0</v>
      </c>
      <c r="K181" s="14">
        <f t="shared" si="79"/>
        <v>0.24</v>
      </c>
      <c r="L181" s="14">
        <f t="shared" si="79"/>
        <v>1.21</v>
      </c>
      <c r="M181" s="14">
        <f t="shared" si="79"/>
        <v>0.26</v>
      </c>
      <c r="N181" s="14">
        <f t="shared" si="79"/>
        <v>0</v>
      </c>
      <c r="O181" s="14">
        <f t="shared" si="79"/>
        <v>0</v>
      </c>
      <c r="P181" s="129"/>
    </row>
    <row r="182" spans="2:16" ht="15.75" x14ac:dyDescent="0.2">
      <c r="B182" s="130"/>
      <c r="C182" s="130"/>
      <c r="D182" s="130"/>
      <c r="E182" s="130"/>
      <c r="F182" s="130"/>
      <c r="G182" s="130"/>
      <c r="H182" s="84" t="s">
        <v>5</v>
      </c>
      <c r="I182" s="76">
        <f>SUMIF($H$171:$H$178,"вне*",I$171:I$178)</f>
        <v>0</v>
      </c>
      <c r="J182" s="76">
        <f t="shared" ref="J182:O182" si="80">SUMIF($H$171:$H$178,"вне*",J$171:J$178)</f>
        <v>0</v>
      </c>
      <c r="K182" s="76">
        <f t="shared" si="80"/>
        <v>0</v>
      </c>
      <c r="L182" s="76">
        <f t="shared" si="80"/>
        <v>0</v>
      </c>
      <c r="M182" s="76">
        <f t="shared" si="80"/>
        <v>0</v>
      </c>
      <c r="N182" s="76">
        <f t="shared" si="80"/>
        <v>0</v>
      </c>
      <c r="O182" s="76">
        <f t="shared" si="80"/>
        <v>0</v>
      </c>
      <c r="P182" s="130"/>
    </row>
    <row r="183" spans="2:16" ht="25.5" customHeight="1" x14ac:dyDescent="0.2">
      <c r="B183" s="111" t="s">
        <v>58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3"/>
    </row>
    <row r="184" spans="2:16" ht="42.75" customHeight="1" outlineLevel="1" x14ac:dyDescent="0.2">
      <c r="B184" s="117" t="s">
        <v>1871</v>
      </c>
      <c r="C184" s="117" t="s">
        <v>1872</v>
      </c>
      <c r="D184" s="117" t="s">
        <v>58</v>
      </c>
      <c r="E184" s="117" t="s">
        <v>75</v>
      </c>
      <c r="F184" s="117" t="s">
        <v>955</v>
      </c>
      <c r="G184" s="117"/>
      <c r="H184" s="84" t="s">
        <v>3</v>
      </c>
      <c r="I184" s="85">
        <f>SUM(J184:O184)</f>
        <v>19.97</v>
      </c>
      <c r="J184" s="83">
        <f t="shared" ref="J184:O184" si="81">J185+J186+J187</f>
        <v>0</v>
      </c>
      <c r="K184" s="83">
        <f t="shared" si="81"/>
        <v>0</v>
      </c>
      <c r="L184" s="83">
        <f t="shared" si="81"/>
        <v>0</v>
      </c>
      <c r="M184" s="83">
        <f t="shared" si="81"/>
        <v>19.97</v>
      </c>
      <c r="N184" s="83">
        <f t="shared" si="81"/>
        <v>0</v>
      </c>
      <c r="O184" s="83">
        <f t="shared" si="81"/>
        <v>0</v>
      </c>
      <c r="P184" s="117">
        <v>4445</v>
      </c>
    </row>
    <row r="185" spans="2:16" outlineLevel="1" x14ac:dyDescent="0.2">
      <c r="B185" s="118"/>
      <c r="C185" s="118"/>
      <c r="D185" s="118"/>
      <c r="E185" s="118"/>
      <c r="F185" s="118"/>
      <c r="G185" s="118"/>
      <c r="H185" s="84" t="s">
        <v>4</v>
      </c>
      <c r="I185" s="85">
        <f>SUM(J185:O185)</f>
        <v>18.97</v>
      </c>
      <c r="J185" s="83"/>
      <c r="K185" s="83"/>
      <c r="L185" s="83"/>
      <c r="M185" s="83">
        <v>18.97</v>
      </c>
      <c r="N185" s="83"/>
      <c r="O185" s="83"/>
      <c r="P185" s="118"/>
    </row>
    <row r="186" spans="2:16" outlineLevel="1" x14ac:dyDescent="0.2">
      <c r="B186" s="118"/>
      <c r="C186" s="118"/>
      <c r="D186" s="118"/>
      <c r="E186" s="118"/>
      <c r="F186" s="118"/>
      <c r="G186" s="118"/>
      <c r="H186" s="84" t="s">
        <v>6</v>
      </c>
      <c r="I186" s="85">
        <f>SUM(J186:O186)</f>
        <v>1</v>
      </c>
      <c r="J186" s="83">
        <v>0</v>
      </c>
      <c r="K186" s="83"/>
      <c r="L186" s="83"/>
      <c r="M186" s="83">
        <v>1</v>
      </c>
      <c r="N186" s="83"/>
      <c r="O186" s="83">
        <v>0</v>
      </c>
      <c r="P186" s="118"/>
    </row>
    <row r="187" spans="2:16" outlineLevel="1" x14ac:dyDescent="0.2">
      <c r="B187" s="119"/>
      <c r="C187" s="119"/>
      <c r="D187" s="119"/>
      <c r="E187" s="119"/>
      <c r="F187" s="119"/>
      <c r="G187" s="119"/>
      <c r="H187" s="84" t="s">
        <v>5</v>
      </c>
      <c r="I187" s="13"/>
      <c r="J187" s="13"/>
      <c r="K187" s="13"/>
      <c r="L187" s="13"/>
      <c r="M187" s="13"/>
      <c r="N187" s="13"/>
      <c r="O187" s="13"/>
      <c r="P187" s="119"/>
    </row>
    <row r="188" spans="2:16" ht="42.75" customHeight="1" outlineLevel="1" x14ac:dyDescent="0.2">
      <c r="B188" s="114" t="s">
        <v>1873</v>
      </c>
      <c r="C188" s="114" t="s">
        <v>1872</v>
      </c>
      <c r="D188" s="117" t="s">
        <v>58</v>
      </c>
      <c r="E188" s="117" t="s">
        <v>69</v>
      </c>
      <c r="F188" s="114" t="s">
        <v>1874</v>
      </c>
      <c r="G188" s="114"/>
      <c r="H188" s="50" t="s">
        <v>3</v>
      </c>
      <c r="I188" s="58">
        <f>SUM(J188:O188)</f>
        <v>15.3</v>
      </c>
      <c r="J188" s="85">
        <f t="shared" ref="J188:O188" si="82">J189+J190+J191</f>
        <v>0</v>
      </c>
      <c r="K188" s="85">
        <f t="shared" si="82"/>
        <v>4.8500000000000005</v>
      </c>
      <c r="L188" s="85">
        <f t="shared" si="82"/>
        <v>5.03</v>
      </c>
      <c r="M188" s="85">
        <f t="shared" si="82"/>
        <v>0</v>
      </c>
      <c r="N188" s="85">
        <f t="shared" si="82"/>
        <v>5.42</v>
      </c>
      <c r="O188" s="85">
        <f t="shared" si="82"/>
        <v>0</v>
      </c>
      <c r="P188" s="114">
        <v>574</v>
      </c>
    </row>
    <row r="189" spans="2:16" outlineLevel="1" x14ac:dyDescent="0.2">
      <c r="B189" s="115"/>
      <c r="C189" s="137"/>
      <c r="D189" s="118"/>
      <c r="E189" s="118"/>
      <c r="F189" s="115"/>
      <c r="G189" s="115"/>
      <c r="H189" s="50" t="s">
        <v>4</v>
      </c>
      <c r="I189" s="85">
        <f>SUM(J189:O189)</f>
        <v>14.540000000000001</v>
      </c>
      <c r="J189" s="85"/>
      <c r="K189" s="85">
        <v>4.6100000000000003</v>
      </c>
      <c r="L189" s="85">
        <v>4.78</v>
      </c>
      <c r="M189" s="85"/>
      <c r="N189" s="85">
        <v>5.15</v>
      </c>
      <c r="O189" s="85"/>
      <c r="P189" s="115"/>
    </row>
    <row r="190" spans="2:16" outlineLevel="1" x14ac:dyDescent="0.2">
      <c r="B190" s="115"/>
      <c r="C190" s="137"/>
      <c r="D190" s="118"/>
      <c r="E190" s="118"/>
      <c r="F190" s="115"/>
      <c r="G190" s="115"/>
      <c r="H190" s="50" t="s">
        <v>6</v>
      </c>
      <c r="I190" s="85">
        <f>SUM(J190:O190)</f>
        <v>0.76</v>
      </c>
      <c r="J190" s="85"/>
      <c r="K190" s="85">
        <v>0.24</v>
      </c>
      <c r="L190" s="85">
        <v>0.25</v>
      </c>
      <c r="M190" s="85"/>
      <c r="N190" s="85">
        <v>0.27</v>
      </c>
      <c r="O190" s="85"/>
      <c r="P190" s="115"/>
    </row>
    <row r="191" spans="2:16" outlineLevel="1" x14ac:dyDescent="0.2">
      <c r="B191" s="116"/>
      <c r="C191" s="138"/>
      <c r="D191" s="119"/>
      <c r="E191" s="119"/>
      <c r="F191" s="116"/>
      <c r="G191" s="116"/>
      <c r="H191" s="50" t="s">
        <v>5</v>
      </c>
      <c r="I191" s="85"/>
      <c r="J191" s="85"/>
      <c r="K191" s="85"/>
      <c r="L191" s="85"/>
      <c r="M191" s="85"/>
      <c r="N191" s="85"/>
      <c r="O191" s="85"/>
      <c r="P191" s="116"/>
    </row>
    <row r="192" spans="2:16" ht="42.75" customHeight="1" outlineLevel="1" x14ac:dyDescent="0.2">
      <c r="B192" s="114" t="s">
        <v>1875</v>
      </c>
      <c r="C192" s="114" t="s">
        <v>1872</v>
      </c>
      <c r="D192" s="117" t="s">
        <v>58</v>
      </c>
      <c r="E192" s="117" t="s">
        <v>69</v>
      </c>
      <c r="F192" s="114" t="s">
        <v>955</v>
      </c>
      <c r="G192" s="114"/>
      <c r="H192" s="50" t="s">
        <v>3</v>
      </c>
      <c r="I192" s="58">
        <f>SUM(J192:O192)</f>
        <v>50</v>
      </c>
      <c r="J192" s="85">
        <f t="shared" ref="J192:O192" si="83">J193+J194+J195</f>
        <v>0</v>
      </c>
      <c r="K192" s="85">
        <f t="shared" si="83"/>
        <v>0</v>
      </c>
      <c r="L192" s="85">
        <f t="shared" si="83"/>
        <v>0</v>
      </c>
      <c r="M192" s="85">
        <f t="shared" si="83"/>
        <v>50</v>
      </c>
      <c r="N192" s="85">
        <f t="shared" si="83"/>
        <v>0</v>
      </c>
      <c r="O192" s="85">
        <f t="shared" si="83"/>
        <v>0</v>
      </c>
      <c r="P192" s="114">
        <v>34927</v>
      </c>
    </row>
    <row r="193" spans="2:16" outlineLevel="1" x14ac:dyDescent="0.2">
      <c r="B193" s="115"/>
      <c r="C193" s="137"/>
      <c r="D193" s="118"/>
      <c r="E193" s="118"/>
      <c r="F193" s="115"/>
      <c r="G193" s="115"/>
      <c r="H193" s="50" t="s">
        <v>4</v>
      </c>
      <c r="I193" s="85">
        <f>SUM(J193:O193)</f>
        <v>50</v>
      </c>
      <c r="J193" s="85"/>
      <c r="K193" s="85"/>
      <c r="L193" s="85"/>
      <c r="M193" s="85">
        <v>50</v>
      </c>
      <c r="N193" s="85"/>
      <c r="O193" s="85"/>
      <c r="P193" s="115"/>
    </row>
    <row r="194" spans="2:16" outlineLevel="1" x14ac:dyDescent="0.2">
      <c r="B194" s="115"/>
      <c r="C194" s="137"/>
      <c r="D194" s="118"/>
      <c r="E194" s="118"/>
      <c r="F194" s="115"/>
      <c r="G194" s="115"/>
      <c r="H194" s="50" t="s">
        <v>6</v>
      </c>
      <c r="I194" s="85">
        <f>SUM(J194:O194)</f>
        <v>0</v>
      </c>
      <c r="J194" s="85"/>
      <c r="K194" s="85"/>
      <c r="L194" s="85"/>
      <c r="M194" s="85"/>
      <c r="N194" s="85"/>
      <c r="O194" s="85"/>
      <c r="P194" s="115"/>
    </row>
    <row r="195" spans="2:16" outlineLevel="1" x14ac:dyDescent="0.2">
      <c r="B195" s="116"/>
      <c r="C195" s="138"/>
      <c r="D195" s="119"/>
      <c r="E195" s="119"/>
      <c r="F195" s="116"/>
      <c r="G195" s="116"/>
      <c r="H195" s="50" t="s">
        <v>5</v>
      </c>
      <c r="I195" s="85"/>
      <c r="J195" s="85"/>
      <c r="K195" s="85"/>
      <c r="L195" s="85"/>
      <c r="M195" s="85"/>
      <c r="N195" s="85"/>
      <c r="O195" s="85"/>
      <c r="P195" s="116"/>
    </row>
    <row r="196" spans="2:16" ht="42.75" x14ac:dyDescent="0.2">
      <c r="B196" s="128" t="s">
        <v>64</v>
      </c>
      <c r="C196" s="128" t="s">
        <v>38</v>
      </c>
      <c r="D196" s="128" t="s">
        <v>38</v>
      </c>
      <c r="E196" s="128" t="s">
        <v>38</v>
      </c>
      <c r="F196" s="128" t="s">
        <v>38</v>
      </c>
      <c r="G196" s="128" t="s">
        <v>38</v>
      </c>
      <c r="H196" s="84" t="s">
        <v>3</v>
      </c>
      <c r="I196" s="14">
        <f>SUMIF($H$184:$H$195,"Объем*",I$184:I$195)</f>
        <v>85.27</v>
      </c>
      <c r="J196" s="14">
        <f t="shared" ref="J196:O196" si="84">SUMIF($H$184:$H$195,"Объем*",J$184:J$195)</f>
        <v>0</v>
      </c>
      <c r="K196" s="14">
        <f t="shared" si="84"/>
        <v>4.8500000000000005</v>
      </c>
      <c r="L196" s="14">
        <f t="shared" si="84"/>
        <v>5.03</v>
      </c>
      <c r="M196" s="14">
        <f t="shared" si="84"/>
        <v>69.97</v>
      </c>
      <c r="N196" s="14">
        <f t="shared" si="84"/>
        <v>5.42</v>
      </c>
      <c r="O196" s="14">
        <f t="shared" si="84"/>
        <v>0</v>
      </c>
      <c r="P196" s="128"/>
    </row>
    <row r="197" spans="2:16" ht="15.75" x14ac:dyDescent="0.2">
      <c r="B197" s="129"/>
      <c r="C197" s="129"/>
      <c r="D197" s="129"/>
      <c r="E197" s="129"/>
      <c r="F197" s="129"/>
      <c r="G197" s="129"/>
      <c r="H197" s="84" t="s">
        <v>4</v>
      </c>
      <c r="I197" s="14">
        <f>SUMIF($H$184:$H$195,"фед*",I$184:I$195)</f>
        <v>83.509999999999991</v>
      </c>
      <c r="J197" s="14">
        <f t="shared" ref="J197:O197" si="85">SUMIF($H$184:$H$195,"фед*",J$184:J$195)</f>
        <v>0</v>
      </c>
      <c r="K197" s="14">
        <f t="shared" si="85"/>
        <v>4.6100000000000003</v>
      </c>
      <c r="L197" s="14">
        <f t="shared" si="85"/>
        <v>4.78</v>
      </c>
      <c r="M197" s="14">
        <f t="shared" si="85"/>
        <v>68.97</v>
      </c>
      <c r="N197" s="14">
        <f t="shared" si="85"/>
        <v>5.15</v>
      </c>
      <c r="O197" s="14">
        <f t="shared" si="85"/>
        <v>0</v>
      </c>
      <c r="P197" s="129"/>
    </row>
    <row r="198" spans="2:16" ht="15.75" x14ac:dyDescent="0.2">
      <c r="B198" s="129"/>
      <c r="C198" s="129"/>
      <c r="D198" s="129"/>
      <c r="E198" s="129"/>
      <c r="F198" s="129"/>
      <c r="G198" s="129"/>
      <c r="H198" s="84" t="s">
        <v>6</v>
      </c>
      <c r="I198" s="14">
        <f>SUMIF($H$184:$H$195,"конс*",I$184:I$195)</f>
        <v>1.76</v>
      </c>
      <c r="J198" s="14">
        <f t="shared" ref="J198:O198" si="86">SUMIF($H$184:$H$195,"конс*",J$184:J$195)</f>
        <v>0</v>
      </c>
      <c r="K198" s="14">
        <f t="shared" si="86"/>
        <v>0.24</v>
      </c>
      <c r="L198" s="14">
        <f t="shared" si="86"/>
        <v>0.25</v>
      </c>
      <c r="M198" s="14">
        <f t="shared" si="86"/>
        <v>1</v>
      </c>
      <c r="N198" s="14">
        <f t="shared" si="86"/>
        <v>0.27</v>
      </c>
      <c r="O198" s="14">
        <f t="shared" si="86"/>
        <v>0</v>
      </c>
      <c r="P198" s="129"/>
    </row>
    <row r="199" spans="2:16" ht="15.75" x14ac:dyDescent="0.2">
      <c r="B199" s="130"/>
      <c r="C199" s="130"/>
      <c r="D199" s="130"/>
      <c r="E199" s="130"/>
      <c r="F199" s="130"/>
      <c r="G199" s="130"/>
      <c r="H199" s="84" t="s">
        <v>5</v>
      </c>
      <c r="I199" s="76">
        <f>SUMIF($H$184:$H$195,"вне*",I$184:I$195)</f>
        <v>0</v>
      </c>
      <c r="J199" s="76">
        <f t="shared" ref="J199:O199" si="87">SUMIF($H$184:$H$195,"вне*",J$184:J$195)</f>
        <v>0</v>
      </c>
      <c r="K199" s="76">
        <f t="shared" si="87"/>
        <v>0</v>
      </c>
      <c r="L199" s="76">
        <f t="shared" si="87"/>
        <v>0</v>
      </c>
      <c r="M199" s="76">
        <f t="shared" si="87"/>
        <v>0</v>
      </c>
      <c r="N199" s="76">
        <f t="shared" si="87"/>
        <v>0</v>
      </c>
      <c r="O199" s="76">
        <f t="shared" si="87"/>
        <v>0</v>
      </c>
      <c r="P199" s="130"/>
    </row>
    <row r="200" spans="2:16" ht="25.5" customHeight="1" x14ac:dyDescent="0.2">
      <c r="B200" s="111" t="s">
        <v>430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3"/>
    </row>
    <row r="201" spans="2:16" ht="42.75" customHeight="1" outlineLevel="1" x14ac:dyDescent="0.2">
      <c r="B201" s="117" t="s">
        <v>953</v>
      </c>
      <c r="C201" s="117"/>
      <c r="D201" s="117" t="s">
        <v>430</v>
      </c>
      <c r="E201" s="117">
        <v>2023</v>
      </c>
      <c r="F201" s="117" t="s">
        <v>955</v>
      </c>
      <c r="G201" s="117"/>
      <c r="H201" s="84" t="s">
        <v>3</v>
      </c>
      <c r="I201" s="85">
        <f>SUM(J201:O201)</f>
        <v>19.97</v>
      </c>
      <c r="J201" s="83">
        <f t="shared" ref="J201:O201" si="88">J202+J203+J204</f>
        <v>0</v>
      </c>
      <c r="K201" s="83">
        <f t="shared" si="88"/>
        <v>0</v>
      </c>
      <c r="L201" s="83">
        <f t="shared" si="88"/>
        <v>0</v>
      </c>
      <c r="M201" s="83">
        <f t="shared" si="88"/>
        <v>19.97</v>
      </c>
      <c r="N201" s="83">
        <f t="shared" si="88"/>
        <v>0</v>
      </c>
      <c r="O201" s="83">
        <f t="shared" si="88"/>
        <v>0</v>
      </c>
      <c r="P201" s="117"/>
    </row>
    <row r="202" spans="2:16" outlineLevel="1" x14ac:dyDescent="0.2">
      <c r="B202" s="118"/>
      <c r="C202" s="118"/>
      <c r="D202" s="118"/>
      <c r="E202" s="118"/>
      <c r="F202" s="118"/>
      <c r="G202" s="118"/>
      <c r="H202" s="84" t="s">
        <v>4</v>
      </c>
      <c r="I202" s="85">
        <f>SUM(J202:O202)</f>
        <v>18.97</v>
      </c>
      <c r="J202" s="83"/>
      <c r="K202" s="83"/>
      <c r="L202" s="83"/>
      <c r="M202" s="83">
        <v>18.97</v>
      </c>
      <c r="N202" s="83"/>
      <c r="O202" s="83"/>
      <c r="P202" s="118"/>
    </row>
    <row r="203" spans="2:16" outlineLevel="1" x14ac:dyDescent="0.2">
      <c r="B203" s="118"/>
      <c r="C203" s="118"/>
      <c r="D203" s="118"/>
      <c r="E203" s="118"/>
      <c r="F203" s="118"/>
      <c r="G203" s="118"/>
      <c r="H203" s="84" t="s">
        <v>6</v>
      </c>
      <c r="I203" s="85">
        <f>SUM(J203:O203)</f>
        <v>1</v>
      </c>
      <c r="J203" s="83">
        <v>0</v>
      </c>
      <c r="K203" s="83"/>
      <c r="L203" s="83"/>
      <c r="M203" s="83">
        <v>1</v>
      </c>
      <c r="N203" s="83"/>
      <c r="O203" s="83">
        <v>0</v>
      </c>
      <c r="P203" s="118"/>
    </row>
    <row r="204" spans="2:16" outlineLevel="1" x14ac:dyDescent="0.2">
      <c r="B204" s="119"/>
      <c r="C204" s="119"/>
      <c r="D204" s="119"/>
      <c r="E204" s="119"/>
      <c r="F204" s="119"/>
      <c r="G204" s="119"/>
      <c r="H204" s="84" t="s">
        <v>5</v>
      </c>
      <c r="I204" s="13"/>
      <c r="J204" s="13"/>
      <c r="K204" s="13"/>
      <c r="L204" s="13"/>
      <c r="M204" s="13"/>
      <c r="N204" s="13"/>
      <c r="O204" s="13"/>
      <c r="P204" s="119"/>
    </row>
    <row r="205" spans="2:16" ht="42.75" customHeight="1" outlineLevel="1" x14ac:dyDescent="0.2">
      <c r="B205" s="114" t="s">
        <v>951</v>
      </c>
      <c r="C205" s="114"/>
      <c r="D205" s="117" t="s">
        <v>430</v>
      </c>
      <c r="E205" s="117" t="s">
        <v>69</v>
      </c>
      <c r="F205" s="114" t="s">
        <v>977</v>
      </c>
      <c r="G205" s="114"/>
      <c r="H205" s="50" t="s">
        <v>3</v>
      </c>
      <c r="I205" s="58">
        <f>SUM(J205:O205)</f>
        <v>47.290000000000006</v>
      </c>
      <c r="J205" s="85">
        <f t="shared" ref="J205:O205" si="89">J206+J207+J208</f>
        <v>0</v>
      </c>
      <c r="K205" s="85">
        <f t="shared" si="89"/>
        <v>14.5</v>
      </c>
      <c r="L205" s="85">
        <f t="shared" si="89"/>
        <v>10.06</v>
      </c>
      <c r="M205" s="85">
        <f t="shared" si="89"/>
        <v>5.22</v>
      </c>
      <c r="N205" s="85">
        <f t="shared" si="89"/>
        <v>17.510000000000002</v>
      </c>
      <c r="O205" s="85">
        <f t="shared" si="89"/>
        <v>0</v>
      </c>
      <c r="P205" s="114"/>
    </row>
    <row r="206" spans="2:16" outlineLevel="1" x14ac:dyDescent="0.2">
      <c r="B206" s="115"/>
      <c r="C206" s="137"/>
      <c r="D206" s="118"/>
      <c r="E206" s="118"/>
      <c r="F206" s="115"/>
      <c r="G206" s="115"/>
      <c r="H206" s="50" t="s">
        <v>4</v>
      </c>
      <c r="I206" s="85">
        <f>SUM(J206:O206)</f>
        <v>44.93</v>
      </c>
      <c r="J206" s="85"/>
      <c r="K206" s="85">
        <v>13.77</v>
      </c>
      <c r="L206" s="85">
        <v>9.56</v>
      </c>
      <c r="M206" s="85">
        <v>4.96</v>
      </c>
      <c r="N206" s="85">
        <v>16.64</v>
      </c>
      <c r="O206" s="85"/>
      <c r="P206" s="115"/>
    </row>
    <row r="207" spans="2:16" outlineLevel="1" x14ac:dyDescent="0.2">
      <c r="B207" s="115"/>
      <c r="C207" s="137"/>
      <c r="D207" s="118"/>
      <c r="E207" s="118"/>
      <c r="F207" s="115"/>
      <c r="G207" s="115"/>
      <c r="H207" s="50" t="s">
        <v>6</v>
      </c>
      <c r="I207" s="85">
        <f>SUM(J207:O207)</f>
        <v>2.36</v>
      </c>
      <c r="J207" s="85"/>
      <c r="K207" s="85">
        <v>0.73</v>
      </c>
      <c r="L207" s="85">
        <v>0.5</v>
      </c>
      <c r="M207" s="85">
        <v>0.26</v>
      </c>
      <c r="N207" s="85">
        <v>0.87</v>
      </c>
      <c r="O207" s="85"/>
      <c r="P207" s="115"/>
    </row>
    <row r="208" spans="2:16" outlineLevel="1" x14ac:dyDescent="0.2">
      <c r="B208" s="116"/>
      <c r="C208" s="138"/>
      <c r="D208" s="119"/>
      <c r="E208" s="119"/>
      <c r="F208" s="116"/>
      <c r="G208" s="116"/>
      <c r="H208" s="50" t="s">
        <v>5</v>
      </c>
      <c r="I208" s="85"/>
      <c r="J208" s="85"/>
      <c r="K208" s="85"/>
      <c r="L208" s="85"/>
      <c r="M208" s="85"/>
      <c r="N208" s="85"/>
      <c r="O208" s="85"/>
      <c r="P208" s="116"/>
    </row>
    <row r="209" spans="2:16" ht="42.75" x14ac:dyDescent="0.2">
      <c r="B209" s="128" t="s">
        <v>448</v>
      </c>
      <c r="C209" s="128" t="s">
        <v>38</v>
      </c>
      <c r="D209" s="128" t="s">
        <v>38</v>
      </c>
      <c r="E209" s="128" t="s">
        <v>38</v>
      </c>
      <c r="F209" s="128" t="s">
        <v>38</v>
      </c>
      <c r="G209" s="128" t="s">
        <v>38</v>
      </c>
      <c r="H209" s="84" t="s">
        <v>3</v>
      </c>
      <c r="I209" s="14">
        <f>SUMIF($H$201:$H$208,"Объем*",I$201:I$208)</f>
        <v>67.260000000000005</v>
      </c>
      <c r="J209" s="14">
        <f t="shared" ref="J209:O209" si="90">SUMIF($H$201:$H$208,"Объем*",J$201:J$208)</f>
        <v>0</v>
      </c>
      <c r="K209" s="14">
        <f t="shared" si="90"/>
        <v>14.5</v>
      </c>
      <c r="L209" s="14">
        <f t="shared" si="90"/>
        <v>10.06</v>
      </c>
      <c r="M209" s="14">
        <f t="shared" si="90"/>
        <v>25.189999999999998</v>
      </c>
      <c r="N209" s="14">
        <f t="shared" si="90"/>
        <v>17.510000000000002</v>
      </c>
      <c r="O209" s="14">
        <f t="shared" si="90"/>
        <v>0</v>
      </c>
      <c r="P209" s="128"/>
    </row>
    <row r="210" spans="2:16" ht="15.75" x14ac:dyDescent="0.2">
      <c r="B210" s="129"/>
      <c r="C210" s="129"/>
      <c r="D210" s="129"/>
      <c r="E210" s="129"/>
      <c r="F210" s="129"/>
      <c r="G210" s="129"/>
      <c r="H210" s="84" t="s">
        <v>4</v>
      </c>
      <c r="I210" s="14">
        <f>SUMIF($H$201:$H$208,"фед*",I$201:I$208)</f>
        <v>63.9</v>
      </c>
      <c r="J210" s="14">
        <f t="shared" ref="J210:O210" si="91">SUMIF($H$201:$H$208,"фед*",J$201:J$208)</f>
        <v>0</v>
      </c>
      <c r="K210" s="14">
        <f t="shared" si="91"/>
        <v>13.77</v>
      </c>
      <c r="L210" s="14">
        <f t="shared" si="91"/>
        <v>9.56</v>
      </c>
      <c r="M210" s="14">
        <f t="shared" si="91"/>
        <v>23.93</v>
      </c>
      <c r="N210" s="14">
        <f t="shared" si="91"/>
        <v>16.64</v>
      </c>
      <c r="O210" s="14">
        <f t="shared" si="91"/>
        <v>0</v>
      </c>
      <c r="P210" s="129"/>
    </row>
    <row r="211" spans="2:16" ht="15.75" x14ac:dyDescent="0.2">
      <c r="B211" s="129"/>
      <c r="C211" s="129"/>
      <c r="D211" s="129"/>
      <c r="E211" s="129"/>
      <c r="F211" s="129"/>
      <c r="G211" s="129"/>
      <c r="H211" s="84" t="s">
        <v>6</v>
      </c>
      <c r="I211" s="14">
        <f>SUMIF($H$201:$H$208,"конс*",I$201:I$208)</f>
        <v>3.36</v>
      </c>
      <c r="J211" s="14">
        <f t="shared" ref="J211:O211" si="92">SUMIF($H$201:$H$208,"конс*",J$201:J$208)</f>
        <v>0</v>
      </c>
      <c r="K211" s="14">
        <f t="shared" si="92"/>
        <v>0.73</v>
      </c>
      <c r="L211" s="14">
        <f t="shared" si="92"/>
        <v>0.5</v>
      </c>
      <c r="M211" s="14">
        <f t="shared" si="92"/>
        <v>1.26</v>
      </c>
      <c r="N211" s="14">
        <f t="shared" si="92"/>
        <v>0.87</v>
      </c>
      <c r="O211" s="14">
        <f t="shared" si="92"/>
        <v>0</v>
      </c>
      <c r="P211" s="129"/>
    </row>
    <row r="212" spans="2:16" ht="15.75" x14ac:dyDescent="0.2">
      <c r="B212" s="130"/>
      <c r="C212" s="130"/>
      <c r="D212" s="130"/>
      <c r="E212" s="130"/>
      <c r="F212" s="130"/>
      <c r="G212" s="130"/>
      <c r="H212" s="84" t="s">
        <v>5</v>
      </c>
      <c r="I212" s="76">
        <f>SUMIF($H$201:$H$208,"вне*",I$201:I$208)</f>
        <v>0</v>
      </c>
      <c r="J212" s="76">
        <f t="shared" ref="J212:O212" si="93">SUMIF($H$201:$H$208,"вне*",J$201:J$208)</f>
        <v>0</v>
      </c>
      <c r="K212" s="76">
        <f t="shared" si="93"/>
        <v>0</v>
      </c>
      <c r="L212" s="76">
        <f t="shared" si="93"/>
        <v>0</v>
      </c>
      <c r="M212" s="76">
        <f t="shared" si="93"/>
        <v>0</v>
      </c>
      <c r="N212" s="76">
        <f t="shared" si="93"/>
        <v>0</v>
      </c>
      <c r="O212" s="76">
        <f t="shared" si="93"/>
        <v>0</v>
      </c>
      <c r="P212" s="130"/>
    </row>
    <row r="213" spans="2:16" ht="25.5" customHeight="1" x14ac:dyDescent="0.2">
      <c r="B213" s="111" t="s">
        <v>449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3"/>
    </row>
    <row r="214" spans="2:16" ht="42.75" customHeight="1" outlineLevel="1" x14ac:dyDescent="0.2">
      <c r="B214" s="117" t="s">
        <v>953</v>
      </c>
      <c r="C214" s="117"/>
      <c r="D214" s="117" t="s">
        <v>449</v>
      </c>
      <c r="E214" s="117" t="s">
        <v>209</v>
      </c>
      <c r="F214" s="117" t="s">
        <v>976</v>
      </c>
      <c r="G214" s="117"/>
      <c r="H214" s="84" t="s">
        <v>3</v>
      </c>
      <c r="I214" s="85">
        <f>SUM(J214:O214)</f>
        <v>40.71</v>
      </c>
      <c r="J214" s="83">
        <f t="shared" ref="J214:O214" si="94">J215+J216+J217</f>
        <v>0</v>
      </c>
      <c r="K214" s="83">
        <f t="shared" si="94"/>
        <v>0</v>
      </c>
      <c r="L214" s="83">
        <f t="shared" si="94"/>
        <v>0</v>
      </c>
      <c r="M214" s="83">
        <f t="shared" si="94"/>
        <v>19.97</v>
      </c>
      <c r="N214" s="83">
        <f t="shared" si="94"/>
        <v>20.740000000000002</v>
      </c>
      <c r="O214" s="83">
        <f t="shared" si="94"/>
        <v>0</v>
      </c>
      <c r="P214" s="117"/>
    </row>
    <row r="215" spans="2:16" outlineLevel="1" x14ac:dyDescent="0.2">
      <c r="B215" s="118"/>
      <c r="C215" s="118"/>
      <c r="D215" s="118"/>
      <c r="E215" s="118"/>
      <c r="F215" s="118"/>
      <c r="G215" s="118"/>
      <c r="H215" s="84" t="s">
        <v>4</v>
      </c>
      <c r="I215" s="85">
        <f>SUM(J215:O215)</f>
        <v>38.659999999999997</v>
      </c>
      <c r="J215" s="83"/>
      <c r="K215" s="83"/>
      <c r="L215" s="83"/>
      <c r="M215" s="83">
        <v>18.97</v>
      </c>
      <c r="N215" s="83">
        <v>19.690000000000001</v>
      </c>
      <c r="O215" s="83"/>
      <c r="P215" s="118"/>
    </row>
    <row r="216" spans="2:16" outlineLevel="1" x14ac:dyDescent="0.2">
      <c r="B216" s="118"/>
      <c r="C216" s="118"/>
      <c r="D216" s="118"/>
      <c r="E216" s="118"/>
      <c r="F216" s="118"/>
      <c r="G216" s="118"/>
      <c r="H216" s="84" t="s">
        <v>6</v>
      </c>
      <c r="I216" s="85">
        <f>SUM(J216:O216)</f>
        <v>2.0499999999999998</v>
      </c>
      <c r="J216" s="83">
        <v>0</v>
      </c>
      <c r="K216" s="83"/>
      <c r="L216" s="83"/>
      <c r="M216" s="83">
        <v>1</v>
      </c>
      <c r="N216" s="83">
        <v>1.05</v>
      </c>
      <c r="O216" s="83">
        <v>0</v>
      </c>
      <c r="P216" s="118"/>
    </row>
    <row r="217" spans="2:16" outlineLevel="1" x14ac:dyDescent="0.2">
      <c r="B217" s="119"/>
      <c r="C217" s="119"/>
      <c r="D217" s="119"/>
      <c r="E217" s="119"/>
      <c r="F217" s="119"/>
      <c r="G217" s="119"/>
      <c r="H217" s="84" t="s">
        <v>5</v>
      </c>
      <c r="I217" s="13"/>
      <c r="J217" s="13"/>
      <c r="K217" s="13"/>
      <c r="L217" s="13"/>
      <c r="M217" s="13"/>
      <c r="N217" s="13"/>
      <c r="O217" s="13"/>
      <c r="P217" s="119"/>
    </row>
    <row r="218" spans="2:16" ht="42.75" customHeight="1" outlineLevel="1" x14ac:dyDescent="0.2">
      <c r="B218" s="114" t="s">
        <v>951</v>
      </c>
      <c r="C218" s="114"/>
      <c r="D218" s="117" t="s">
        <v>449</v>
      </c>
      <c r="E218" s="117" t="s">
        <v>34</v>
      </c>
      <c r="F218" s="114" t="s">
        <v>975</v>
      </c>
      <c r="G218" s="114"/>
      <c r="H218" s="50" t="s">
        <v>3</v>
      </c>
      <c r="I218" s="58">
        <f>SUM(J218:O218)</f>
        <v>30.21</v>
      </c>
      <c r="J218" s="85">
        <f t="shared" ref="J218:O218" si="95">J219+J220+J221</f>
        <v>0</v>
      </c>
      <c r="K218" s="85">
        <f t="shared" si="95"/>
        <v>9.7100000000000009</v>
      </c>
      <c r="L218" s="85">
        <f t="shared" si="95"/>
        <v>10.06</v>
      </c>
      <c r="M218" s="85">
        <f t="shared" si="95"/>
        <v>10.44</v>
      </c>
      <c r="N218" s="85">
        <f t="shared" si="95"/>
        <v>0</v>
      </c>
      <c r="O218" s="85">
        <f t="shared" si="95"/>
        <v>0</v>
      </c>
      <c r="P218" s="114"/>
    </row>
    <row r="219" spans="2:16" outlineLevel="1" x14ac:dyDescent="0.2">
      <c r="B219" s="115"/>
      <c r="C219" s="137"/>
      <c r="D219" s="118"/>
      <c r="E219" s="118"/>
      <c r="F219" s="115"/>
      <c r="G219" s="115"/>
      <c r="H219" s="50" t="s">
        <v>4</v>
      </c>
      <c r="I219" s="85">
        <f>SUM(J219:O219)</f>
        <v>28.700000000000003</v>
      </c>
      <c r="J219" s="85"/>
      <c r="K219" s="85">
        <v>9.2200000000000006</v>
      </c>
      <c r="L219" s="85">
        <v>9.56</v>
      </c>
      <c r="M219" s="85">
        <v>9.92</v>
      </c>
      <c r="N219" s="85"/>
      <c r="O219" s="85"/>
      <c r="P219" s="115"/>
    </row>
    <row r="220" spans="2:16" outlineLevel="1" x14ac:dyDescent="0.2">
      <c r="B220" s="115"/>
      <c r="C220" s="137"/>
      <c r="D220" s="118"/>
      <c r="E220" s="118"/>
      <c r="F220" s="115"/>
      <c r="G220" s="115"/>
      <c r="H220" s="50" t="s">
        <v>6</v>
      </c>
      <c r="I220" s="85">
        <f>SUM(J220:O220)</f>
        <v>1.51</v>
      </c>
      <c r="J220" s="85"/>
      <c r="K220" s="85">
        <v>0.49</v>
      </c>
      <c r="L220" s="85">
        <v>0.5</v>
      </c>
      <c r="M220" s="85">
        <v>0.52</v>
      </c>
      <c r="N220" s="85"/>
      <c r="O220" s="85"/>
      <c r="P220" s="115"/>
    </row>
    <row r="221" spans="2:16" outlineLevel="1" x14ac:dyDescent="0.2">
      <c r="B221" s="116"/>
      <c r="C221" s="138"/>
      <c r="D221" s="119"/>
      <c r="E221" s="119"/>
      <c r="F221" s="116"/>
      <c r="G221" s="116"/>
      <c r="H221" s="50" t="s">
        <v>5</v>
      </c>
      <c r="I221" s="85"/>
      <c r="J221" s="85"/>
      <c r="K221" s="85"/>
      <c r="L221" s="85"/>
      <c r="M221" s="85"/>
      <c r="N221" s="85"/>
      <c r="O221" s="85"/>
      <c r="P221" s="116"/>
    </row>
    <row r="222" spans="2:16" ht="42.75" x14ac:dyDescent="0.2">
      <c r="B222" s="128" t="s">
        <v>452</v>
      </c>
      <c r="C222" s="128" t="s">
        <v>38</v>
      </c>
      <c r="D222" s="128" t="s">
        <v>38</v>
      </c>
      <c r="E222" s="128" t="s">
        <v>38</v>
      </c>
      <c r="F222" s="128" t="s">
        <v>38</v>
      </c>
      <c r="G222" s="128" t="s">
        <v>38</v>
      </c>
      <c r="H222" s="84" t="s">
        <v>3</v>
      </c>
      <c r="I222" s="14">
        <f>SUMIF($H$214:$H$221,"Объем*",I$214:I$221)</f>
        <v>70.92</v>
      </c>
      <c r="J222" s="14">
        <f t="shared" ref="J222:O222" si="96">SUMIF($H$214:$H$221,"Объем*",J$214:J$221)</f>
        <v>0</v>
      </c>
      <c r="K222" s="14">
        <f t="shared" si="96"/>
        <v>9.7100000000000009</v>
      </c>
      <c r="L222" s="14">
        <f t="shared" si="96"/>
        <v>10.06</v>
      </c>
      <c r="M222" s="14">
        <f t="shared" si="96"/>
        <v>30.409999999999997</v>
      </c>
      <c r="N222" s="14">
        <f t="shared" si="96"/>
        <v>20.740000000000002</v>
      </c>
      <c r="O222" s="14">
        <f t="shared" si="96"/>
        <v>0</v>
      </c>
      <c r="P222" s="128"/>
    </row>
    <row r="223" spans="2:16" ht="15.75" x14ac:dyDescent="0.2">
      <c r="B223" s="129"/>
      <c r="C223" s="129"/>
      <c r="D223" s="129"/>
      <c r="E223" s="129"/>
      <c r="F223" s="129"/>
      <c r="G223" s="129"/>
      <c r="H223" s="84" t="s">
        <v>4</v>
      </c>
      <c r="I223" s="14">
        <f>SUMIF($H$214:$H$221,"фед*",I$214:I$221)</f>
        <v>67.36</v>
      </c>
      <c r="J223" s="14">
        <f t="shared" ref="J223:O223" si="97">SUMIF($H$214:$H$221,"фед*",J$214:J$221)</f>
        <v>0</v>
      </c>
      <c r="K223" s="14">
        <f t="shared" si="97"/>
        <v>9.2200000000000006</v>
      </c>
      <c r="L223" s="14">
        <f t="shared" si="97"/>
        <v>9.56</v>
      </c>
      <c r="M223" s="14">
        <f t="shared" si="97"/>
        <v>28.89</v>
      </c>
      <c r="N223" s="14">
        <f t="shared" si="97"/>
        <v>19.690000000000001</v>
      </c>
      <c r="O223" s="14">
        <f t="shared" si="97"/>
        <v>0</v>
      </c>
      <c r="P223" s="129"/>
    </row>
    <row r="224" spans="2:16" ht="15.75" x14ac:dyDescent="0.2">
      <c r="B224" s="129"/>
      <c r="C224" s="129"/>
      <c r="D224" s="129"/>
      <c r="E224" s="129"/>
      <c r="F224" s="129"/>
      <c r="G224" s="129"/>
      <c r="H224" s="84" t="s">
        <v>6</v>
      </c>
      <c r="I224" s="14">
        <f>SUMIF($H$214:$H$221,"конс*",I$214:I$221)</f>
        <v>3.5599999999999996</v>
      </c>
      <c r="J224" s="14">
        <f t="shared" ref="J224:O224" si="98">SUMIF($H$214:$H$221,"конс*",J$214:J$221)</f>
        <v>0</v>
      </c>
      <c r="K224" s="14">
        <f t="shared" si="98"/>
        <v>0.49</v>
      </c>
      <c r="L224" s="14">
        <f t="shared" si="98"/>
        <v>0.5</v>
      </c>
      <c r="M224" s="14">
        <f t="shared" si="98"/>
        <v>1.52</v>
      </c>
      <c r="N224" s="14">
        <f t="shared" si="98"/>
        <v>1.05</v>
      </c>
      <c r="O224" s="14">
        <f t="shared" si="98"/>
        <v>0</v>
      </c>
      <c r="P224" s="129"/>
    </row>
    <row r="225" spans="2:16" ht="15.75" x14ac:dyDescent="0.2">
      <c r="B225" s="130"/>
      <c r="C225" s="130"/>
      <c r="D225" s="130"/>
      <c r="E225" s="130"/>
      <c r="F225" s="130"/>
      <c r="G225" s="130"/>
      <c r="H225" s="84" t="s">
        <v>5</v>
      </c>
      <c r="I225" s="76">
        <f>SUMIF($H$214:$H$221,"вне*",I$214:I$221)</f>
        <v>0</v>
      </c>
      <c r="J225" s="76">
        <f t="shared" ref="J225:O225" si="99">SUMIF($H$214:$H$221,"вне*",J$214:J$221)</f>
        <v>0</v>
      </c>
      <c r="K225" s="76">
        <f t="shared" si="99"/>
        <v>0</v>
      </c>
      <c r="L225" s="76">
        <f t="shared" si="99"/>
        <v>0</v>
      </c>
      <c r="M225" s="76">
        <f t="shared" si="99"/>
        <v>0</v>
      </c>
      <c r="N225" s="76">
        <f t="shared" si="99"/>
        <v>0</v>
      </c>
      <c r="O225" s="76">
        <f t="shared" si="99"/>
        <v>0</v>
      </c>
      <c r="P225" s="130"/>
    </row>
    <row r="226" spans="2:16" ht="25.5" customHeight="1" x14ac:dyDescent="0.2">
      <c r="B226" s="111" t="s">
        <v>493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3"/>
    </row>
    <row r="227" spans="2:16" ht="42.75" customHeight="1" outlineLevel="1" x14ac:dyDescent="0.2">
      <c r="B227" s="117" t="s">
        <v>953</v>
      </c>
      <c r="C227" s="117"/>
      <c r="D227" s="117" t="s">
        <v>493</v>
      </c>
      <c r="E227" s="117">
        <v>2024</v>
      </c>
      <c r="F227" s="117" t="s">
        <v>955</v>
      </c>
      <c r="G227" s="117"/>
      <c r="H227" s="84" t="s">
        <v>3</v>
      </c>
      <c r="I227" s="85">
        <f>SUM(J227:O227)</f>
        <v>18.55</v>
      </c>
      <c r="J227" s="83">
        <f t="shared" ref="J227:O227" si="100">J228+J229+J230</f>
        <v>0</v>
      </c>
      <c r="K227" s="83">
        <f t="shared" si="100"/>
        <v>18.55</v>
      </c>
      <c r="L227" s="83">
        <f t="shared" si="100"/>
        <v>0</v>
      </c>
      <c r="M227" s="83">
        <f t="shared" si="100"/>
        <v>0</v>
      </c>
      <c r="N227" s="83">
        <f t="shared" si="100"/>
        <v>0</v>
      </c>
      <c r="O227" s="83">
        <f t="shared" si="100"/>
        <v>0</v>
      </c>
      <c r="P227" s="117"/>
    </row>
    <row r="228" spans="2:16" outlineLevel="1" x14ac:dyDescent="0.2">
      <c r="B228" s="118"/>
      <c r="C228" s="118"/>
      <c r="D228" s="118"/>
      <c r="E228" s="118"/>
      <c r="F228" s="118"/>
      <c r="G228" s="118"/>
      <c r="H228" s="84" t="s">
        <v>4</v>
      </c>
      <c r="I228" s="85">
        <f>SUM(J228:O228)</f>
        <v>17.62</v>
      </c>
      <c r="J228" s="83"/>
      <c r="K228" s="83">
        <v>17.62</v>
      </c>
      <c r="L228" s="83"/>
      <c r="M228" s="83"/>
      <c r="N228" s="83"/>
      <c r="O228" s="83"/>
      <c r="P228" s="118"/>
    </row>
    <row r="229" spans="2:16" outlineLevel="1" x14ac:dyDescent="0.2">
      <c r="B229" s="118"/>
      <c r="C229" s="118"/>
      <c r="D229" s="118"/>
      <c r="E229" s="118"/>
      <c r="F229" s="118"/>
      <c r="G229" s="118"/>
      <c r="H229" s="84" t="s">
        <v>6</v>
      </c>
      <c r="I229" s="85">
        <f>SUM(J229:O229)</f>
        <v>0.93</v>
      </c>
      <c r="J229" s="83">
        <v>0</v>
      </c>
      <c r="K229" s="83">
        <v>0.93</v>
      </c>
      <c r="L229" s="83"/>
      <c r="M229" s="83"/>
      <c r="N229" s="83"/>
      <c r="O229" s="83">
        <v>0</v>
      </c>
      <c r="P229" s="118"/>
    </row>
    <row r="230" spans="2:16" outlineLevel="1" x14ac:dyDescent="0.2">
      <c r="B230" s="119"/>
      <c r="C230" s="119"/>
      <c r="D230" s="119"/>
      <c r="E230" s="119"/>
      <c r="F230" s="119"/>
      <c r="G230" s="119"/>
      <c r="H230" s="84" t="s">
        <v>5</v>
      </c>
      <c r="I230" s="13"/>
      <c r="J230" s="13"/>
      <c r="K230" s="13"/>
      <c r="L230" s="13"/>
      <c r="M230" s="13"/>
      <c r="N230" s="13"/>
      <c r="O230" s="13"/>
      <c r="P230" s="119"/>
    </row>
    <row r="231" spans="2:16" ht="42.75" customHeight="1" outlineLevel="1" x14ac:dyDescent="0.2">
      <c r="B231" s="114" t="s">
        <v>951</v>
      </c>
      <c r="C231" s="114"/>
      <c r="D231" s="117" t="s">
        <v>493</v>
      </c>
      <c r="E231" s="117" t="s">
        <v>698</v>
      </c>
      <c r="F231" s="114" t="s">
        <v>977</v>
      </c>
      <c r="G231" s="114"/>
      <c r="H231" s="50" t="s">
        <v>3</v>
      </c>
      <c r="I231" s="58">
        <f>SUM(J231:O231)</f>
        <v>30.990000000000002</v>
      </c>
      <c r="J231" s="85">
        <f t="shared" ref="J231:O231" si="101">J232+J233+J234</f>
        <v>5.4399999999999995</v>
      </c>
      <c r="K231" s="85">
        <f t="shared" si="101"/>
        <v>4.8500000000000005</v>
      </c>
      <c r="L231" s="85">
        <f t="shared" si="101"/>
        <v>10.06</v>
      </c>
      <c r="M231" s="85">
        <f t="shared" si="101"/>
        <v>5.22</v>
      </c>
      <c r="N231" s="85">
        <f t="shared" si="101"/>
        <v>5.42</v>
      </c>
      <c r="O231" s="85">
        <f t="shared" si="101"/>
        <v>0</v>
      </c>
      <c r="P231" s="114"/>
    </row>
    <row r="232" spans="2:16" outlineLevel="1" x14ac:dyDescent="0.2">
      <c r="B232" s="115"/>
      <c r="C232" s="137"/>
      <c r="D232" s="118"/>
      <c r="E232" s="118"/>
      <c r="F232" s="115"/>
      <c r="G232" s="115"/>
      <c r="H232" s="50" t="s">
        <v>4</v>
      </c>
      <c r="I232" s="85">
        <f>SUM(J232:O232)</f>
        <v>29.67</v>
      </c>
      <c r="J232" s="85">
        <v>5.39</v>
      </c>
      <c r="K232" s="85">
        <v>4.6100000000000003</v>
      </c>
      <c r="L232" s="85">
        <v>9.56</v>
      </c>
      <c r="M232" s="85">
        <v>4.96</v>
      </c>
      <c r="N232" s="85">
        <v>5.15</v>
      </c>
      <c r="O232" s="85"/>
      <c r="P232" s="115"/>
    </row>
    <row r="233" spans="2:16" outlineLevel="1" x14ac:dyDescent="0.2">
      <c r="B233" s="115"/>
      <c r="C233" s="137"/>
      <c r="D233" s="118"/>
      <c r="E233" s="118"/>
      <c r="F233" s="115"/>
      <c r="G233" s="115"/>
      <c r="H233" s="50" t="s">
        <v>6</v>
      </c>
      <c r="I233" s="85">
        <f>SUM(J233:O233)</f>
        <v>1.32</v>
      </c>
      <c r="J233" s="85">
        <v>0.05</v>
      </c>
      <c r="K233" s="85">
        <v>0.24</v>
      </c>
      <c r="L233" s="85">
        <v>0.5</v>
      </c>
      <c r="M233" s="85">
        <v>0.26</v>
      </c>
      <c r="N233" s="85">
        <v>0.27</v>
      </c>
      <c r="O233" s="85"/>
      <c r="P233" s="115"/>
    </row>
    <row r="234" spans="2:16" outlineLevel="1" x14ac:dyDescent="0.2">
      <c r="B234" s="116"/>
      <c r="C234" s="138"/>
      <c r="D234" s="119"/>
      <c r="E234" s="119"/>
      <c r="F234" s="116"/>
      <c r="G234" s="116"/>
      <c r="H234" s="50" t="s">
        <v>5</v>
      </c>
      <c r="I234" s="85"/>
      <c r="J234" s="85"/>
      <c r="K234" s="85"/>
      <c r="L234" s="85"/>
      <c r="M234" s="85"/>
      <c r="N234" s="85"/>
      <c r="O234" s="85"/>
      <c r="P234" s="116"/>
    </row>
    <row r="235" spans="2:16" ht="42.75" x14ac:dyDescent="0.2">
      <c r="B235" s="128" t="s">
        <v>510</v>
      </c>
      <c r="C235" s="128" t="s">
        <v>38</v>
      </c>
      <c r="D235" s="128" t="s">
        <v>38</v>
      </c>
      <c r="E235" s="128" t="s">
        <v>38</v>
      </c>
      <c r="F235" s="128" t="s">
        <v>38</v>
      </c>
      <c r="G235" s="128" t="s">
        <v>38</v>
      </c>
      <c r="H235" s="84" t="s">
        <v>3</v>
      </c>
      <c r="I235" s="14">
        <f>SUMIF($H$227:$H$234,"Объем*",I$227:I$234)</f>
        <v>49.540000000000006</v>
      </c>
      <c r="J235" s="14">
        <f t="shared" ref="J235:O235" si="102">SUMIF($H$227:$H$234,"Объем*",J$227:J$234)</f>
        <v>5.4399999999999995</v>
      </c>
      <c r="K235" s="14">
        <f t="shared" si="102"/>
        <v>23.400000000000002</v>
      </c>
      <c r="L235" s="14">
        <f t="shared" si="102"/>
        <v>10.06</v>
      </c>
      <c r="M235" s="14">
        <f t="shared" si="102"/>
        <v>5.22</v>
      </c>
      <c r="N235" s="14">
        <f t="shared" si="102"/>
        <v>5.42</v>
      </c>
      <c r="O235" s="14">
        <f t="shared" si="102"/>
        <v>0</v>
      </c>
      <c r="P235" s="128"/>
    </row>
    <row r="236" spans="2:16" ht="15.75" x14ac:dyDescent="0.2">
      <c r="B236" s="129"/>
      <c r="C236" s="129"/>
      <c r="D236" s="129"/>
      <c r="E236" s="129"/>
      <c r="F236" s="129"/>
      <c r="G236" s="129"/>
      <c r="H236" s="84" t="s">
        <v>4</v>
      </c>
      <c r="I236" s="14">
        <f>SUMIF($H$227:$H$234,"фед*",I$227:I$234)</f>
        <v>47.290000000000006</v>
      </c>
      <c r="J236" s="14">
        <f t="shared" ref="J236:O236" si="103">SUMIF($H$227:$H$234,"фед*",J$227:J$234)</f>
        <v>5.39</v>
      </c>
      <c r="K236" s="14">
        <f t="shared" si="103"/>
        <v>22.23</v>
      </c>
      <c r="L236" s="14">
        <f t="shared" si="103"/>
        <v>9.56</v>
      </c>
      <c r="M236" s="14">
        <f t="shared" si="103"/>
        <v>4.96</v>
      </c>
      <c r="N236" s="14">
        <f t="shared" si="103"/>
        <v>5.15</v>
      </c>
      <c r="O236" s="14">
        <f t="shared" si="103"/>
        <v>0</v>
      </c>
      <c r="P236" s="129"/>
    </row>
    <row r="237" spans="2:16" ht="15.75" x14ac:dyDescent="0.2">
      <c r="B237" s="129"/>
      <c r="C237" s="129"/>
      <c r="D237" s="129"/>
      <c r="E237" s="129"/>
      <c r="F237" s="129"/>
      <c r="G237" s="129"/>
      <c r="H237" s="84" t="s">
        <v>6</v>
      </c>
      <c r="I237" s="14">
        <f>SUMIF($H$227:$H$234,"конс*",I$227:I$234)</f>
        <v>2.25</v>
      </c>
      <c r="J237" s="14">
        <f t="shared" ref="J237:O237" si="104">SUMIF($H$227:$H$234,"конс*",J$227:J$234)</f>
        <v>0.05</v>
      </c>
      <c r="K237" s="14">
        <f t="shared" si="104"/>
        <v>1.17</v>
      </c>
      <c r="L237" s="14">
        <f t="shared" si="104"/>
        <v>0.5</v>
      </c>
      <c r="M237" s="14">
        <f t="shared" si="104"/>
        <v>0.26</v>
      </c>
      <c r="N237" s="14">
        <f t="shared" si="104"/>
        <v>0.27</v>
      </c>
      <c r="O237" s="14">
        <f t="shared" si="104"/>
        <v>0</v>
      </c>
      <c r="P237" s="129"/>
    </row>
    <row r="238" spans="2:16" ht="15.75" x14ac:dyDescent="0.2">
      <c r="B238" s="130"/>
      <c r="C238" s="130"/>
      <c r="D238" s="130"/>
      <c r="E238" s="130"/>
      <c r="F238" s="130"/>
      <c r="G238" s="130"/>
      <c r="H238" s="84" t="s">
        <v>5</v>
      </c>
      <c r="I238" s="76">
        <f>SUMIF($H$227:$H$234,"вне*",I$227:I$234)</f>
        <v>0</v>
      </c>
      <c r="J238" s="76">
        <f t="shared" ref="J238:O238" si="105">SUMIF($H$227:$H$234,"вне*",J$227:J$234)</f>
        <v>0</v>
      </c>
      <c r="K238" s="76">
        <f t="shared" si="105"/>
        <v>0</v>
      </c>
      <c r="L238" s="76">
        <f t="shared" si="105"/>
        <v>0</v>
      </c>
      <c r="M238" s="76">
        <f t="shared" si="105"/>
        <v>0</v>
      </c>
      <c r="N238" s="76">
        <f t="shared" si="105"/>
        <v>0</v>
      </c>
      <c r="O238" s="76">
        <f t="shared" si="105"/>
        <v>0</v>
      </c>
      <c r="P238" s="130"/>
    </row>
    <row r="239" spans="2:16" ht="25.5" customHeight="1" x14ac:dyDescent="0.2">
      <c r="B239" s="111" t="s">
        <v>511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3"/>
    </row>
    <row r="240" spans="2:16" ht="42.75" customHeight="1" outlineLevel="1" x14ac:dyDescent="0.2">
      <c r="B240" s="117" t="s">
        <v>953</v>
      </c>
      <c r="C240" s="117"/>
      <c r="D240" s="117" t="s">
        <v>511</v>
      </c>
      <c r="E240" s="117">
        <v>2024</v>
      </c>
      <c r="F240" s="117" t="s">
        <v>976</v>
      </c>
      <c r="G240" s="117"/>
      <c r="H240" s="84" t="s">
        <v>3</v>
      </c>
      <c r="I240" s="85">
        <f>SUM(J240:O240)</f>
        <v>39.200000000000003</v>
      </c>
      <c r="J240" s="83">
        <f t="shared" ref="J240:O240" si="106">J241+J242+J243</f>
        <v>0</v>
      </c>
      <c r="K240" s="83">
        <f t="shared" si="106"/>
        <v>0</v>
      </c>
      <c r="L240" s="83">
        <f t="shared" si="106"/>
        <v>19.23</v>
      </c>
      <c r="M240" s="83">
        <f t="shared" si="106"/>
        <v>19.97</v>
      </c>
      <c r="N240" s="83">
        <f t="shared" si="106"/>
        <v>0</v>
      </c>
      <c r="O240" s="83">
        <f t="shared" si="106"/>
        <v>0</v>
      </c>
      <c r="P240" s="117"/>
    </row>
    <row r="241" spans="2:16" outlineLevel="1" x14ac:dyDescent="0.2">
      <c r="B241" s="118"/>
      <c r="C241" s="118"/>
      <c r="D241" s="118"/>
      <c r="E241" s="118"/>
      <c r="F241" s="118"/>
      <c r="G241" s="118"/>
      <c r="H241" s="84" t="s">
        <v>4</v>
      </c>
      <c r="I241" s="85">
        <f>SUM(J241:O241)</f>
        <v>37.239999999999995</v>
      </c>
      <c r="J241" s="83"/>
      <c r="K241" s="83"/>
      <c r="L241" s="83">
        <v>18.27</v>
      </c>
      <c r="M241" s="83">
        <v>18.97</v>
      </c>
      <c r="N241" s="83"/>
      <c r="O241" s="83"/>
      <c r="P241" s="118"/>
    </row>
    <row r="242" spans="2:16" outlineLevel="1" x14ac:dyDescent="0.2">
      <c r="B242" s="118"/>
      <c r="C242" s="118"/>
      <c r="D242" s="118"/>
      <c r="E242" s="118"/>
      <c r="F242" s="118"/>
      <c r="G242" s="118"/>
      <c r="H242" s="84" t="s">
        <v>6</v>
      </c>
      <c r="I242" s="85">
        <f>SUM(J242:O242)</f>
        <v>1.96</v>
      </c>
      <c r="J242" s="83">
        <v>0</v>
      </c>
      <c r="K242" s="83"/>
      <c r="L242" s="83">
        <v>0.96</v>
      </c>
      <c r="M242" s="83">
        <v>1</v>
      </c>
      <c r="N242" s="83"/>
      <c r="O242" s="83">
        <v>0</v>
      </c>
      <c r="P242" s="118"/>
    </row>
    <row r="243" spans="2:16" outlineLevel="1" x14ac:dyDescent="0.2">
      <c r="B243" s="119"/>
      <c r="C243" s="119"/>
      <c r="D243" s="119"/>
      <c r="E243" s="119"/>
      <c r="F243" s="119"/>
      <c r="G243" s="119"/>
      <c r="H243" s="84" t="s">
        <v>5</v>
      </c>
      <c r="I243" s="13"/>
      <c r="J243" s="13"/>
      <c r="K243" s="13"/>
      <c r="L243" s="13"/>
      <c r="M243" s="13"/>
      <c r="N243" s="13"/>
      <c r="O243" s="13"/>
      <c r="P243" s="119"/>
    </row>
    <row r="244" spans="2:16" ht="42.75" customHeight="1" outlineLevel="1" x14ac:dyDescent="0.2">
      <c r="B244" s="114" t="s">
        <v>951</v>
      </c>
      <c r="C244" s="114"/>
      <c r="D244" s="117" t="s">
        <v>511</v>
      </c>
      <c r="E244" s="117" t="s">
        <v>698</v>
      </c>
      <c r="F244" s="114" t="s">
        <v>956</v>
      </c>
      <c r="G244" s="114"/>
      <c r="H244" s="50" t="s">
        <v>3</v>
      </c>
      <c r="I244" s="58">
        <f>SUM(J244:O244)</f>
        <v>15.5</v>
      </c>
      <c r="J244" s="85">
        <f t="shared" ref="J244:O244" si="107">J245+J246+J247</f>
        <v>5.4399999999999995</v>
      </c>
      <c r="K244" s="85">
        <f t="shared" si="107"/>
        <v>0</v>
      </c>
      <c r="L244" s="85">
        <f t="shared" si="107"/>
        <v>10.06</v>
      </c>
      <c r="M244" s="85">
        <f t="shared" si="107"/>
        <v>0</v>
      </c>
      <c r="N244" s="85">
        <f t="shared" si="107"/>
        <v>0</v>
      </c>
      <c r="O244" s="85">
        <f t="shared" si="107"/>
        <v>0</v>
      </c>
      <c r="P244" s="114"/>
    </row>
    <row r="245" spans="2:16" outlineLevel="1" x14ac:dyDescent="0.2">
      <c r="B245" s="115"/>
      <c r="C245" s="137"/>
      <c r="D245" s="118"/>
      <c r="E245" s="118"/>
      <c r="F245" s="115"/>
      <c r="G245" s="115"/>
      <c r="H245" s="50" t="s">
        <v>4</v>
      </c>
      <c r="I245" s="85">
        <f>SUM(J245:O245)</f>
        <v>14.95</v>
      </c>
      <c r="J245" s="85">
        <v>5.39</v>
      </c>
      <c r="K245" s="85"/>
      <c r="L245" s="85">
        <v>9.56</v>
      </c>
      <c r="M245" s="85"/>
      <c r="N245" s="85"/>
      <c r="O245" s="85"/>
      <c r="P245" s="115"/>
    </row>
    <row r="246" spans="2:16" outlineLevel="1" x14ac:dyDescent="0.2">
      <c r="B246" s="115"/>
      <c r="C246" s="137"/>
      <c r="D246" s="118"/>
      <c r="E246" s="118"/>
      <c r="F246" s="115"/>
      <c r="G246" s="115"/>
      <c r="H246" s="50" t="s">
        <v>6</v>
      </c>
      <c r="I246" s="85">
        <f>SUM(J246:O246)</f>
        <v>0.55000000000000004</v>
      </c>
      <c r="J246" s="85">
        <v>0.05</v>
      </c>
      <c r="K246" s="85"/>
      <c r="L246" s="85">
        <v>0.5</v>
      </c>
      <c r="M246" s="85"/>
      <c r="N246" s="85"/>
      <c r="O246" s="85"/>
      <c r="P246" s="115"/>
    </row>
    <row r="247" spans="2:16" outlineLevel="1" x14ac:dyDescent="0.2">
      <c r="B247" s="116"/>
      <c r="C247" s="138"/>
      <c r="D247" s="119"/>
      <c r="E247" s="119"/>
      <c r="F247" s="116"/>
      <c r="G247" s="116"/>
      <c r="H247" s="50" t="s">
        <v>5</v>
      </c>
      <c r="I247" s="85"/>
      <c r="J247" s="85"/>
      <c r="K247" s="85"/>
      <c r="L247" s="85"/>
      <c r="M247" s="85"/>
      <c r="N247" s="85"/>
      <c r="O247" s="85"/>
      <c r="P247" s="116"/>
    </row>
    <row r="248" spans="2:16" ht="42.75" x14ac:dyDescent="0.2">
      <c r="B248" s="128" t="s">
        <v>519</v>
      </c>
      <c r="C248" s="128" t="s">
        <v>38</v>
      </c>
      <c r="D248" s="128" t="s">
        <v>38</v>
      </c>
      <c r="E248" s="128" t="s">
        <v>38</v>
      </c>
      <c r="F248" s="128" t="s">
        <v>38</v>
      </c>
      <c r="G248" s="128" t="s">
        <v>38</v>
      </c>
      <c r="H248" s="84" t="s">
        <v>3</v>
      </c>
      <c r="I248" s="14">
        <f>SUMIF($H$240:$H$247,"Объем*",I$240:I$247)</f>
        <v>54.7</v>
      </c>
      <c r="J248" s="14">
        <f t="shared" ref="J248:O248" si="108">SUMIF($H$240:$H$247,"Объем*",J$240:J$247)</f>
        <v>5.4399999999999995</v>
      </c>
      <c r="K248" s="14">
        <f t="shared" si="108"/>
        <v>0</v>
      </c>
      <c r="L248" s="14">
        <f t="shared" si="108"/>
        <v>29.29</v>
      </c>
      <c r="M248" s="14">
        <f t="shared" si="108"/>
        <v>19.97</v>
      </c>
      <c r="N248" s="14">
        <f t="shared" si="108"/>
        <v>0</v>
      </c>
      <c r="O248" s="14">
        <f t="shared" si="108"/>
        <v>0</v>
      </c>
      <c r="P248" s="128"/>
    </row>
    <row r="249" spans="2:16" ht="15.75" x14ac:dyDescent="0.2">
      <c r="B249" s="129"/>
      <c r="C249" s="129"/>
      <c r="D249" s="129"/>
      <c r="E249" s="129"/>
      <c r="F249" s="129"/>
      <c r="G249" s="129"/>
      <c r="H249" s="84" t="s">
        <v>4</v>
      </c>
      <c r="I249" s="14">
        <f>SUMIF($H$240:$H$247,"фед*",I$240:I$247)</f>
        <v>52.19</v>
      </c>
      <c r="J249" s="14">
        <f t="shared" ref="J249:O249" si="109">SUMIF($H$240:$H$247,"фед*",J$240:J$247)</f>
        <v>5.39</v>
      </c>
      <c r="K249" s="14">
        <f t="shared" si="109"/>
        <v>0</v>
      </c>
      <c r="L249" s="14">
        <f t="shared" si="109"/>
        <v>27.83</v>
      </c>
      <c r="M249" s="14">
        <f t="shared" si="109"/>
        <v>18.97</v>
      </c>
      <c r="N249" s="14">
        <f t="shared" si="109"/>
        <v>0</v>
      </c>
      <c r="O249" s="14">
        <f t="shared" si="109"/>
        <v>0</v>
      </c>
      <c r="P249" s="129"/>
    </row>
    <row r="250" spans="2:16" ht="15.75" x14ac:dyDescent="0.2">
      <c r="B250" s="129"/>
      <c r="C250" s="129"/>
      <c r="D250" s="129"/>
      <c r="E250" s="129"/>
      <c r="F250" s="129"/>
      <c r="G250" s="129"/>
      <c r="H250" s="84" t="s">
        <v>6</v>
      </c>
      <c r="I250" s="14">
        <f>SUMIF($H$240:$H$247,"конс*",I$240:I$247)</f>
        <v>2.5099999999999998</v>
      </c>
      <c r="J250" s="14">
        <f t="shared" ref="J250:O250" si="110">SUMIF($H$240:$H$247,"конс*",J$240:J$247)</f>
        <v>0.05</v>
      </c>
      <c r="K250" s="14">
        <f t="shared" si="110"/>
        <v>0</v>
      </c>
      <c r="L250" s="14">
        <f t="shared" si="110"/>
        <v>1.46</v>
      </c>
      <c r="M250" s="14">
        <f t="shared" si="110"/>
        <v>1</v>
      </c>
      <c r="N250" s="14">
        <f t="shared" si="110"/>
        <v>0</v>
      </c>
      <c r="O250" s="14">
        <f t="shared" si="110"/>
        <v>0</v>
      </c>
      <c r="P250" s="129"/>
    </row>
    <row r="251" spans="2:16" ht="15.75" x14ac:dyDescent="0.2">
      <c r="B251" s="130"/>
      <c r="C251" s="130"/>
      <c r="D251" s="130"/>
      <c r="E251" s="130"/>
      <c r="F251" s="130"/>
      <c r="G251" s="130"/>
      <c r="H251" s="84" t="s">
        <v>5</v>
      </c>
      <c r="I251" s="76">
        <f>SUMIF($H$240:$H$247,"вне*",I$240:I$247)</f>
        <v>0</v>
      </c>
      <c r="J251" s="76">
        <f t="shared" ref="J251:O251" si="111">SUMIF($H$240:$H$247,"вне*",J$240:J$247)</f>
        <v>0</v>
      </c>
      <c r="K251" s="76">
        <f t="shared" si="111"/>
        <v>0</v>
      </c>
      <c r="L251" s="76">
        <f t="shared" si="111"/>
        <v>0</v>
      </c>
      <c r="M251" s="76">
        <f t="shared" si="111"/>
        <v>0</v>
      </c>
      <c r="N251" s="76">
        <f t="shared" si="111"/>
        <v>0</v>
      </c>
      <c r="O251" s="76">
        <f t="shared" si="111"/>
        <v>0</v>
      </c>
      <c r="P251" s="130"/>
    </row>
    <row r="252" spans="2:16" ht="25.5" customHeight="1" x14ac:dyDescent="0.2">
      <c r="B252" s="111" t="s">
        <v>520</v>
      </c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3"/>
    </row>
    <row r="253" spans="2:16" ht="42.75" customHeight="1" outlineLevel="1" x14ac:dyDescent="0.2">
      <c r="B253" s="117" t="s">
        <v>953</v>
      </c>
      <c r="C253" s="117"/>
      <c r="D253" s="117" t="s">
        <v>520</v>
      </c>
      <c r="E253" s="117" t="s">
        <v>50</v>
      </c>
      <c r="F253" s="117" t="s">
        <v>976</v>
      </c>
      <c r="G253" s="117"/>
      <c r="H253" s="84" t="s">
        <v>3</v>
      </c>
      <c r="I253" s="85">
        <f>SUM(J253:O253)</f>
        <v>37.78</v>
      </c>
      <c r="J253" s="83">
        <f t="shared" ref="J253:O253" si="112">J254+J255+J256</f>
        <v>0</v>
      </c>
      <c r="K253" s="83">
        <f t="shared" si="112"/>
        <v>18.55</v>
      </c>
      <c r="L253" s="83">
        <f t="shared" si="112"/>
        <v>19.23</v>
      </c>
      <c r="M253" s="83">
        <f t="shared" si="112"/>
        <v>0</v>
      </c>
      <c r="N253" s="83">
        <f t="shared" si="112"/>
        <v>0</v>
      </c>
      <c r="O253" s="83">
        <f t="shared" si="112"/>
        <v>0</v>
      </c>
      <c r="P253" s="117"/>
    </row>
    <row r="254" spans="2:16" outlineLevel="1" x14ac:dyDescent="0.2">
      <c r="B254" s="118"/>
      <c r="C254" s="118"/>
      <c r="D254" s="118"/>
      <c r="E254" s="118"/>
      <c r="F254" s="118"/>
      <c r="G254" s="118"/>
      <c r="H254" s="84" t="s">
        <v>4</v>
      </c>
      <c r="I254" s="85">
        <f>SUM(J254:O254)</f>
        <v>35.89</v>
      </c>
      <c r="J254" s="83"/>
      <c r="K254" s="83">
        <v>17.62</v>
      </c>
      <c r="L254" s="83">
        <v>18.27</v>
      </c>
      <c r="M254" s="83"/>
      <c r="N254" s="83"/>
      <c r="O254" s="83"/>
      <c r="P254" s="118"/>
    </row>
    <row r="255" spans="2:16" outlineLevel="1" x14ac:dyDescent="0.2">
      <c r="B255" s="118"/>
      <c r="C255" s="118"/>
      <c r="D255" s="118"/>
      <c r="E255" s="118"/>
      <c r="F255" s="118"/>
      <c r="G255" s="118"/>
      <c r="H255" s="84" t="s">
        <v>6</v>
      </c>
      <c r="I255" s="85">
        <f>SUM(J255:O255)</f>
        <v>1.8900000000000001</v>
      </c>
      <c r="J255" s="83">
        <v>0</v>
      </c>
      <c r="K255" s="83">
        <v>0.93</v>
      </c>
      <c r="L255" s="83">
        <v>0.96</v>
      </c>
      <c r="M255" s="83"/>
      <c r="N255" s="83"/>
      <c r="O255" s="83">
        <v>0</v>
      </c>
      <c r="P255" s="118"/>
    </row>
    <row r="256" spans="2:16" outlineLevel="1" x14ac:dyDescent="0.2">
      <c r="B256" s="119"/>
      <c r="C256" s="119"/>
      <c r="D256" s="119"/>
      <c r="E256" s="119"/>
      <c r="F256" s="119"/>
      <c r="G256" s="119"/>
      <c r="H256" s="84" t="s">
        <v>5</v>
      </c>
      <c r="I256" s="13"/>
      <c r="J256" s="13"/>
      <c r="K256" s="13"/>
      <c r="L256" s="13"/>
      <c r="M256" s="13"/>
      <c r="N256" s="13"/>
      <c r="O256" s="13"/>
      <c r="P256" s="119"/>
    </row>
    <row r="257" spans="2:16" ht="42.75" customHeight="1" outlineLevel="1" x14ac:dyDescent="0.2">
      <c r="B257" s="114" t="s">
        <v>951</v>
      </c>
      <c r="C257" s="114"/>
      <c r="D257" s="117" t="s">
        <v>520</v>
      </c>
      <c r="E257" s="117" t="s">
        <v>209</v>
      </c>
      <c r="F257" s="114" t="s">
        <v>956</v>
      </c>
      <c r="G257" s="114"/>
      <c r="H257" s="50" t="s">
        <v>3</v>
      </c>
      <c r="I257" s="58">
        <f>SUM(J257:O257)</f>
        <v>16.07</v>
      </c>
      <c r="J257" s="85">
        <f t="shared" ref="J257:O257" si="113">J258+J259+J260</f>
        <v>0</v>
      </c>
      <c r="K257" s="85">
        <f t="shared" si="113"/>
        <v>0</v>
      </c>
      <c r="L257" s="85">
        <f t="shared" si="113"/>
        <v>0</v>
      </c>
      <c r="M257" s="85">
        <f t="shared" si="113"/>
        <v>5.22</v>
      </c>
      <c r="N257" s="85">
        <f t="shared" si="113"/>
        <v>10.850000000000001</v>
      </c>
      <c r="O257" s="85">
        <f t="shared" si="113"/>
        <v>0</v>
      </c>
      <c r="P257" s="114"/>
    </row>
    <row r="258" spans="2:16" outlineLevel="1" x14ac:dyDescent="0.2">
      <c r="B258" s="115"/>
      <c r="C258" s="137"/>
      <c r="D258" s="118"/>
      <c r="E258" s="118"/>
      <c r="F258" s="115"/>
      <c r="G258" s="115"/>
      <c r="H258" s="50" t="s">
        <v>4</v>
      </c>
      <c r="I258" s="85">
        <f>SUM(J258:O258)</f>
        <v>15.27</v>
      </c>
      <c r="J258" s="85"/>
      <c r="K258" s="85"/>
      <c r="L258" s="85"/>
      <c r="M258" s="85">
        <v>4.96</v>
      </c>
      <c r="N258" s="85">
        <v>10.31</v>
      </c>
      <c r="O258" s="85"/>
      <c r="P258" s="115"/>
    </row>
    <row r="259" spans="2:16" outlineLevel="1" x14ac:dyDescent="0.2">
      <c r="B259" s="115"/>
      <c r="C259" s="137"/>
      <c r="D259" s="118"/>
      <c r="E259" s="118"/>
      <c r="F259" s="115"/>
      <c r="G259" s="115"/>
      <c r="H259" s="50" t="s">
        <v>6</v>
      </c>
      <c r="I259" s="85">
        <f>SUM(J259:O259)</f>
        <v>0.8</v>
      </c>
      <c r="J259" s="85"/>
      <c r="K259" s="85"/>
      <c r="L259" s="85"/>
      <c r="M259" s="85">
        <v>0.26</v>
      </c>
      <c r="N259" s="85">
        <v>0.54</v>
      </c>
      <c r="O259" s="85"/>
      <c r="P259" s="115"/>
    </row>
    <row r="260" spans="2:16" outlineLevel="1" x14ac:dyDescent="0.2">
      <c r="B260" s="116"/>
      <c r="C260" s="138"/>
      <c r="D260" s="119"/>
      <c r="E260" s="119"/>
      <c r="F260" s="116"/>
      <c r="G260" s="116"/>
      <c r="H260" s="50" t="s">
        <v>5</v>
      </c>
      <c r="I260" s="85"/>
      <c r="J260" s="85"/>
      <c r="K260" s="85"/>
      <c r="L260" s="85"/>
      <c r="M260" s="85"/>
      <c r="N260" s="85"/>
      <c r="O260" s="85"/>
      <c r="P260" s="116"/>
    </row>
    <row r="261" spans="2:16" ht="42.75" x14ac:dyDescent="0.2">
      <c r="B261" s="128" t="s">
        <v>530</v>
      </c>
      <c r="C261" s="128" t="s">
        <v>38</v>
      </c>
      <c r="D261" s="128" t="s">
        <v>38</v>
      </c>
      <c r="E261" s="128" t="s">
        <v>38</v>
      </c>
      <c r="F261" s="128" t="s">
        <v>38</v>
      </c>
      <c r="G261" s="128" t="s">
        <v>38</v>
      </c>
      <c r="H261" s="84" t="s">
        <v>3</v>
      </c>
      <c r="I261" s="14">
        <f>SUMIF($H$253:$H$260,"Объем*",I$253:I$260)</f>
        <v>53.85</v>
      </c>
      <c r="J261" s="14">
        <f t="shared" ref="J261:O261" si="114">SUMIF($H$253:$H$260,"Объем*",J$253:J$260)</f>
        <v>0</v>
      </c>
      <c r="K261" s="14">
        <f t="shared" si="114"/>
        <v>18.55</v>
      </c>
      <c r="L261" s="14">
        <f t="shared" si="114"/>
        <v>19.23</v>
      </c>
      <c r="M261" s="14">
        <f t="shared" si="114"/>
        <v>5.22</v>
      </c>
      <c r="N261" s="14">
        <f t="shared" si="114"/>
        <v>10.850000000000001</v>
      </c>
      <c r="O261" s="14">
        <f t="shared" si="114"/>
        <v>0</v>
      </c>
      <c r="P261" s="128"/>
    </row>
    <row r="262" spans="2:16" ht="15.75" x14ac:dyDescent="0.2">
      <c r="B262" s="129"/>
      <c r="C262" s="129"/>
      <c r="D262" s="129"/>
      <c r="E262" s="129"/>
      <c r="F262" s="129"/>
      <c r="G262" s="129"/>
      <c r="H262" s="84" t="s">
        <v>4</v>
      </c>
      <c r="I262" s="14">
        <f>SUMIF($H$253:$H$260,"фед*",I$253:I$260)</f>
        <v>51.16</v>
      </c>
      <c r="J262" s="14">
        <f t="shared" ref="J262:O262" si="115">SUMIF($H$253:$H$260,"фед*",J$253:J$260)</f>
        <v>0</v>
      </c>
      <c r="K262" s="14">
        <f t="shared" si="115"/>
        <v>17.62</v>
      </c>
      <c r="L262" s="14">
        <f t="shared" si="115"/>
        <v>18.27</v>
      </c>
      <c r="M262" s="14">
        <f t="shared" si="115"/>
        <v>4.96</v>
      </c>
      <c r="N262" s="14">
        <f t="shared" si="115"/>
        <v>10.31</v>
      </c>
      <c r="O262" s="14">
        <f t="shared" si="115"/>
        <v>0</v>
      </c>
      <c r="P262" s="129"/>
    </row>
    <row r="263" spans="2:16" ht="15.75" x14ac:dyDescent="0.2">
      <c r="B263" s="129"/>
      <c r="C263" s="129"/>
      <c r="D263" s="129"/>
      <c r="E263" s="129"/>
      <c r="F263" s="129"/>
      <c r="G263" s="129"/>
      <c r="H263" s="84" t="s">
        <v>6</v>
      </c>
      <c r="I263" s="14">
        <f>SUMIF($H$253:$H$260,"конс*",I$253:I$260)</f>
        <v>2.6900000000000004</v>
      </c>
      <c r="J263" s="14">
        <f t="shared" ref="J263:O263" si="116">SUMIF($H$253:$H$260,"конс*",J$253:J$260)</f>
        <v>0</v>
      </c>
      <c r="K263" s="14">
        <f t="shared" si="116"/>
        <v>0.93</v>
      </c>
      <c r="L263" s="14">
        <f t="shared" si="116"/>
        <v>0.96</v>
      </c>
      <c r="M263" s="14">
        <f t="shared" si="116"/>
        <v>0.26</v>
      </c>
      <c r="N263" s="14">
        <f t="shared" si="116"/>
        <v>0.54</v>
      </c>
      <c r="O263" s="14">
        <f t="shared" si="116"/>
        <v>0</v>
      </c>
      <c r="P263" s="129"/>
    </row>
    <row r="264" spans="2:16" ht="15.75" x14ac:dyDescent="0.2">
      <c r="B264" s="130"/>
      <c r="C264" s="130"/>
      <c r="D264" s="130"/>
      <c r="E264" s="130"/>
      <c r="F264" s="130"/>
      <c r="G264" s="130"/>
      <c r="H264" s="84" t="s">
        <v>5</v>
      </c>
      <c r="I264" s="76">
        <f>SUMIF($H$253:$H$260,"вне*",I$253:I$260)</f>
        <v>0</v>
      </c>
      <c r="J264" s="76">
        <f t="shared" ref="J264:O264" si="117">SUMIF($H$253:$H$260,"вне*",J$253:J$260)</f>
        <v>0</v>
      </c>
      <c r="K264" s="76">
        <f t="shared" si="117"/>
        <v>0</v>
      </c>
      <c r="L264" s="76">
        <f t="shared" si="117"/>
        <v>0</v>
      </c>
      <c r="M264" s="76">
        <f t="shared" si="117"/>
        <v>0</v>
      </c>
      <c r="N264" s="76">
        <f t="shared" si="117"/>
        <v>0</v>
      </c>
      <c r="O264" s="76">
        <f t="shared" si="117"/>
        <v>0</v>
      </c>
      <c r="P264" s="130"/>
    </row>
    <row r="265" spans="2:16" ht="16.5" x14ac:dyDescent="0.2">
      <c r="B265" s="111" t="s">
        <v>531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3"/>
    </row>
    <row r="266" spans="2:16" ht="42.75" customHeight="1" outlineLevel="1" x14ac:dyDescent="0.2">
      <c r="B266" s="117" t="s">
        <v>953</v>
      </c>
      <c r="C266" s="117"/>
      <c r="D266" s="117" t="s">
        <v>531</v>
      </c>
      <c r="E266" s="117">
        <v>2021</v>
      </c>
      <c r="F266" s="117" t="s">
        <v>955</v>
      </c>
      <c r="G266" s="117"/>
      <c r="H266" s="84" t="s">
        <v>3</v>
      </c>
      <c r="I266" s="85">
        <f>SUM(J266:O266)</f>
        <v>18.55</v>
      </c>
      <c r="J266" s="83">
        <f t="shared" ref="J266:O266" si="118">J267+J268+J269</f>
        <v>0</v>
      </c>
      <c r="K266" s="83">
        <f t="shared" si="118"/>
        <v>18.55</v>
      </c>
      <c r="L266" s="83">
        <f t="shared" si="118"/>
        <v>0</v>
      </c>
      <c r="M266" s="83">
        <f t="shared" si="118"/>
        <v>0</v>
      </c>
      <c r="N266" s="83">
        <f t="shared" si="118"/>
        <v>0</v>
      </c>
      <c r="O266" s="83">
        <f t="shared" si="118"/>
        <v>0</v>
      </c>
      <c r="P266" s="117"/>
    </row>
    <row r="267" spans="2:16" outlineLevel="1" x14ac:dyDescent="0.2">
      <c r="B267" s="118"/>
      <c r="C267" s="118"/>
      <c r="D267" s="118"/>
      <c r="E267" s="118"/>
      <c r="F267" s="118"/>
      <c r="G267" s="118"/>
      <c r="H267" s="84" t="s">
        <v>4</v>
      </c>
      <c r="I267" s="85">
        <f>SUM(J267:O267)</f>
        <v>17.62</v>
      </c>
      <c r="J267" s="83"/>
      <c r="K267" s="83">
        <v>17.62</v>
      </c>
      <c r="L267" s="83"/>
      <c r="M267" s="83"/>
      <c r="N267" s="83"/>
      <c r="O267" s="83"/>
      <c r="P267" s="118"/>
    </row>
    <row r="268" spans="2:16" outlineLevel="1" x14ac:dyDescent="0.2">
      <c r="B268" s="118"/>
      <c r="C268" s="118"/>
      <c r="D268" s="118"/>
      <c r="E268" s="118"/>
      <c r="F268" s="118"/>
      <c r="G268" s="118"/>
      <c r="H268" s="84" t="s">
        <v>6</v>
      </c>
      <c r="I268" s="85">
        <f>SUM(J268:O268)</f>
        <v>0.93</v>
      </c>
      <c r="J268" s="83">
        <v>0</v>
      </c>
      <c r="K268" s="83">
        <v>0.93</v>
      </c>
      <c r="L268" s="83">
        <v>0</v>
      </c>
      <c r="M268" s="83">
        <v>0</v>
      </c>
      <c r="N268" s="83">
        <v>0</v>
      </c>
      <c r="O268" s="83">
        <v>0</v>
      </c>
      <c r="P268" s="118"/>
    </row>
    <row r="269" spans="2:16" outlineLevel="1" x14ac:dyDescent="0.2">
      <c r="B269" s="119"/>
      <c r="C269" s="119"/>
      <c r="D269" s="119"/>
      <c r="E269" s="119"/>
      <c r="F269" s="119"/>
      <c r="G269" s="119"/>
      <c r="H269" s="84" t="s">
        <v>5</v>
      </c>
      <c r="P269" s="119"/>
    </row>
    <row r="270" spans="2:16" ht="42.75" x14ac:dyDescent="0.2">
      <c r="B270" s="128" t="s">
        <v>539</v>
      </c>
      <c r="C270" s="128" t="s">
        <v>38</v>
      </c>
      <c r="D270" s="128" t="s">
        <v>38</v>
      </c>
      <c r="E270" s="128" t="s">
        <v>38</v>
      </c>
      <c r="F270" s="128" t="s">
        <v>38</v>
      </c>
      <c r="G270" s="128" t="s">
        <v>38</v>
      </c>
      <c r="H270" s="84" t="s">
        <v>3</v>
      </c>
      <c r="I270" s="14">
        <f>SUMIF($H$266:$H$269,"Объем*",I$266:I$269)</f>
        <v>18.55</v>
      </c>
      <c r="J270" s="14">
        <f t="shared" ref="J270:O270" si="119">SUMIF($H$266:$H$269,"Объем*",J$266:J$269)</f>
        <v>0</v>
      </c>
      <c r="K270" s="14">
        <f t="shared" si="119"/>
        <v>18.55</v>
      </c>
      <c r="L270" s="14">
        <f t="shared" si="119"/>
        <v>0</v>
      </c>
      <c r="M270" s="14">
        <f t="shared" si="119"/>
        <v>0</v>
      </c>
      <c r="N270" s="14">
        <f t="shared" si="119"/>
        <v>0</v>
      </c>
      <c r="O270" s="14">
        <f t="shared" si="119"/>
        <v>0</v>
      </c>
      <c r="P270" s="128"/>
    </row>
    <row r="271" spans="2:16" ht="15.75" x14ac:dyDescent="0.2">
      <c r="B271" s="129"/>
      <c r="C271" s="129"/>
      <c r="D271" s="129"/>
      <c r="E271" s="129"/>
      <c r="F271" s="129"/>
      <c r="G271" s="129"/>
      <c r="H271" s="84" t="s">
        <v>4</v>
      </c>
      <c r="I271" s="14">
        <f>SUMIF($H$266:$H$269,"фед*",I$266:I$269)</f>
        <v>17.62</v>
      </c>
      <c r="J271" s="14">
        <f t="shared" ref="J271:O271" si="120">SUMIF($H$266:$H$269,"фед*",J$266:J$269)</f>
        <v>0</v>
      </c>
      <c r="K271" s="14">
        <f t="shared" si="120"/>
        <v>17.62</v>
      </c>
      <c r="L271" s="14">
        <f t="shared" si="120"/>
        <v>0</v>
      </c>
      <c r="M271" s="14">
        <f t="shared" si="120"/>
        <v>0</v>
      </c>
      <c r="N271" s="14">
        <f t="shared" si="120"/>
        <v>0</v>
      </c>
      <c r="O271" s="14">
        <f t="shared" si="120"/>
        <v>0</v>
      </c>
      <c r="P271" s="129"/>
    </row>
    <row r="272" spans="2:16" ht="15.75" x14ac:dyDescent="0.2">
      <c r="B272" s="129"/>
      <c r="C272" s="129"/>
      <c r="D272" s="129"/>
      <c r="E272" s="129"/>
      <c r="F272" s="129"/>
      <c r="G272" s="129"/>
      <c r="H272" s="84" t="s">
        <v>6</v>
      </c>
      <c r="I272" s="14">
        <f>SUMIF($H$266:$H$269,"конс*",I$266:I$269)</f>
        <v>0.93</v>
      </c>
      <c r="J272" s="14">
        <f t="shared" ref="J272:O272" si="121">SUMIF($H$266:$H$269,"конс*",J$266:J$269)</f>
        <v>0</v>
      </c>
      <c r="K272" s="14">
        <f t="shared" si="121"/>
        <v>0.93</v>
      </c>
      <c r="L272" s="14">
        <f t="shared" si="121"/>
        <v>0</v>
      </c>
      <c r="M272" s="14">
        <f t="shared" si="121"/>
        <v>0</v>
      </c>
      <c r="N272" s="14">
        <f t="shared" si="121"/>
        <v>0</v>
      </c>
      <c r="O272" s="14">
        <f t="shared" si="121"/>
        <v>0</v>
      </c>
      <c r="P272" s="129"/>
    </row>
    <row r="273" spans="2:16" ht="15.75" x14ac:dyDescent="0.2">
      <c r="B273" s="130"/>
      <c r="C273" s="130"/>
      <c r="D273" s="130"/>
      <c r="E273" s="130"/>
      <c r="F273" s="130"/>
      <c r="G273" s="130"/>
      <c r="H273" s="84" t="s">
        <v>5</v>
      </c>
      <c r="I273" s="76">
        <f>SUMIF($H$266:$H$269,"вне*",I$266:I$269)</f>
        <v>0</v>
      </c>
      <c r="J273" s="76">
        <f t="shared" ref="J273:O273" si="122">SUMIF($H$266:$H$269,"вне*",J$266:J$269)</f>
        <v>0</v>
      </c>
      <c r="K273" s="76">
        <f t="shared" si="122"/>
        <v>0</v>
      </c>
      <c r="L273" s="76">
        <f t="shared" si="122"/>
        <v>0</v>
      </c>
      <c r="M273" s="76">
        <f t="shared" si="122"/>
        <v>0</v>
      </c>
      <c r="N273" s="76">
        <f t="shared" si="122"/>
        <v>0</v>
      </c>
      <c r="O273" s="76">
        <f t="shared" si="122"/>
        <v>0</v>
      </c>
      <c r="P273" s="130"/>
    </row>
    <row r="274" spans="2:16" ht="25.5" customHeight="1" x14ac:dyDescent="0.2">
      <c r="B274" s="111" t="s">
        <v>540</v>
      </c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3"/>
    </row>
    <row r="275" spans="2:16" ht="42.75" customHeight="1" outlineLevel="1" x14ac:dyDescent="0.2">
      <c r="B275" s="117" t="s">
        <v>953</v>
      </c>
      <c r="C275" s="117"/>
      <c r="D275" s="117" t="s">
        <v>540</v>
      </c>
      <c r="E275" s="117">
        <v>2021</v>
      </c>
      <c r="F275" s="117" t="s">
        <v>955</v>
      </c>
      <c r="G275" s="117"/>
      <c r="H275" s="84" t="s">
        <v>3</v>
      </c>
      <c r="I275" s="85">
        <f>SUM(J275:O275)</f>
        <v>18.55</v>
      </c>
      <c r="J275" s="83">
        <f t="shared" ref="J275:O275" si="123">J276+J277+J278</f>
        <v>0</v>
      </c>
      <c r="K275" s="83">
        <f t="shared" si="123"/>
        <v>18.55</v>
      </c>
      <c r="L275" s="83">
        <f t="shared" si="123"/>
        <v>0</v>
      </c>
      <c r="M275" s="83">
        <f t="shared" si="123"/>
        <v>0</v>
      </c>
      <c r="N275" s="83">
        <f t="shared" si="123"/>
        <v>0</v>
      </c>
      <c r="O275" s="83">
        <f t="shared" si="123"/>
        <v>0</v>
      </c>
      <c r="P275" s="117"/>
    </row>
    <row r="276" spans="2:16" outlineLevel="1" x14ac:dyDescent="0.2">
      <c r="B276" s="118"/>
      <c r="C276" s="118"/>
      <c r="D276" s="118"/>
      <c r="E276" s="118"/>
      <c r="F276" s="118"/>
      <c r="G276" s="118"/>
      <c r="H276" s="84" t="s">
        <v>4</v>
      </c>
      <c r="I276" s="85">
        <f>SUM(J276:O276)</f>
        <v>17.62</v>
      </c>
      <c r="J276" s="83"/>
      <c r="K276" s="83">
        <v>17.62</v>
      </c>
      <c r="L276" s="83"/>
      <c r="M276" s="83"/>
      <c r="N276" s="83"/>
      <c r="O276" s="83"/>
      <c r="P276" s="118"/>
    </row>
    <row r="277" spans="2:16" outlineLevel="1" x14ac:dyDescent="0.2">
      <c r="B277" s="118"/>
      <c r="C277" s="118"/>
      <c r="D277" s="118"/>
      <c r="E277" s="118"/>
      <c r="F277" s="118"/>
      <c r="G277" s="118"/>
      <c r="H277" s="84" t="s">
        <v>6</v>
      </c>
      <c r="I277" s="85">
        <f>SUM(J277:O277)</f>
        <v>0.93</v>
      </c>
      <c r="J277" s="83">
        <v>0</v>
      </c>
      <c r="K277" s="83">
        <v>0.93</v>
      </c>
      <c r="L277" s="83"/>
      <c r="M277" s="83"/>
      <c r="N277" s="83"/>
      <c r="O277" s="83">
        <v>0</v>
      </c>
      <c r="P277" s="118"/>
    </row>
    <row r="278" spans="2:16" outlineLevel="1" x14ac:dyDescent="0.2">
      <c r="B278" s="119"/>
      <c r="C278" s="119"/>
      <c r="D278" s="119"/>
      <c r="E278" s="119"/>
      <c r="F278" s="119"/>
      <c r="G278" s="119"/>
      <c r="H278" s="84" t="s">
        <v>5</v>
      </c>
      <c r="I278" s="13"/>
      <c r="J278" s="13"/>
      <c r="K278" s="13"/>
      <c r="L278" s="13"/>
      <c r="M278" s="13"/>
      <c r="N278" s="13"/>
      <c r="O278" s="13"/>
      <c r="P278" s="119"/>
    </row>
    <row r="279" spans="2:16" ht="42.75" x14ac:dyDescent="0.2">
      <c r="B279" s="128" t="s">
        <v>556</v>
      </c>
      <c r="C279" s="128" t="s">
        <v>38</v>
      </c>
      <c r="D279" s="128" t="s">
        <v>38</v>
      </c>
      <c r="E279" s="128" t="s">
        <v>38</v>
      </c>
      <c r="F279" s="128" t="s">
        <v>38</v>
      </c>
      <c r="G279" s="128" t="s">
        <v>38</v>
      </c>
      <c r="H279" s="84" t="s">
        <v>3</v>
      </c>
      <c r="I279" s="14">
        <f>SUMIF($H$275:$H$278,"Объем*",I$275:I$278)</f>
        <v>18.55</v>
      </c>
      <c r="J279" s="14">
        <f t="shared" ref="J279:O279" si="124">SUMIF($H$275:$H$278,"Объем*",J$275:J$278)</f>
        <v>0</v>
      </c>
      <c r="K279" s="14">
        <f t="shared" si="124"/>
        <v>18.55</v>
      </c>
      <c r="L279" s="14">
        <f t="shared" si="124"/>
        <v>0</v>
      </c>
      <c r="M279" s="14">
        <f t="shared" si="124"/>
        <v>0</v>
      </c>
      <c r="N279" s="14">
        <f t="shared" si="124"/>
        <v>0</v>
      </c>
      <c r="O279" s="14">
        <f t="shared" si="124"/>
        <v>0</v>
      </c>
      <c r="P279" s="128"/>
    </row>
    <row r="280" spans="2:16" ht="15.75" x14ac:dyDescent="0.2">
      <c r="B280" s="129"/>
      <c r="C280" s="129"/>
      <c r="D280" s="129"/>
      <c r="E280" s="129"/>
      <c r="F280" s="129"/>
      <c r="G280" s="129"/>
      <c r="H280" s="84" t="s">
        <v>4</v>
      </c>
      <c r="I280" s="14">
        <f>SUMIF($H$275:$H$278,"фед*",I$275:I$278)</f>
        <v>17.62</v>
      </c>
      <c r="J280" s="14">
        <f t="shared" ref="J280:O280" si="125">SUMIF($H$275:$H$278,"фед*",J$275:J$278)</f>
        <v>0</v>
      </c>
      <c r="K280" s="14">
        <f t="shared" si="125"/>
        <v>17.62</v>
      </c>
      <c r="L280" s="14">
        <f t="shared" si="125"/>
        <v>0</v>
      </c>
      <c r="M280" s="14">
        <f t="shared" si="125"/>
        <v>0</v>
      </c>
      <c r="N280" s="14">
        <f t="shared" si="125"/>
        <v>0</v>
      </c>
      <c r="O280" s="14">
        <f t="shared" si="125"/>
        <v>0</v>
      </c>
      <c r="P280" s="129"/>
    </row>
    <row r="281" spans="2:16" ht="15.75" x14ac:dyDescent="0.2">
      <c r="B281" s="129"/>
      <c r="C281" s="129"/>
      <c r="D281" s="129"/>
      <c r="E281" s="129"/>
      <c r="F281" s="129"/>
      <c r="G281" s="129"/>
      <c r="H281" s="84" t="s">
        <v>6</v>
      </c>
      <c r="I281" s="14">
        <f>SUMIF($H$275:$H$278,"конс*",I$275:I$278)</f>
        <v>0.93</v>
      </c>
      <c r="J281" s="14">
        <f t="shared" ref="J281:O281" si="126">SUMIF($H$275:$H$278,"конс*",J$275:J$278)</f>
        <v>0</v>
      </c>
      <c r="K281" s="14">
        <f t="shared" si="126"/>
        <v>0.93</v>
      </c>
      <c r="L281" s="14">
        <f t="shared" si="126"/>
        <v>0</v>
      </c>
      <c r="M281" s="14">
        <f t="shared" si="126"/>
        <v>0</v>
      </c>
      <c r="N281" s="14">
        <f t="shared" si="126"/>
        <v>0</v>
      </c>
      <c r="O281" s="14">
        <f t="shared" si="126"/>
        <v>0</v>
      </c>
      <c r="P281" s="129"/>
    </row>
    <row r="282" spans="2:16" ht="15.75" x14ac:dyDescent="0.2">
      <c r="B282" s="130"/>
      <c r="C282" s="130"/>
      <c r="D282" s="130"/>
      <c r="E282" s="130"/>
      <c r="F282" s="130"/>
      <c r="G282" s="130"/>
      <c r="H282" s="84" t="s">
        <v>5</v>
      </c>
      <c r="I282" s="76">
        <f>SUMIF($H$275:$H$278,"вне*",I$275:I$278)</f>
        <v>0</v>
      </c>
      <c r="J282" s="76">
        <f t="shared" ref="J282:O282" si="127">SUMIF($H$275:$H$278,"вне*",J$275:J$278)</f>
        <v>0</v>
      </c>
      <c r="K282" s="76">
        <f t="shared" si="127"/>
        <v>0</v>
      </c>
      <c r="L282" s="76">
        <f t="shared" si="127"/>
        <v>0</v>
      </c>
      <c r="M282" s="76">
        <f t="shared" si="127"/>
        <v>0</v>
      </c>
      <c r="N282" s="76">
        <f t="shared" si="127"/>
        <v>0</v>
      </c>
      <c r="O282" s="76">
        <f t="shared" si="127"/>
        <v>0</v>
      </c>
      <c r="P282" s="130"/>
    </row>
    <row r="283" spans="2:16" ht="25.5" customHeight="1" x14ac:dyDescent="0.2">
      <c r="B283" s="111" t="s">
        <v>613</v>
      </c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3"/>
    </row>
    <row r="284" spans="2:16" ht="42.75" customHeight="1" outlineLevel="1" x14ac:dyDescent="0.2">
      <c r="B284" s="117" t="s">
        <v>953</v>
      </c>
      <c r="C284" s="117"/>
      <c r="D284" s="117" t="s">
        <v>65</v>
      </c>
      <c r="E284" s="117" t="s">
        <v>75</v>
      </c>
      <c r="F284" s="117" t="s">
        <v>978</v>
      </c>
      <c r="G284" s="117"/>
      <c r="H284" s="84" t="s">
        <v>3</v>
      </c>
      <c r="I284" s="85">
        <f>SUM(J284:O284)</f>
        <v>2441.3700000000003</v>
      </c>
      <c r="J284" s="83">
        <f t="shared" ref="J284:O284" si="128">J285+J286+J287</f>
        <v>0</v>
      </c>
      <c r="K284" s="83">
        <f t="shared" si="128"/>
        <v>0</v>
      </c>
      <c r="L284" s="83">
        <f t="shared" si="128"/>
        <v>774</v>
      </c>
      <c r="M284" s="83">
        <f t="shared" si="128"/>
        <v>810.57</v>
      </c>
      <c r="N284" s="83">
        <f t="shared" si="128"/>
        <v>856.80000000000007</v>
      </c>
      <c r="O284" s="83">
        <f t="shared" si="128"/>
        <v>0</v>
      </c>
      <c r="P284" s="117"/>
    </row>
    <row r="285" spans="2:16" outlineLevel="1" x14ac:dyDescent="0.2">
      <c r="B285" s="118"/>
      <c r="C285" s="118"/>
      <c r="D285" s="118"/>
      <c r="E285" s="118"/>
      <c r="F285" s="118"/>
      <c r="G285" s="118"/>
      <c r="H285" s="84" t="s">
        <v>4</v>
      </c>
      <c r="I285" s="85">
        <f>SUM(J285:O285)</f>
        <v>2319.33</v>
      </c>
      <c r="J285" s="83"/>
      <c r="K285" s="83"/>
      <c r="L285" s="83">
        <v>735.3</v>
      </c>
      <c r="M285" s="83">
        <v>770.07</v>
      </c>
      <c r="N285" s="83">
        <v>813.96</v>
      </c>
      <c r="O285" s="83"/>
      <c r="P285" s="118"/>
    </row>
    <row r="286" spans="2:16" outlineLevel="1" x14ac:dyDescent="0.2">
      <c r="B286" s="118"/>
      <c r="C286" s="118"/>
      <c r="D286" s="118"/>
      <c r="E286" s="118"/>
      <c r="F286" s="118"/>
      <c r="G286" s="118"/>
      <c r="H286" s="84" t="s">
        <v>6</v>
      </c>
      <c r="I286" s="85">
        <f>SUM(J286:O286)</f>
        <v>122.04</v>
      </c>
      <c r="J286" s="83">
        <v>0</v>
      </c>
      <c r="K286" s="83"/>
      <c r="L286" s="83">
        <v>38.700000000000003</v>
      </c>
      <c r="M286" s="83">
        <v>40.5</v>
      </c>
      <c r="N286" s="83">
        <v>42.84</v>
      </c>
      <c r="O286" s="83">
        <v>0</v>
      </c>
      <c r="P286" s="118"/>
    </row>
    <row r="287" spans="2:16" outlineLevel="1" x14ac:dyDescent="0.2">
      <c r="B287" s="119"/>
      <c r="C287" s="119"/>
      <c r="D287" s="119"/>
      <c r="E287" s="119"/>
      <c r="F287" s="119"/>
      <c r="G287" s="119"/>
      <c r="H287" s="84" t="s">
        <v>5</v>
      </c>
      <c r="I287" s="13"/>
      <c r="J287" s="13"/>
      <c r="K287" s="13"/>
      <c r="L287" s="13"/>
      <c r="M287" s="13"/>
      <c r="N287" s="13"/>
      <c r="O287" s="13"/>
      <c r="P287" s="119"/>
    </row>
    <row r="288" spans="2:16" ht="42.75" customHeight="1" outlineLevel="1" x14ac:dyDescent="0.2">
      <c r="B288" s="114" t="s">
        <v>979</v>
      </c>
      <c r="C288" s="114"/>
      <c r="D288" s="117" t="s">
        <v>65</v>
      </c>
      <c r="E288" s="117" t="s">
        <v>75</v>
      </c>
      <c r="F288" s="117" t="s">
        <v>978</v>
      </c>
      <c r="G288" s="114"/>
      <c r="H288" s="50" t="s">
        <v>3</v>
      </c>
      <c r="I288" s="58">
        <f>SUM(J288:O288)</f>
        <v>5384.1</v>
      </c>
      <c r="J288" s="85">
        <f t="shared" ref="J288:O288" si="129">J289+J290+J291</f>
        <v>0</v>
      </c>
      <c r="K288" s="85">
        <f t="shared" si="129"/>
        <v>0</v>
      </c>
      <c r="L288" s="85">
        <f t="shared" si="129"/>
        <v>1780</v>
      </c>
      <c r="M288" s="85">
        <f t="shared" si="129"/>
        <v>1790</v>
      </c>
      <c r="N288" s="85">
        <f t="shared" si="129"/>
        <v>1814.1000000000001</v>
      </c>
      <c r="O288" s="85">
        <f t="shared" si="129"/>
        <v>0</v>
      </c>
      <c r="P288" s="114"/>
    </row>
    <row r="289" spans="2:17" outlineLevel="1" x14ac:dyDescent="0.2">
      <c r="B289" s="115"/>
      <c r="C289" s="137"/>
      <c r="D289" s="118"/>
      <c r="E289" s="118"/>
      <c r="F289" s="118"/>
      <c r="G289" s="115"/>
      <c r="H289" s="50" t="s">
        <v>4</v>
      </c>
      <c r="I289" s="85">
        <f>SUM(J289:O289)</f>
        <v>5330.26</v>
      </c>
      <c r="J289" s="85"/>
      <c r="K289" s="85"/>
      <c r="L289" s="85">
        <v>1762.2</v>
      </c>
      <c r="M289" s="85">
        <v>1772.1</v>
      </c>
      <c r="N289" s="85">
        <v>1795.96</v>
      </c>
      <c r="O289" s="85"/>
      <c r="P289" s="115"/>
    </row>
    <row r="290" spans="2:17" outlineLevel="1" x14ac:dyDescent="0.2">
      <c r="B290" s="115"/>
      <c r="C290" s="137"/>
      <c r="D290" s="118"/>
      <c r="E290" s="118"/>
      <c r="F290" s="118"/>
      <c r="G290" s="115"/>
      <c r="H290" s="50" t="s">
        <v>6</v>
      </c>
      <c r="I290" s="85">
        <f>SUM(J290:O290)</f>
        <v>53.84</v>
      </c>
      <c r="J290" s="85"/>
      <c r="K290" s="85"/>
      <c r="L290" s="85">
        <v>17.8</v>
      </c>
      <c r="M290" s="85">
        <v>17.899999999999999</v>
      </c>
      <c r="N290" s="85">
        <v>18.14</v>
      </c>
      <c r="O290" s="85"/>
      <c r="P290" s="115"/>
    </row>
    <row r="291" spans="2:17" outlineLevel="1" x14ac:dyDescent="0.2">
      <c r="B291" s="116"/>
      <c r="C291" s="138"/>
      <c r="D291" s="119"/>
      <c r="E291" s="119"/>
      <c r="F291" s="119"/>
      <c r="G291" s="116"/>
      <c r="H291" s="50" t="s">
        <v>5</v>
      </c>
      <c r="I291" s="85"/>
      <c r="J291" s="85"/>
      <c r="K291" s="85"/>
      <c r="L291" s="85"/>
      <c r="M291" s="85"/>
      <c r="N291" s="85"/>
      <c r="O291" s="85"/>
      <c r="P291" s="116"/>
    </row>
    <row r="292" spans="2:17" ht="42.75" x14ac:dyDescent="0.2">
      <c r="B292" s="128" t="s">
        <v>624</v>
      </c>
      <c r="C292" s="128" t="s">
        <v>38</v>
      </c>
      <c r="D292" s="128" t="s">
        <v>38</v>
      </c>
      <c r="E292" s="128" t="s">
        <v>38</v>
      </c>
      <c r="F292" s="128" t="s">
        <v>38</v>
      </c>
      <c r="G292" s="128" t="s">
        <v>38</v>
      </c>
      <c r="H292" s="84" t="s">
        <v>3</v>
      </c>
      <c r="I292" s="14">
        <f>SUMIF($H$284:$H$291,"Объем*",I$284:I$291)</f>
        <v>7825.4700000000012</v>
      </c>
      <c r="J292" s="14">
        <f t="shared" ref="J292:O292" si="130">SUMIF($H$284:$H$291,"Объем*",J$284:J$291)</f>
        <v>0</v>
      </c>
      <c r="K292" s="14">
        <f t="shared" si="130"/>
        <v>0</v>
      </c>
      <c r="L292" s="14">
        <f t="shared" si="130"/>
        <v>2554</v>
      </c>
      <c r="M292" s="14">
        <f t="shared" si="130"/>
        <v>2600.5700000000002</v>
      </c>
      <c r="N292" s="14">
        <f t="shared" si="130"/>
        <v>2670.9</v>
      </c>
      <c r="O292" s="14">
        <f t="shared" si="130"/>
        <v>0</v>
      </c>
      <c r="P292" s="128"/>
    </row>
    <row r="293" spans="2:17" ht="15.75" x14ac:dyDescent="0.2">
      <c r="B293" s="129"/>
      <c r="C293" s="129"/>
      <c r="D293" s="129"/>
      <c r="E293" s="129"/>
      <c r="F293" s="129"/>
      <c r="G293" s="129"/>
      <c r="H293" s="84" t="s">
        <v>4</v>
      </c>
      <c r="I293" s="14">
        <f>SUMIF($H$284:$H$291,"фед*",I$284:I$291)</f>
        <v>7649.59</v>
      </c>
      <c r="J293" s="14">
        <f t="shared" ref="J293:O293" si="131">SUMIF($H$284:$H$291,"фед*",J$284:J$291)</f>
        <v>0</v>
      </c>
      <c r="K293" s="14">
        <f t="shared" si="131"/>
        <v>0</v>
      </c>
      <c r="L293" s="14">
        <f t="shared" si="131"/>
        <v>2497.5</v>
      </c>
      <c r="M293" s="14">
        <f t="shared" si="131"/>
        <v>2542.17</v>
      </c>
      <c r="N293" s="14">
        <f t="shared" si="131"/>
        <v>2609.92</v>
      </c>
      <c r="O293" s="14">
        <f t="shared" si="131"/>
        <v>0</v>
      </c>
      <c r="P293" s="129"/>
    </row>
    <row r="294" spans="2:17" ht="15.75" x14ac:dyDescent="0.2">
      <c r="B294" s="129"/>
      <c r="C294" s="129"/>
      <c r="D294" s="129"/>
      <c r="E294" s="129"/>
      <c r="F294" s="129"/>
      <c r="G294" s="129"/>
      <c r="H294" s="84" t="s">
        <v>6</v>
      </c>
      <c r="I294" s="14">
        <f>SUMIF($H$284:$H$291,"конс*",I$284:I$291)</f>
        <v>175.88</v>
      </c>
      <c r="J294" s="14">
        <f t="shared" ref="J294:O294" si="132">SUMIF($H$284:$H$291,"конс*",J$284:J$291)</f>
        <v>0</v>
      </c>
      <c r="K294" s="14">
        <f t="shared" si="132"/>
        <v>0</v>
      </c>
      <c r="L294" s="14">
        <f t="shared" si="132"/>
        <v>56.5</v>
      </c>
      <c r="M294" s="14">
        <f t="shared" si="132"/>
        <v>58.4</v>
      </c>
      <c r="N294" s="14">
        <f t="shared" si="132"/>
        <v>60.980000000000004</v>
      </c>
      <c r="O294" s="14">
        <f t="shared" si="132"/>
        <v>0</v>
      </c>
      <c r="P294" s="129"/>
    </row>
    <row r="295" spans="2:17" ht="15.75" x14ac:dyDescent="0.2">
      <c r="B295" s="130"/>
      <c r="C295" s="130"/>
      <c r="D295" s="130"/>
      <c r="E295" s="130"/>
      <c r="F295" s="130"/>
      <c r="G295" s="130"/>
      <c r="H295" s="84" t="s">
        <v>5</v>
      </c>
      <c r="I295" s="76">
        <f>SUMIF($H$284:$H$291,"вне*",I$284:I$291)</f>
        <v>0</v>
      </c>
      <c r="J295" s="76">
        <f t="shared" ref="J295:O295" si="133">SUMIF($H$284:$H$291,"вне*",J$284:J$291)</f>
        <v>0</v>
      </c>
      <c r="K295" s="76">
        <f t="shared" si="133"/>
        <v>0</v>
      </c>
      <c r="L295" s="76">
        <f t="shared" si="133"/>
        <v>0</v>
      </c>
      <c r="M295" s="76">
        <f t="shared" si="133"/>
        <v>0</v>
      </c>
      <c r="N295" s="76">
        <f t="shared" si="133"/>
        <v>0</v>
      </c>
      <c r="O295" s="76">
        <f t="shared" si="133"/>
        <v>0</v>
      </c>
      <c r="P295" s="130"/>
    </row>
    <row r="296" spans="2:17" ht="42.75" x14ac:dyDescent="0.2">
      <c r="B296" s="128" t="s">
        <v>77</v>
      </c>
      <c r="C296" s="128" t="s">
        <v>38</v>
      </c>
      <c r="D296" s="128" t="s">
        <v>38</v>
      </c>
      <c r="E296" s="128" t="s">
        <v>38</v>
      </c>
      <c r="F296" s="128" t="s">
        <v>38</v>
      </c>
      <c r="G296" s="128" t="s">
        <v>38</v>
      </c>
      <c r="H296" s="84" t="s">
        <v>3</v>
      </c>
      <c r="I296" s="14">
        <f>I10+I23+I36+I49+I62+I87+I96+I109+I118+I131+I140+I153+I166+I179+I196+I209+I222+I235+I248+I261+I270+I279+I292</f>
        <v>10041.590000000002</v>
      </c>
      <c r="J296" s="14">
        <f t="shared" ref="J296:O299" si="134">J10+J23+J36+J49+J62+J87+J96+J109+J118+J131+J140+J153+J166+J179+J196+J209+J222+J235+J248+J261+J270+J279+J292</f>
        <v>35.839999999999996</v>
      </c>
      <c r="K296" s="14">
        <f t="shared" si="134"/>
        <v>334.56</v>
      </c>
      <c r="L296" s="14">
        <f t="shared" si="134"/>
        <v>3060.82</v>
      </c>
      <c r="M296" s="14">
        <f t="shared" si="134"/>
        <v>3172.84</v>
      </c>
      <c r="N296" s="14">
        <f t="shared" si="134"/>
        <v>3432.31</v>
      </c>
      <c r="O296" s="14">
        <f t="shared" si="134"/>
        <v>5.22</v>
      </c>
      <c r="P296" s="128"/>
      <c r="Q296" s="7"/>
    </row>
    <row r="297" spans="2:17" ht="15.75" x14ac:dyDescent="0.2">
      <c r="B297" s="129"/>
      <c r="C297" s="129"/>
      <c r="D297" s="129"/>
      <c r="E297" s="129"/>
      <c r="F297" s="129"/>
      <c r="G297" s="129"/>
      <c r="H297" s="84" t="s">
        <v>4</v>
      </c>
      <c r="I297" s="14">
        <f>I11+I24+I37+I50+I63+I88+I97+I110+I119+I132+I141+I154+I167+I180+I197+I210+I223+I236+I249+I262+I271+I280+I293</f>
        <v>9378.11</v>
      </c>
      <c r="J297" s="14">
        <f t="shared" si="134"/>
        <v>32.33</v>
      </c>
      <c r="K297" s="14">
        <f t="shared" si="134"/>
        <v>207.43</v>
      </c>
      <c r="L297" s="14">
        <f t="shared" si="134"/>
        <v>2916.7</v>
      </c>
      <c r="M297" s="14">
        <f t="shared" si="134"/>
        <v>3025.96</v>
      </c>
      <c r="N297" s="14">
        <f t="shared" si="134"/>
        <v>3190.73</v>
      </c>
      <c r="O297" s="14">
        <f t="shared" si="134"/>
        <v>4.96</v>
      </c>
      <c r="P297" s="129"/>
      <c r="Q297" s="7"/>
    </row>
    <row r="298" spans="2:17" ht="15.75" x14ac:dyDescent="0.2">
      <c r="B298" s="129"/>
      <c r="C298" s="129"/>
      <c r="D298" s="129"/>
      <c r="E298" s="129"/>
      <c r="F298" s="129"/>
      <c r="G298" s="129"/>
      <c r="H298" s="84" t="s">
        <v>6</v>
      </c>
      <c r="I298" s="14">
        <f>I12+I25+I38+I51+I64+I89+I98+I111+I120+I133+I142+I155+I168+I181+I198+I211+I224+I237+I250+I263+I272+I281+I294</f>
        <v>663.48</v>
      </c>
      <c r="J298" s="14">
        <f t="shared" si="134"/>
        <v>3.51</v>
      </c>
      <c r="K298" s="14">
        <f t="shared" si="134"/>
        <v>127.13</v>
      </c>
      <c r="L298" s="14">
        <f t="shared" si="134"/>
        <v>144.11999999999998</v>
      </c>
      <c r="M298" s="14">
        <f t="shared" si="134"/>
        <v>146.88000000000005</v>
      </c>
      <c r="N298" s="14">
        <f t="shared" si="134"/>
        <v>241.5800000000001</v>
      </c>
      <c r="O298" s="14">
        <f t="shared" si="134"/>
        <v>0.26</v>
      </c>
      <c r="P298" s="129"/>
      <c r="Q298" s="7"/>
    </row>
    <row r="299" spans="2:17" ht="15.75" x14ac:dyDescent="0.2">
      <c r="B299" s="130"/>
      <c r="C299" s="130"/>
      <c r="D299" s="130"/>
      <c r="E299" s="130"/>
      <c r="F299" s="130"/>
      <c r="G299" s="130"/>
      <c r="H299" s="84" t="s">
        <v>5</v>
      </c>
      <c r="I299" s="14">
        <f>I13+I26+I39+I52+I65+I90+I99+I112+I121+I134+I143+I156+I169+I182+I199+I212+I225+I238+I251+I264+I273+I282+I295</f>
        <v>0</v>
      </c>
      <c r="J299" s="14">
        <f t="shared" si="134"/>
        <v>0</v>
      </c>
      <c r="K299" s="14">
        <f t="shared" si="134"/>
        <v>0</v>
      </c>
      <c r="L299" s="14">
        <f t="shared" si="134"/>
        <v>0</v>
      </c>
      <c r="M299" s="14">
        <f t="shared" si="134"/>
        <v>0</v>
      </c>
      <c r="N299" s="14">
        <f t="shared" si="134"/>
        <v>0</v>
      </c>
      <c r="O299" s="14">
        <f t="shared" si="134"/>
        <v>0</v>
      </c>
      <c r="P299" s="130"/>
      <c r="Q299" s="7"/>
    </row>
    <row r="300" spans="2:17" x14ac:dyDescent="0.2">
      <c r="Q300" s="7"/>
    </row>
  </sheetData>
  <mergeCells count="508">
    <mergeCell ref="P296:P299"/>
    <mergeCell ref="B296:B299"/>
    <mergeCell ref="C296:C299"/>
    <mergeCell ref="D296:D299"/>
    <mergeCell ref="E296:E299"/>
    <mergeCell ref="F296:F299"/>
    <mergeCell ref="G296:G299"/>
    <mergeCell ref="P288:P291"/>
    <mergeCell ref="B292:B295"/>
    <mergeCell ref="C292:C295"/>
    <mergeCell ref="D292:D295"/>
    <mergeCell ref="E292:E295"/>
    <mergeCell ref="F292:F295"/>
    <mergeCell ref="G292:G295"/>
    <mergeCell ref="P292:P295"/>
    <mergeCell ref="B288:B291"/>
    <mergeCell ref="C288:C291"/>
    <mergeCell ref="D288:D291"/>
    <mergeCell ref="E288:E291"/>
    <mergeCell ref="F288:F291"/>
    <mergeCell ref="G288:G291"/>
    <mergeCell ref="P279:P282"/>
    <mergeCell ref="B283:P283"/>
    <mergeCell ref="B284:B287"/>
    <mergeCell ref="C284:C287"/>
    <mergeCell ref="D284:D287"/>
    <mergeCell ref="E284:E287"/>
    <mergeCell ref="F284:F287"/>
    <mergeCell ref="G284:G287"/>
    <mergeCell ref="P284:P287"/>
    <mergeCell ref="B279:B282"/>
    <mergeCell ref="C279:C282"/>
    <mergeCell ref="D279:D282"/>
    <mergeCell ref="E279:E282"/>
    <mergeCell ref="F279:F282"/>
    <mergeCell ref="G279:G282"/>
    <mergeCell ref="P270:P273"/>
    <mergeCell ref="B274:P274"/>
    <mergeCell ref="B275:B278"/>
    <mergeCell ref="C275:C278"/>
    <mergeCell ref="D275:D278"/>
    <mergeCell ref="E275:E278"/>
    <mergeCell ref="F275:F278"/>
    <mergeCell ref="G275:G278"/>
    <mergeCell ref="P275:P278"/>
    <mergeCell ref="B270:B273"/>
    <mergeCell ref="C270:C273"/>
    <mergeCell ref="D270:D273"/>
    <mergeCell ref="E270:E273"/>
    <mergeCell ref="F270:F273"/>
    <mergeCell ref="G270:G273"/>
    <mergeCell ref="B265:P265"/>
    <mergeCell ref="B266:B269"/>
    <mergeCell ref="C266:C269"/>
    <mergeCell ref="D266:D269"/>
    <mergeCell ref="E266:E269"/>
    <mergeCell ref="F266:F269"/>
    <mergeCell ref="G266:G269"/>
    <mergeCell ref="P266:P269"/>
    <mergeCell ref="P257:P260"/>
    <mergeCell ref="B261:B264"/>
    <mergeCell ref="C261:C264"/>
    <mergeCell ref="D261:D264"/>
    <mergeCell ref="E261:E264"/>
    <mergeCell ref="F261:F264"/>
    <mergeCell ref="G261:G264"/>
    <mergeCell ref="P261:P264"/>
    <mergeCell ref="B257:B260"/>
    <mergeCell ref="C257:C260"/>
    <mergeCell ref="D257:D260"/>
    <mergeCell ref="E257:E260"/>
    <mergeCell ref="F257:F260"/>
    <mergeCell ref="G257:G260"/>
    <mergeCell ref="B252:P252"/>
    <mergeCell ref="B253:B256"/>
    <mergeCell ref="C253:C256"/>
    <mergeCell ref="D253:D256"/>
    <mergeCell ref="E253:E256"/>
    <mergeCell ref="F253:F256"/>
    <mergeCell ref="G253:G256"/>
    <mergeCell ref="P253:P256"/>
    <mergeCell ref="P244:P247"/>
    <mergeCell ref="B248:B251"/>
    <mergeCell ref="C248:C251"/>
    <mergeCell ref="D248:D251"/>
    <mergeCell ref="E248:E251"/>
    <mergeCell ref="F248:F251"/>
    <mergeCell ref="G248:G251"/>
    <mergeCell ref="P248:P251"/>
    <mergeCell ref="B244:B247"/>
    <mergeCell ref="C244:C247"/>
    <mergeCell ref="D244:D247"/>
    <mergeCell ref="E244:E247"/>
    <mergeCell ref="F244:F247"/>
    <mergeCell ref="G244:G247"/>
    <mergeCell ref="B239:P239"/>
    <mergeCell ref="B240:B243"/>
    <mergeCell ref="C240:C243"/>
    <mergeCell ref="D240:D243"/>
    <mergeCell ref="E240:E243"/>
    <mergeCell ref="F240:F243"/>
    <mergeCell ref="G240:G243"/>
    <mergeCell ref="P240:P243"/>
    <mergeCell ref="P231:P234"/>
    <mergeCell ref="B235:B238"/>
    <mergeCell ref="C235:C238"/>
    <mergeCell ref="D235:D238"/>
    <mergeCell ref="E235:E238"/>
    <mergeCell ref="F235:F238"/>
    <mergeCell ref="G235:G238"/>
    <mergeCell ref="P235:P238"/>
    <mergeCell ref="B231:B234"/>
    <mergeCell ref="C231:C234"/>
    <mergeCell ref="D231:D234"/>
    <mergeCell ref="E231:E234"/>
    <mergeCell ref="F231:F234"/>
    <mergeCell ref="G231:G234"/>
    <mergeCell ref="B226:P226"/>
    <mergeCell ref="B227:B230"/>
    <mergeCell ref="C227:C230"/>
    <mergeCell ref="D227:D230"/>
    <mergeCell ref="E227:E230"/>
    <mergeCell ref="F227:F230"/>
    <mergeCell ref="G227:G230"/>
    <mergeCell ref="P227:P230"/>
    <mergeCell ref="P218:P221"/>
    <mergeCell ref="B222:B225"/>
    <mergeCell ref="C222:C225"/>
    <mergeCell ref="D222:D225"/>
    <mergeCell ref="E222:E225"/>
    <mergeCell ref="F222:F225"/>
    <mergeCell ref="G222:G225"/>
    <mergeCell ref="P222:P225"/>
    <mergeCell ref="B218:B221"/>
    <mergeCell ref="C218:C221"/>
    <mergeCell ref="D218:D221"/>
    <mergeCell ref="E218:E221"/>
    <mergeCell ref="F218:F221"/>
    <mergeCell ref="G218:G221"/>
    <mergeCell ref="B213:P213"/>
    <mergeCell ref="B214:B217"/>
    <mergeCell ref="C214:C217"/>
    <mergeCell ref="D214:D217"/>
    <mergeCell ref="E214:E217"/>
    <mergeCell ref="F214:F217"/>
    <mergeCell ref="G214:G217"/>
    <mergeCell ref="P214:P217"/>
    <mergeCell ref="P205:P208"/>
    <mergeCell ref="B209:B212"/>
    <mergeCell ref="C209:C212"/>
    <mergeCell ref="D209:D212"/>
    <mergeCell ref="E209:E212"/>
    <mergeCell ref="F209:F212"/>
    <mergeCell ref="G209:G212"/>
    <mergeCell ref="P209:P212"/>
    <mergeCell ref="B205:B208"/>
    <mergeCell ref="C205:C208"/>
    <mergeCell ref="D205:D208"/>
    <mergeCell ref="E205:E208"/>
    <mergeCell ref="F205:F208"/>
    <mergeCell ref="G205:G208"/>
    <mergeCell ref="P196:P199"/>
    <mergeCell ref="B200:P200"/>
    <mergeCell ref="B201:B204"/>
    <mergeCell ref="C201:C204"/>
    <mergeCell ref="D201:D204"/>
    <mergeCell ref="E201:E204"/>
    <mergeCell ref="F201:F204"/>
    <mergeCell ref="G201:G204"/>
    <mergeCell ref="P201:P204"/>
    <mergeCell ref="B196:B199"/>
    <mergeCell ref="C196:C199"/>
    <mergeCell ref="D196:D199"/>
    <mergeCell ref="E196:E199"/>
    <mergeCell ref="F196:F199"/>
    <mergeCell ref="G196:G199"/>
    <mergeCell ref="P188:P191"/>
    <mergeCell ref="B192:B195"/>
    <mergeCell ref="C192:C195"/>
    <mergeCell ref="D192:D195"/>
    <mergeCell ref="E192:E195"/>
    <mergeCell ref="F192:F195"/>
    <mergeCell ref="G192:G195"/>
    <mergeCell ref="P192:P195"/>
    <mergeCell ref="B188:B191"/>
    <mergeCell ref="C188:C191"/>
    <mergeCell ref="D188:D191"/>
    <mergeCell ref="E188:E191"/>
    <mergeCell ref="F188:F191"/>
    <mergeCell ref="G188:G191"/>
    <mergeCell ref="B183:P183"/>
    <mergeCell ref="B184:B187"/>
    <mergeCell ref="C184:C187"/>
    <mergeCell ref="D184:D187"/>
    <mergeCell ref="E184:E187"/>
    <mergeCell ref="F184:F187"/>
    <mergeCell ref="G184:G187"/>
    <mergeCell ref="P184:P187"/>
    <mergeCell ref="P175:P178"/>
    <mergeCell ref="B179:B182"/>
    <mergeCell ref="C179:C182"/>
    <mergeCell ref="D179:D182"/>
    <mergeCell ref="E179:E182"/>
    <mergeCell ref="F179:F182"/>
    <mergeCell ref="G179:G182"/>
    <mergeCell ref="P179:P182"/>
    <mergeCell ref="B175:B178"/>
    <mergeCell ref="C175:C178"/>
    <mergeCell ref="D175:D178"/>
    <mergeCell ref="E175:E178"/>
    <mergeCell ref="F175:F178"/>
    <mergeCell ref="G175:G178"/>
    <mergeCell ref="B170:P170"/>
    <mergeCell ref="B171:B174"/>
    <mergeCell ref="C171:C174"/>
    <mergeCell ref="D171:D174"/>
    <mergeCell ref="E171:E174"/>
    <mergeCell ref="F171:F174"/>
    <mergeCell ref="G171:G174"/>
    <mergeCell ref="P171:P174"/>
    <mergeCell ref="P162:P165"/>
    <mergeCell ref="B166:B169"/>
    <mergeCell ref="C166:C169"/>
    <mergeCell ref="D166:D169"/>
    <mergeCell ref="E166:E169"/>
    <mergeCell ref="F166:F169"/>
    <mergeCell ref="G166:G169"/>
    <mergeCell ref="P166:P169"/>
    <mergeCell ref="B162:B165"/>
    <mergeCell ref="C162:C165"/>
    <mergeCell ref="D162:D165"/>
    <mergeCell ref="E162:E165"/>
    <mergeCell ref="F162:F165"/>
    <mergeCell ref="G162:G165"/>
    <mergeCell ref="B157:P157"/>
    <mergeCell ref="B158:B161"/>
    <mergeCell ref="C158:C161"/>
    <mergeCell ref="D158:D161"/>
    <mergeCell ref="E158:E161"/>
    <mergeCell ref="F158:F161"/>
    <mergeCell ref="G158:G161"/>
    <mergeCell ref="P158:P161"/>
    <mergeCell ref="P149:P152"/>
    <mergeCell ref="B153:B156"/>
    <mergeCell ref="C153:C156"/>
    <mergeCell ref="D153:D156"/>
    <mergeCell ref="E153:E156"/>
    <mergeCell ref="F153:F156"/>
    <mergeCell ref="G153:G156"/>
    <mergeCell ref="P153:P156"/>
    <mergeCell ref="B149:B152"/>
    <mergeCell ref="C149:C152"/>
    <mergeCell ref="D149:D152"/>
    <mergeCell ref="E149:E152"/>
    <mergeCell ref="F149:F152"/>
    <mergeCell ref="G149:G152"/>
    <mergeCell ref="P140:P143"/>
    <mergeCell ref="B144:P144"/>
    <mergeCell ref="B145:B148"/>
    <mergeCell ref="C145:C148"/>
    <mergeCell ref="D145:D148"/>
    <mergeCell ref="E145:E148"/>
    <mergeCell ref="F145:F148"/>
    <mergeCell ref="G145:G148"/>
    <mergeCell ref="P145:P148"/>
    <mergeCell ref="B140:B143"/>
    <mergeCell ref="C140:C143"/>
    <mergeCell ref="D140:D143"/>
    <mergeCell ref="E140:E143"/>
    <mergeCell ref="F140:F143"/>
    <mergeCell ref="G140:G143"/>
    <mergeCell ref="B135:P135"/>
    <mergeCell ref="B136:B139"/>
    <mergeCell ref="C136:C139"/>
    <mergeCell ref="D136:D139"/>
    <mergeCell ref="E136:E139"/>
    <mergeCell ref="F136:F139"/>
    <mergeCell ref="G136:G139"/>
    <mergeCell ref="P136:P139"/>
    <mergeCell ref="P127:P130"/>
    <mergeCell ref="B131:B134"/>
    <mergeCell ref="C131:C134"/>
    <mergeCell ref="D131:D134"/>
    <mergeCell ref="E131:E134"/>
    <mergeCell ref="F131:F134"/>
    <mergeCell ref="G131:G134"/>
    <mergeCell ref="P131:P134"/>
    <mergeCell ref="B127:B130"/>
    <mergeCell ref="C127:C130"/>
    <mergeCell ref="D127:D130"/>
    <mergeCell ref="E127:E130"/>
    <mergeCell ref="F127:F130"/>
    <mergeCell ref="G127:G130"/>
    <mergeCell ref="P118:P121"/>
    <mergeCell ref="B122:P122"/>
    <mergeCell ref="B123:B126"/>
    <mergeCell ref="C123:C126"/>
    <mergeCell ref="D123:D126"/>
    <mergeCell ref="E123:E126"/>
    <mergeCell ref="F123:F126"/>
    <mergeCell ref="G123:G126"/>
    <mergeCell ref="P123:P126"/>
    <mergeCell ref="B118:B121"/>
    <mergeCell ref="C118:C121"/>
    <mergeCell ref="D118:D121"/>
    <mergeCell ref="E118:E121"/>
    <mergeCell ref="F118:F121"/>
    <mergeCell ref="G118:G121"/>
    <mergeCell ref="B113:P113"/>
    <mergeCell ref="B114:B117"/>
    <mergeCell ref="C114:C117"/>
    <mergeCell ref="D114:D117"/>
    <mergeCell ref="E114:E117"/>
    <mergeCell ref="F114:F117"/>
    <mergeCell ref="G114:G117"/>
    <mergeCell ref="P114:P117"/>
    <mergeCell ref="P105:P108"/>
    <mergeCell ref="B109:B112"/>
    <mergeCell ref="C109:C112"/>
    <mergeCell ref="D109:D112"/>
    <mergeCell ref="E109:E112"/>
    <mergeCell ref="F109:F112"/>
    <mergeCell ref="G109:G112"/>
    <mergeCell ref="P109:P112"/>
    <mergeCell ref="B105:B108"/>
    <mergeCell ref="C105:C108"/>
    <mergeCell ref="D105:D108"/>
    <mergeCell ref="E105:E108"/>
    <mergeCell ref="F105:F108"/>
    <mergeCell ref="G105:G108"/>
    <mergeCell ref="P96:P99"/>
    <mergeCell ref="B100:P100"/>
    <mergeCell ref="B101:B104"/>
    <mergeCell ref="C101:C104"/>
    <mergeCell ref="D101:D104"/>
    <mergeCell ref="E101:E104"/>
    <mergeCell ref="F101:F104"/>
    <mergeCell ref="G101:G104"/>
    <mergeCell ref="P101:P104"/>
    <mergeCell ref="B96:B99"/>
    <mergeCell ref="C96:C99"/>
    <mergeCell ref="D96:D99"/>
    <mergeCell ref="E96:E99"/>
    <mergeCell ref="F96:F99"/>
    <mergeCell ref="G96:G99"/>
    <mergeCell ref="P87:P90"/>
    <mergeCell ref="B91:P91"/>
    <mergeCell ref="B92:B95"/>
    <mergeCell ref="C92:C95"/>
    <mergeCell ref="D92:D95"/>
    <mergeCell ref="E92:E95"/>
    <mergeCell ref="F92:F95"/>
    <mergeCell ref="G92:G95"/>
    <mergeCell ref="P92:P95"/>
    <mergeCell ref="B87:B90"/>
    <mergeCell ref="C87:C90"/>
    <mergeCell ref="D87:D90"/>
    <mergeCell ref="E87:E90"/>
    <mergeCell ref="F87:F90"/>
    <mergeCell ref="G87:G90"/>
    <mergeCell ref="P79:P82"/>
    <mergeCell ref="B83:B86"/>
    <mergeCell ref="C83:C86"/>
    <mergeCell ref="D83:D86"/>
    <mergeCell ref="E83:E86"/>
    <mergeCell ref="F83:F86"/>
    <mergeCell ref="G83:G86"/>
    <mergeCell ref="P83:P86"/>
    <mergeCell ref="B79:B82"/>
    <mergeCell ref="C79:C82"/>
    <mergeCell ref="D79:D82"/>
    <mergeCell ref="E79:E82"/>
    <mergeCell ref="F79:F82"/>
    <mergeCell ref="G79:G82"/>
    <mergeCell ref="P71:P74"/>
    <mergeCell ref="B75:B78"/>
    <mergeCell ref="C75:C78"/>
    <mergeCell ref="D75:D78"/>
    <mergeCell ref="E75:E78"/>
    <mergeCell ref="F75:F78"/>
    <mergeCell ref="G75:G78"/>
    <mergeCell ref="P75:P78"/>
    <mergeCell ref="B71:B74"/>
    <mergeCell ref="C71:C74"/>
    <mergeCell ref="D71:D74"/>
    <mergeCell ref="E71:E74"/>
    <mergeCell ref="F71:F74"/>
    <mergeCell ref="G71:G74"/>
    <mergeCell ref="B66:P66"/>
    <mergeCell ref="B67:B70"/>
    <mergeCell ref="C67:C70"/>
    <mergeCell ref="D67:D70"/>
    <mergeCell ref="E67:E70"/>
    <mergeCell ref="F67:F70"/>
    <mergeCell ref="G67:G70"/>
    <mergeCell ref="P67:P70"/>
    <mergeCell ref="P58:P61"/>
    <mergeCell ref="B62:B65"/>
    <mergeCell ref="C62:C65"/>
    <mergeCell ref="D62:D65"/>
    <mergeCell ref="E62:E65"/>
    <mergeCell ref="F62:F65"/>
    <mergeCell ref="G62:G65"/>
    <mergeCell ref="P62:P65"/>
    <mergeCell ref="B58:B61"/>
    <mergeCell ref="C58:C61"/>
    <mergeCell ref="D58:D61"/>
    <mergeCell ref="E58:E61"/>
    <mergeCell ref="F58:F61"/>
    <mergeCell ref="G58:G61"/>
    <mergeCell ref="B53:P53"/>
    <mergeCell ref="B54:B57"/>
    <mergeCell ref="C54:C57"/>
    <mergeCell ref="D54:D57"/>
    <mergeCell ref="E54:E57"/>
    <mergeCell ref="F54:F57"/>
    <mergeCell ref="G54:G57"/>
    <mergeCell ref="P54:P57"/>
    <mergeCell ref="P45:P48"/>
    <mergeCell ref="B49:B52"/>
    <mergeCell ref="C49:C52"/>
    <mergeCell ref="D49:D52"/>
    <mergeCell ref="E49:E52"/>
    <mergeCell ref="F49:F52"/>
    <mergeCell ref="G49:G52"/>
    <mergeCell ref="P49:P52"/>
    <mergeCell ref="B45:B48"/>
    <mergeCell ref="C45:C48"/>
    <mergeCell ref="D45:D48"/>
    <mergeCell ref="E45:E48"/>
    <mergeCell ref="F45:F48"/>
    <mergeCell ref="G45:G48"/>
    <mergeCell ref="B40:P40"/>
    <mergeCell ref="B41:B44"/>
    <mergeCell ref="C41:C44"/>
    <mergeCell ref="D41:D44"/>
    <mergeCell ref="E41:E44"/>
    <mergeCell ref="F41:F44"/>
    <mergeCell ref="G41:G44"/>
    <mergeCell ref="P41:P44"/>
    <mergeCell ref="P32:P35"/>
    <mergeCell ref="B36:B39"/>
    <mergeCell ref="C36:C39"/>
    <mergeCell ref="D36:D39"/>
    <mergeCell ref="E36:E39"/>
    <mergeCell ref="F36:F39"/>
    <mergeCell ref="G36:G39"/>
    <mergeCell ref="P36:P39"/>
    <mergeCell ref="B32:B35"/>
    <mergeCell ref="C32:C35"/>
    <mergeCell ref="D32:D35"/>
    <mergeCell ref="E32:E35"/>
    <mergeCell ref="F32:F35"/>
    <mergeCell ref="G32:G35"/>
    <mergeCell ref="B27:P27"/>
    <mergeCell ref="B28:B31"/>
    <mergeCell ref="C28:C31"/>
    <mergeCell ref="D28:D31"/>
    <mergeCell ref="E28:E31"/>
    <mergeCell ref="F28:F31"/>
    <mergeCell ref="G28:G31"/>
    <mergeCell ref="P28:P31"/>
    <mergeCell ref="P19:P22"/>
    <mergeCell ref="B23:B26"/>
    <mergeCell ref="C23:C26"/>
    <mergeCell ref="D23:D26"/>
    <mergeCell ref="E23:E26"/>
    <mergeCell ref="F23:F26"/>
    <mergeCell ref="G23:G26"/>
    <mergeCell ref="P23:P26"/>
    <mergeCell ref="B19:B22"/>
    <mergeCell ref="C19:C22"/>
    <mergeCell ref="D19:D22"/>
    <mergeCell ref="E19:E22"/>
    <mergeCell ref="F19:F22"/>
    <mergeCell ref="G19:G22"/>
    <mergeCell ref="P10:P13"/>
    <mergeCell ref="B14:P14"/>
    <mergeCell ref="B15:B18"/>
    <mergeCell ref="C15:C18"/>
    <mergeCell ref="D15:D18"/>
    <mergeCell ref="E15:E18"/>
    <mergeCell ref="F15:F18"/>
    <mergeCell ref="G15:G18"/>
    <mergeCell ref="P15:P18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300:XFD1048576 H6:XFD9 A10:XFD13 F19:I22 J15:XFD22 A18:I18 A23:XFD26 A36:XFD39 F45:I48 J41:XFD48 A44:I44 A49:XFD52 F58:I61 J54:XFD61 A57:I57 A62:XFD65 A87:XFD90 J275:XFD277 A278:XFD282 F92:XFD95 A96:XFD99 F105:I108 J101:XFD108 A104:I104 A109:XFD112 F114:XFD117 A118:XFD121 F127:I130 J123:XFD130 A126:I126 A131:XFD134 F136:XFD139 A140:XFD143 F149:I152 J145:XFD152 A148:I148 A153:XFD156 F175:I178 J171:XFD178 A174:I174 A179:XFD182 F205:I208 J201:XFD208 A204:I204 A209:XFD212 F218:I221 J214:XFD221 A217:I217 A222:XFD225 F162:I165 J158:XFD165 A161:I161 A166:XFD169 F231:I234 J227:XFD234 A230:I230 A235:XFD238 F244:I247 J240:XFD247 A243:I243 A248:XFD251 F257:I260 J253:XFD268 A256:I256 A261:I265 G288:I291 J284:XFD291 A287:I287 A292:XFD295 Q184:XFD187 A187 A196:XFD199 A269:XFD273 I296:O299 J67:O86 J28:O35 A3:C4 E3:G4 I4:XFD4 P3:XFD3 H192:I195 H187:I187 Q192:XFD195 A1:XFD2">
    <cfRule type="cellIs" dxfId="223" priority="138" operator="equal">
      <formula>0</formula>
    </cfRule>
  </conditionalFormatting>
  <conditionalFormatting sqref="A6:A9">
    <cfRule type="cellIs" dxfId="222" priority="137" operator="equal">
      <formula>0</formula>
    </cfRule>
  </conditionalFormatting>
  <conditionalFormatting sqref="I10:O10 I23:O23 I36:O36 I49:O49 I62:O62 I87:O87 I279:O279 I96:O96 I109:O109 I118:O118 I131:O131 I140:O140 I153:O153 I179:O179 I209:O209 I222:O222 I166:O166 I235:O235 I248:O248 I261:O261 I292:O292 I196:O196 I270:O270">
    <cfRule type="cellIs" priority="136" operator="equal">
      <formula>0</formula>
    </cfRule>
  </conditionalFormatting>
  <conditionalFormatting sqref="A19:C22">
    <cfRule type="cellIs" dxfId="221" priority="135" operator="equal">
      <formula>0</formula>
    </cfRule>
  </conditionalFormatting>
  <conditionalFormatting sqref="A15:H17">
    <cfRule type="cellIs" dxfId="220" priority="134" operator="equal">
      <formula>0</formula>
    </cfRule>
  </conditionalFormatting>
  <conditionalFormatting sqref="I15:I17">
    <cfRule type="cellIs" dxfId="219" priority="133" operator="equal">
      <formula>0</formula>
    </cfRule>
  </conditionalFormatting>
  <conditionalFormatting sqref="D19:D22">
    <cfRule type="cellIs" dxfId="218" priority="132" operator="equal">
      <formula>0</formula>
    </cfRule>
  </conditionalFormatting>
  <conditionalFormatting sqref="E19:E22">
    <cfRule type="cellIs" dxfId="217" priority="131" operator="equal">
      <formula>0</formula>
    </cfRule>
  </conditionalFormatting>
  <conditionalFormatting sqref="A32:A35 H32:I35 Q32:XFD35">
    <cfRule type="cellIs" dxfId="216" priority="130" operator="equal">
      <formula>0</formula>
    </cfRule>
  </conditionalFormatting>
  <conditionalFormatting sqref="A28:A31 H28:H30 H31:I31 Q28:XFD31">
    <cfRule type="cellIs" dxfId="215" priority="129" operator="equal">
      <formula>0</formula>
    </cfRule>
  </conditionalFormatting>
  <conditionalFormatting sqref="I28:I30">
    <cfRule type="cellIs" dxfId="214" priority="128" operator="equal">
      <formula>0</formula>
    </cfRule>
  </conditionalFormatting>
  <conditionalFormatting sqref="A45:C48">
    <cfRule type="cellIs" dxfId="213" priority="127" operator="equal">
      <formula>0</formula>
    </cfRule>
  </conditionalFormatting>
  <conditionalFormatting sqref="A41:H43">
    <cfRule type="cellIs" dxfId="212" priority="126" operator="equal">
      <formula>0</formula>
    </cfRule>
  </conditionalFormatting>
  <conditionalFormatting sqref="I41:I43">
    <cfRule type="cellIs" dxfId="211" priority="125" operator="equal">
      <formula>0</formula>
    </cfRule>
  </conditionalFormatting>
  <conditionalFormatting sqref="D45:D48">
    <cfRule type="cellIs" dxfId="210" priority="124" operator="equal">
      <formula>0</formula>
    </cfRule>
  </conditionalFormatting>
  <conditionalFormatting sqref="E45:E48">
    <cfRule type="cellIs" dxfId="209" priority="123" operator="equal">
      <formula>0</formula>
    </cfRule>
  </conditionalFormatting>
  <conditionalFormatting sqref="A58:C61">
    <cfRule type="cellIs" dxfId="208" priority="122" operator="equal">
      <formula>0</formula>
    </cfRule>
  </conditionalFormatting>
  <conditionalFormatting sqref="A54:H56">
    <cfRule type="cellIs" dxfId="207" priority="121" operator="equal">
      <formula>0</formula>
    </cfRule>
  </conditionalFormatting>
  <conditionalFormatting sqref="I54:I56">
    <cfRule type="cellIs" dxfId="206" priority="120" operator="equal">
      <formula>0</formula>
    </cfRule>
  </conditionalFormatting>
  <conditionalFormatting sqref="E58:E61">
    <cfRule type="cellIs" dxfId="205" priority="119" operator="equal">
      <formula>0</formula>
    </cfRule>
  </conditionalFormatting>
  <conditionalFormatting sqref="D58:D61">
    <cfRule type="cellIs" dxfId="204" priority="118" operator="equal">
      <formula>0</formula>
    </cfRule>
  </conditionalFormatting>
  <conditionalFormatting sqref="A83:A86 H83:I86 P83:XFD86">
    <cfRule type="cellIs" dxfId="203" priority="117" operator="equal">
      <formula>0</formula>
    </cfRule>
  </conditionalFormatting>
  <conditionalFormatting sqref="A67:A70 H67:H69 H70:I70 P67:XFD70">
    <cfRule type="cellIs" dxfId="202" priority="116" operator="equal">
      <formula>0</formula>
    </cfRule>
  </conditionalFormatting>
  <conditionalFormatting sqref="I67:I69">
    <cfRule type="cellIs" dxfId="201" priority="115" operator="equal">
      <formula>0</formula>
    </cfRule>
  </conditionalFormatting>
  <conditionalFormatting sqref="A275:H277">
    <cfRule type="cellIs" dxfId="200" priority="114" operator="equal">
      <formula>0</formula>
    </cfRule>
  </conditionalFormatting>
  <conditionalFormatting sqref="I275:I277">
    <cfRule type="cellIs" dxfId="199" priority="113" operator="equal">
      <formula>0</formula>
    </cfRule>
  </conditionalFormatting>
  <conditionalFormatting sqref="A92:C95">
    <cfRule type="cellIs" dxfId="198" priority="112" operator="equal">
      <formula>0</formula>
    </cfRule>
  </conditionalFormatting>
  <conditionalFormatting sqref="D92:D95">
    <cfRule type="cellIs" dxfId="197" priority="111" operator="equal">
      <formula>0</formula>
    </cfRule>
  </conditionalFormatting>
  <conditionalFormatting sqref="E92:E95">
    <cfRule type="cellIs" dxfId="196" priority="110" operator="equal">
      <formula>0</formula>
    </cfRule>
  </conditionalFormatting>
  <conditionalFormatting sqref="A105:C108">
    <cfRule type="cellIs" dxfId="195" priority="109" operator="equal">
      <formula>0</formula>
    </cfRule>
  </conditionalFormatting>
  <conditionalFormatting sqref="A101:H103">
    <cfRule type="cellIs" dxfId="194" priority="108" operator="equal">
      <formula>0</formula>
    </cfRule>
  </conditionalFormatting>
  <conditionalFormatting sqref="I101:I103">
    <cfRule type="cellIs" dxfId="193" priority="107" operator="equal">
      <formula>0</formula>
    </cfRule>
  </conditionalFormatting>
  <conditionalFormatting sqref="E105:E108">
    <cfRule type="cellIs" dxfId="192" priority="106" operator="equal">
      <formula>0</formula>
    </cfRule>
  </conditionalFormatting>
  <conditionalFormatting sqref="D105:D108">
    <cfRule type="cellIs" dxfId="191" priority="105" operator="equal">
      <formula>0</formula>
    </cfRule>
  </conditionalFormatting>
  <conditionalFormatting sqref="A114:C117">
    <cfRule type="cellIs" dxfId="190" priority="104" operator="equal">
      <formula>0</formula>
    </cfRule>
  </conditionalFormatting>
  <conditionalFormatting sqref="E114:E117">
    <cfRule type="cellIs" dxfId="189" priority="103" operator="equal">
      <formula>0</formula>
    </cfRule>
  </conditionalFormatting>
  <conditionalFormatting sqref="D114:D117">
    <cfRule type="cellIs" dxfId="188" priority="102" operator="equal">
      <formula>0</formula>
    </cfRule>
  </conditionalFormatting>
  <conditionalFormatting sqref="A127:C130">
    <cfRule type="cellIs" dxfId="187" priority="101" operator="equal">
      <formula>0</formula>
    </cfRule>
  </conditionalFormatting>
  <conditionalFormatting sqref="A123:H125">
    <cfRule type="cellIs" dxfId="186" priority="100" operator="equal">
      <formula>0</formula>
    </cfRule>
  </conditionalFormatting>
  <conditionalFormatting sqref="I123:I125">
    <cfRule type="cellIs" dxfId="185" priority="99" operator="equal">
      <formula>0</formula>
    </cfRule>
  </conditionalFormatting>
  <conditionalFormatting sqref="E127:E130">
    <cfRule type="cellIs" dxfId="184" priority="98" operator="equal">
      <formula>0</formula>
    </cfRule>
  </conditionalFormatting>
  <conditionalFormatting sqref="D127:D130">
    <cfRule type="cellIs" dxfId="183" priority="97" operator="equal">
      <formula>0</formula>
    </cfRule>
  </conditionalFormatting>
  <conditionalFormatting sqref="A136:C139">
    <cfRule type="cellIs" dxfId="182" priority="96" operator="equal">
      <formula>0</formula>
    </cfRule>
  </conditionalFormatting>
  <conditionalFormatting sqref="E136:E139">
    <cfRule type="cellIs" dxfId="181" priority="95" operator="equal">
      <formula>0</formula>
    </cfRule>
  </conditionalFormatting>
  <conditionalFormatting sqref="D136:D139">
    <cfRule type="cellIs" dxfId="180" priority="94" operator="equal">
      <formula>0</formula>
    </cfRule>
  </conditionalFormatting>
  <conditionalFormatting sqref="A149:C152">
    <cfRule type="cellIs" dxfId="179" priority="93" operator="equal">
      <formula>0</formula>
    </cfRule>
  </conditionalFormatting>
  <conditionalFormatting sqref="A145:H147">
    <cfRule type="cellIs" dxfId="178" priority="92" operator="equal">
      <formula>0</formula>
    </cfRule>
  </conditionalFormatting>
  <conditionalFormatting sqref="I145:I147">
    <cfRule type="cellIs" dxfId="177" priority="91" operator="equal">
      <formula>0</formula>
    </cfRule>
  </conditionalFormatting>
  <conditionalFormatting sqref="E149:E152">
    <cfRule type="cellIs" dxfId="176" priority="90" operator="equal">
      <formula>0</formula>
    </cfRule>
  </conditionalFormatting>
  <conditionalFormatting sqref="D149:D152">
    <cfRule type="cellIs" dxfId="175" priority="89" operator="equal">
      <formula>0</formula>
    </cfRule>
  </conditionalFormatting>
  <conditionalFormatting sqref="A175:C178">
    <cfRule type="cellIs" dxfId="174" priority="88" operator="equal">
      <formula>0</formula>
    </cfRule>
  </conditionalFormatting>
  <conditionalFormatting sqref="A171:H173">
    <cfRule type="cellIs" dxfId="173" priority="87" operator="equal">
      <formula>0</formula>
    </cfRule>
  </conditionalFormatting>
  <conditionalFormatting sqref="I171:I173">
    <cfRule type="cellIs" dxfId="172" priority="86" operator="equal">
      <formula>0</formula>
    </cfRule>
  </conditionalFormatting>
  <conditionalFormatting sqref="E175:E178">
    <cfRule type="cellIs" dxfId="171" priority="85" operator="equal">
      <formula>0</formula>
    </cfRule>
  </conditionalFormatting>
  <conditionalFormatting sqref="D175:D178">
    <cfRule type="cellIs" dxfId="170" priority="84" operator="equal">
      <formula>0</formula>
    </cfRule>
  </conditionalFormatting>
  <conditionalFormatting sqref="A205:C208">
    <cfRule type="cellIs" dxfId="169" priority="83" operator="equal">
      <formula>0</formula>
    </cfRule>
  </conditionalFormatting>
  <conditionalFormatting sqref="A201:H203">
    <cfRule type="cellIs" dxfId="168" priority="82" operator="equal">
      <formula>0</formula>
    </cfRule>
  </conditionalFormatting>
  <conditionalFormatting sqref="I201:I203">
    <cfRule type="cellIs" dxfId="167" priority="81" operator="equal">
      <formula>0</formula>
    </cfRule>
  </conditionalFormatting>
  <conditionalFormatting sqref="E205:E208">
    <cfRule type="cellIs" dxfId="166" priority="80" operator="equal">
      <formula>0</formula>
    </cfRule>
  </conditionalFormatting>
  <conditionalFormatting sqref="D205:D208">
    <cfRule type="cellIs" dxfId="165" priority="79" operator="equal">
      <formula>0</formula>
    </cfRule>
  </conditionalFormatting>
  <conditionalFormatting sqref="A218:C221">
    <cfRule type="cellIs" dxfId="164" priority="78" operator="equal">
      <formula>0</formula>
    </cfRule>
  </conditionalFormatting>
  <conditionalFormatting sqref="A214:H216">
    <cfRule type="cellIs" dxfId="163" priority="77" operator="equal">
      <formula>0</formula>
    </cfRule>
  </conditionalFormatting>
  <conditionalFormatting sqref="I214:I216">
    <cfRule type="cellIs" dxfId="162" priority="76" operator="equal">
      <formula>0</formula>
    </cfRule>
  </conditionalFormatting>
  <conditionalFormatting sqref="E218:E221">
    <cfRule type="cellIs" dxfId="161" priority="75" operator="equal">
      <formula>0</formula>
    </cfRule>
  </conditionalFormatting>
  <conditionalFormatting sqref="D218:D221">
    <cfRule type="cellIs" dxfId="160" priority="74" operator="equal">
      <formula>0</formula>
    </cfRule>
  </conditionalFormatting>
  <conditionalFormatting sqref="A162:C165">
    <cfRule type="cellIs" dxfId="159" priority="73" operator="equal">
      <formula>0</formula>
    </cfRule>
  </conditionalFormatting>
  <conditionalFormatting sqref="A158:H160">
    <cfRule type="cellIs" dxfId="158" priority="72" operator="equal">
      <formula>0</formula>
    </cfRule>
  </conditionalFormatting>
  <conditionalFormatting sqref="I158:I160">
    <cfRule type="cellIs" dxfId="157" priority="71" operator="equal">
      <formula>0</formula>
    </cfRule>
  </conditionalFormatting>
  <conditionalFormatting sqref="E162:E165">
    <cfRule type="cellIs" dxfId="156" priority="70" operator="equal">
      <formula>0</formula>
    </cfRule>
  </conditionalFormatting>
  <conditionalFormatting sqref="D162:D165">
    <cfRule type="cellIs" dxfId="155" priority="69" operator="equal">
      <formula>0</formula>
    </cfRule>
  </conditionalFormatting>
  <conditionalFormatting sqref="A231:C234">
    <cfRule type="cellIs" dxfId="154" priority="68" operator="equal">
      <formula>0</formula>
    </cfRule>
  </conditionalFormatting>
  <conditionalFormatting sqref="A227:H229">
    <cfRule type="cellIs" dxfId="153" priority="67" operator="equal">
      <formula>0</formula>
    </cfRule>
  </conditionalFormatting>
  <conditionalFormatting sqref="I227:I229">
    <cfRule type="cellIs" dxfId="152" priority="66" operator="equal">
      <formula>0</formula>
    </cfRule>
  </conditionalFormatting>
  <conditionalFormatting sqref="E231:E234">
    <cfRule type="cellIs" dxfId="151" priority="65" operator="equal">
      <formula>0</formula>
    </cfRule>
  </conditionalFormatting>
  <conditionalFormatting sqref="D231:D234">
    <cfRule type="cellIs" dxfId="150" priority="64" operator="equal">
      <formula>0</formula>
    </cfRule>
  </conditionalFormatting>
  <conditionalFormatting sqref="A244:C247">
    <cfRule type="cellIs" dxfId="149" priority="63" operator="equal">
      <formula>0</formula>
    </cfRule>
  </conditionalFormatting>
  <conditionalFormatting sqref="A240:H242">
    <cfRule type="cellIs" dxfId="148" priority="62" operator="equal">
      <formula>0</formula>
    </cfRule>
  </conditionalFormatting>
  <conditionalFormatting sqref="I240:I242">
    <cfRule type="cellIs" dxfId="147" priority="61" operator="equal">
      <formula>0</formula>
    </cfRule>
  </conditionalFormatting>
  <conditionalFormatting sqref="E244:E247">
    <cfRule type="cellIs" dxfId="146" priority="60" operator="equal">
      <formula>0</formula>
    </cfRule>
  </conditionalFormatting>
  <conditionalFormatting sqref="D244:D247">
    <cfRule type="cellIs" dxfId="145" priority="59" operator="equal">
      <formula>0</formula>
    </cfRule>
  </conditionalFormatting>
  <conditionalFormatting sqref="A257:C260">
    <cfRule type="cellIs" dxfId="144" priority="58" operator="equal">
      <formula>0</formula>
    </cfRule>
  </conditionalFormatting>
  <conditionalFormatting sqref="A253:H255">
    <cfRule type="cellIs" dxfId="143" priority="57" operator="equal">
      <formula>0</formula>
    </cfRule>
  </conditionalFormatting>
  <conditionalFormatting sqref="I253:I255">
    <cfRule type="cellIs" dxfId="142" priority="56" operator="equal">
      <formula>0</formula>
    </cfRule>
  </conditionalFormatting>
  <conditionalFormatting sqref="E257:E260">
    <cfRule type="cellIs" dxfId="141" priority="55" operator="equal">
      <formula>0</formula>
    </cfRule>
  </conditionalFormatting>
  <conditionalFormatting sqref="D257:D260">
    <cfRule type="cellIs" dxfId="140" priority="54" operator="equal">
      <formula>0</formula>
    </cfRule>
  </conditionalFormatting>
  <conditionalFormatting sqref="A288:C291">
    <cfRule type="cellIs" dxfId="139" priority="53" operator="equal">
      <formula>0</formula>
    </cfRule>
  </conditionalFormatting>
  <conditionalFormatting sqref="A284:H286">
    <cfRule type="cellIs" dxfId="138" priority="52" operator="equal">
      <formula>0</formula>
    </cfRule>
  </conditionalFormatting>
  <conditionalFormatting sqref="I284:I286">
    <cfRule type="cellIs" dxfId="137" priority="51" operator="equal">
      <formula>0</formula>
    </cfRule>
  </conditionalFormatting>
  <conditionalFormatting sqref="D288:D291">
    <cfRule type="cellIs" dxfId="136" priority="50" operator="equal">
      <formula>0</formula>
    </cfRule>
  </conditionalFormatting>
  <conditionalFormatting sqref="F288:F291">
    <cfRule type="cellIs" dxfId="135" priority="49" operator="equal">
      <formula>0</formula>
    </cfRule>
  </conditionalFormatting>
  <conditionalFormatting sqref="E288:E291">
    <cfRule type="cellIs" dxfId="134" priority="48" operator="equal">
      <formula>0</formula>
    </cfRule>
  </conditionalFormatting>
  <conditionalFormatting sqref="A192:A195">
    <cfRule type="cellIs" dxfId="133" priority="47" operator="equal">
      <formula>0</formula>
    </cfRule>
  </conditionalFormatting>
  <conditionalFormatting sqref="A184:A186 H184:H186">
    <cfRule type="cellIs" dxfId="132" priority="46" operator="equal">
      <formula>0</formula>
    </cfRule>
  </conditionalFormatting>
  <conditionalFormatting sqref="I184:I186">
    <cfRule type="cellIs" dxfId="131" priority="45" operator="equal">
      <formula>0</formula>
    </cfRule>
  </conditionalFormatting>
  <conditionalFormatting sqref="A71:A74 H71:H73 H74:I74 P71:XFD74">
    <cfRule type="cellIs" dxfId="130" priority="44" operator="equal">
      <formula>0</formula>
    </cfRule>
  </conditionalFormatting>
  <conditionalFormatting sqref="I71:I73">
    <cfRule type="cellIs" dxfId="129" priority="43" operator="equal">
      <formula>0</formula>
    </cfRule>
  </conditionalFormatting>
  <conditionalFormatting sqref="A75:A78 H75:H77 H78:I78 P75:XFD78">
    <cfRule type="cellIs" dxfId="128" priority="42" operator="equal">
      <formula>0</formula>
    </cfRule>
  </conditionalFormatting>
  <conditionalFormatting sqref="I75:I77">
    <cfRule type="cellIs" dxfId="127" priority="41" operator="equal">
      <formula>0</formula>
    </cfRule>
  </conditionalFormatting>
  <conditionalFormatting sqref="A79:A82 H79:H81 H82:I82 P79:XFD82">
    <cfRule type="cellIs" dxfId="126" priority="40" operator="equal">
      <formula>0</formula>
    </cfRule>
  </conditionalFormatting>
  <conditionalFormatting sqref="I79:I81">
    <cfRule type="cellIs" dxfId="125" priority="39" operator="equal">
      <formula>0</formula>
    </cfRule>
  </conditionalFormatting>
  <conditionalFormatting sqref="B83:C86 F83:G86">
    <cfRule type="cellIs" dxfId="124" priority="38" operator="equal">
      <formula>0</formula>
    </cfRule>
  </conditionalFormatting>
  <conditionalFormatting sqref="B67:G70">
    <cfRule type="cellIs" dxfId="123" priority="37" operator="equal">
      <formula>0</formula>
    </cfRule>
  </conditionalFormatting>
  <conditionalFormatting sqref="D83:D86">
    <cfRule type="cellIs" dxfId="122" priority="36" operator="equal">
      <formula>0</formula>
    </cfRule>
  </conditionalFormatting>
  <conditionalFormatting sqref="E83:E86">
    <cfRule type="cellIs" dxfId="121" priority="35" operator="equal">
      <formula>0</formula>
    </cfRule>
  </conditionalFormatting>
  <conditionalFormatting sqref="B71:G74">
    <cfRule type="cellIs" dxfId="120" priority="34" operator="equal">
      <formula>0</formula>
    </cfRule>
  </conditionalFormatting>
  <conditionalFormatting sqref="B75:G78">
    <cfRule type="cellIs" dxfId="119" priority="33" operator="equal">
      <formula>0</formula>
    </cfRule>
  </conditionalFormatting>
  <conditionalFormatting sqref="B79:G82">
    <cfRule type="cellIs" dxfId="118" priority="32" operator="equal">
      <formula>0</formula>
    </cfRule>
  </conditionalFormatting>
  <conditionalFormatting sqref="B6:C9 F6:G9">
    <cfRule type="cellIs" dxfId="117" priority="31" operator="equal">
      <formula>0</formula>
    </cfRule>
  </conditionalFormatting>
  <conditionalFormatting sqref="D6:D9">
    <cfRule type="cellIs" dxfId="116" priority="30" operator="equal">
      <formula>0</formula>
    </cfRule>
  </conditionalFormatting>
  <conditionalFormatting sqref="E6:E9">
    <cfRule type="cellIs" dxfId="115" priority="29" operator="equal">
      <formula>0</formula>
    </cfRule>
  </conditionalFormatting>
  <conditionalFormatting sqref="A266:H268">
    <cfRule type="cellIs" dxfId="114" priority="28" operator="equal">
      <formula>0</formula>
    </cfRule>
  </conditionalFormatting>
  <conditionalFormatting sqref="I266:I268">
    <cfRule type="cellIs" dxfId="113" priority="27" operator="equal">
      <formula>0</formula>
    </cfRule>
  </conditionalFormatting>
  <conditionalFormatting sqref="B32:C35 F32:G35">
    <cfRule type="cellIs" dxfId="112" priority="26" operator="equal">
      <formula>0</formula>
    </cfRule>
  </conditionalFormatting>
  <conditionalFormatting sqref="B28:G31">
    <cfRule type="cellIs" dxfId="111" priority="25" operator="equal">
      <formula>0</formula>
    </cfRule>
  </conditionalFormatting>
  <conditionalFormatting sqref="E32:E35">
    <cfRule type="cellIs" dxfId="110" priority="24" operator="equal">
      <formula>0</formula>
    </cfRule>
  </conditionalFormatting>
  <conditionalFormatting sqref="D32:D35">
    <cfRule type="cellIs" dxfId="109" priority="23" operator="equal">
      <formula>0</formula>
    </cfRule>
  </conditionalFormatting>
  <conditionalFormatting sqref="P32:P35">
    <cfRule type="cellIs" dxfId="108" priority="22" operator="equal">
      <formula>0</formula>
    </cfRule>
  </conditionalFormatting>
  <conditionalFormatting sqref="P28:P31">
    <cfRule type="cellIs" dxfId="107" priority="21" operator="equal">
      <formula>0</formula>
    </cfRule>
  </conditionalFormatting>
  <conditionalFormatting sqref="D3:D4">
    <cfRule type="cellIs" dxfId="106" priority="20" operator="equal">
      <formula>0</formula>
    </cfRule>
  </conditionalFormatting>
  <conditionalFormatting sqref="H4">
    <cfRule type="cellIs" dxfId="105" priority="19" operator="equal">
      <formula>0</formula>
    </cfRule>
  </conditionalFormatting>
  <conditionalFormatting sqref="H3:O3">
    <cfRule type="cellIs" dxfId="104" priority="18" operator="equal">
      <formula>0</formula>
    </cfRule>
  </conditionalFormatting>
  <conditionalFormatting sqref="H188:I191 Q188:XFD191">
    <cfRule type="cellIs" dxfId="103" priority="17" operator="equal">
      <formula>0</formula>
    </cfRule>
  </conditionalFormatting>
  <conditionalFormatting sqref="A188:A191">
    <cfRule type="cellIs" dxfId="102" priority="16" operator="equal">
      <formula>0</formula>
    </cfRule>
  </conditionalFormatting>
  <conditionalFormatting sqref="B187:G187 F192:G195">
    <cfRule type="cellIs" dxfId="101" priority="15" operator="equal">
      <formula>0</formula>
    </cfRule>
  </conditionalFormatting>
  <conditionalFormatting sqref="B192:C195">
    <cfRule type="cellIs" dxfId="100" priority="14" operator="equal">
      <formula>0</formula>
    </cfRule>
  </conditionalFormatting>
  <conditionalFormatting sqref="B184:G186">
    <cfRule type="cellIs" dxfId="99" priority="13" operator="equal">
      <formula>0</formula>
    </cfRule>
  </conditionalFormatting>
  <conditionalFormatting sqref="E192:E195">
    <cfRule type="cellIs" dxfId="98" priority="12" operator="equal">
      <formula>0</formula>
    </cfRule>
  </conditionalFormatting>
  <conditionalFormatting sqref="D192:D195">
    <cfRule type="cellIs" dxfId="97" priority="11" operator="equal">
      <formula>0</formula>
    </cfRule>
  </conditionalFormatting>
  <conditionalFormatting sqref="B184:B187 B192:B195">
    <cfRule type="duplicateValues" dxfId="96" priority="10"/>
  </conditionalFormatting>
  <conditionalFormatting sqref="F188:G191">
    <cfRule type="cellIs" dxfId="95" priority="9" operator="equal">
      <formula>0</formula>
    </cfRule>
  </conditionalFormatting>
  <conditionalFormatting sqref="B188:C191">
    <cfRule type="cellIs" dxfId="94" priority="8" operator="equal">
      <formula>0</formula>
    </cfRule>
  </conditionalFormatting>
  <conditionalFormatting sqref="E188:E191">
    <cfRule type="cellIs" dxfId="93" priority="7" operator="equal">
      <formula>0</formula>
    </cfRule>
  </conditionalFormatting>
  <conditionalFormatting sqref="D188:D191">
    <cfRule type="cellIs" dxfId="92" priority="6" operator="equal">
      <formula>0</formula>
    </cfRule>
  </conditionalFormatting>
  <conditionalFormatting sqref="B188:B191">
    <cfRule type="duplicateValues" dxfId="91" priority="5"/>
  </conditionalFormatting>
  <conditionalFormatting sqref="J184:O187 J192:O195">
    <cfRule type="cellIs" dxfId="90" priority="4" operator="equal">
      <formula>0</formula>
    </cfRule>
  </conditionalFormatting>
  <conditionalFormatting sqref="J188:O191">
    <cfRule type="cellIs" dxfId="89" priority="3" operator="equal">
      <formula>0</formula>
    </cfRule>
  </conditionalFormatting>
  <conditionalFormatting sqref="P184:P187 P192:P195">
    <cfRule type="cellIs" dxfId="88" priority="2" operator="equal">
      <formula>0</formula>
    </cfRule>
  </conditionalFormatting>
  <conditionalFormatting sqref="P188:P191">
    <cfRule type="cellIs" dxfId="87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C19B1-5C27-4D88-A2F2-8361802AC07D}">
  <sheetPr>
    <pageSetUpPr fitToPage="1"/>
  </sheetPr>
  <dimension ref="B1:R728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1406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8" width="9.5703125" style="2" bestFit="1" customWidth="1"/>
    <col min="19" max="16384" width="9.140625" style="2"/>
  </cols>
  <sheetData>
    <row r="1" spans="2:17" ht="21.75" customHeight="1" x14ac:dyDescent="0.25">
      <c r="B1" s="120" t="s">
        <v>980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7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7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7" ht="25.5" customHeight="1" x14ac:dyDescent="0.2">
      <c r="B5" s="111" t="s">
        <v>79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7" ht="42.75" outlineLevel="1" x14ac:dyDescent="0.2">
      <c r="B6" s="114" t="s">
        <v>1876</v>
      </c>
      <c r="C6" s="114"/>
      <c r="D6" s="114" t="s">
        <v>79</v>
      </c>
      <c r="E6" s="114">
        <v>2024</v>
      </c>
      <c r="F6" s="114" t="s">
        <v>1026</v>
      </c>
      <c r="G6" s="114" t="s">
        <v>138</v>
      </c>
      <c r="H6" s="95" t="s">
        <v>3</v>
      </c>
      <c r="I6" s="94">
        <f>SUM(J6:O6)</f>
        <v>24</v>
      </c>
      <c r="J6" s="94">
        <f t="shared" ref="J6:O6" si="0">J7+J8+J9</f>
        <v>0</v>
      </c>
      <c r="K6" s="94">
        <f t="shared" si="0"/>
        <v>0</v>
      </c>
      <c r="L6" s="94">
        <f t="shared" si="0"/>
        <v>0</v>
      </c>
      <c r="M6" s="94">
        <f t="shared" si="0"/>
        <v>0</v>
      </c>
      <c r="N6" s="94">
        <f t="shared" si="0"/>
        <v>24</v>
      </c>
      <c r="O6" s="94">
        <f t="shared" si="0"/>
        <v>0</v>
      </c>
      <c r="P6" s="178"/>
    </row>
    <row r="7" spans="2:17" outlineLevel="1" x14ac:dyDescent="0.2">
      <c r="B7" s="115"/>
      <c r="C7" s="137"/>
      <c r="D7" s="115"/>
      <c r="E7" s="115"/>
      <c r="F7" s="115"/>
      <c r="G7" s="115"/>
      <c r="H7" s="95" t="s">
        <v>4</v>
      </c>
      <c r="I7" s="94"/>
      <c r="J7" s="94"/>
      <c r="K7" s="94"/>
      <c r="L7" s="87"/>
      <c r="M7" s="94"/>
      <c r="N7" s="94"/>
      <c r="O7" s="94"/>
      <c r="P7" s="178"/>
    </row>
    <row r="8" spans="2:17" outlineLevel="1" x14ac:dyDescent="0.2">
      <c r="B8" s="115"/>
      <c r="C8" s="137"/>
      <c r="D8" s="115"/>
      <c r="E8" s="115"/>
      <c r="F8" s="115"/>
      <c r="G8" s="115"/>
      <c r="H8" s="95" t="s">
        <v>6</v>
      </c>
      <c r="I8" s="94">
        <f>SUM(J8:O8)</f>
        <v>24</v>
      </c>
      <c r="J8" s="94"/>
      <c r="K8" s="94"/>
      <c r="L8" s="87"/>
      <c r="M8" s="94"/>
      <c r="N8" s="94">
        <v>24</v>
      </c>
      <c r="O8" s="94"/>
      <c r="P8" s="178"/>
    </row>
    <row r="9" spans="2:17" outlineLevel="1" x14ac:dyDescent="0.2">
      <c r="B9" s="116"/>
      <c r="C9" s="138"/>
      <c r="D9" s="116"/>
      <c r="E9" s="116"/>
      <c r="F9" s="116"/>
      <c r="G9" s="116"/>
      <c r="H9" s="95" t="s">
        <v>5</v>
      </c>
      <c r="I9" s="94"/>
      <c r="J9" s="87"/>
      <c r="K9" s="87"/>
      <c r="L9" s="87"/>
      <c r="M9" s="87"/>
      <c r="N9" s="87"/>
      <c r="O9" s="87"/>
      <c r="P9" s="178"/>
    </row>
    <row r="10" spans="2:17" ht="42.75" x14ac:dyDescent="0.2">
      <c r="B10" s="128" t="s">
        <v>89</v>
      </c>
      <c r="C10" s="128" t="s">
        <v>38</v>
      </c>
      <c r="D10" s="128" t="s">
        <v>38</v>
      </c>
      <c r="E10" s="128" t="s">
        <v>38</v>
      </c>
      <c r="F10" s="128" t="s">
        <v>38</v>
      </c>
      <c r="G10" s="128" t="s">
        <v>38</v>
      </c>
      <c r="H10" s="95" t="s">
        <v>3</v>
      </c>
      <c r="I10" s="14">
        <f>SUMIF($H$6:$H$9,"Объем*",I$6:I$9)</f>
        <v>24</v>
      </c>
      <c r="J10" s="14">
        <f t="shared" ref="J10:O10" si="1">SUMIF($H$6:$H$9,"Объем*",J$6:J$9)</f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24</v>
      </c>
      <c r="O10" s="14">
        <f t="shared" si="1"/>
        <v>0</v>
      </c>
      <c r="P10" s="128"/>
      <c r="Q10" s="7"/>
    </row>
    <row r="11" spans="2:17" ht="15.75" x14ac:dyDescent="0.2">
      <c r="B11" s="129"/>
      <c r="C11" s="129"/>
      <c r="D11" s="129"/>
      <c r="E11" s="129"/>
      <c r="F11" s="129"/>
      <c r="G11" s="129"/>
      <c r="H11" s="95" t="s">
        <v>4</v>
      </c>
      <c r="I11" s="14">
        <f>SUMIF($H$6:$H$9,"фед*",I$6:I$9)</f>
        <v>0</v>
      </c>
      <c r="J11" s="14">
        <f t="shared" ref="J11:O11" si="2">SUMIF($H$6:$H$9,"фед*",J$6:J$9)</f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29"/>
    </row>
    <row r="12" spans="2:17" ht="15.75" x14ac:dyDescent="0.2">
      <c r="B12" s="129"/>
      <c r="C12" s="129"/>
      <c r="D12" s="129"/>
      <c r="E12" s="129"/>
      <c r="F12" s="129"/>
      <c r="G12" s="129"/>
      <c r="H12" s="95" t="s">
        <v>6</v>
      </c>
      <c r="I12" s="14">
        <f>SUMIF($H$6:$H$9,"конс*",I$6:I$9)</f>
        <v>24</v>
      </c>
      <c r="J12" s="14">
        <f t="shared" ref="J12:O12" si="3">SUMIF($H$6:$H$9,"конс*",J$6:J$9)</f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24</v>
      </c>
      <c r="O12" s="14">
        <f t="shared" si="3"/>
        <v>0</v>
      </c>
      <c r="P12" s="129"/>
    </row>
    <row r="13" spans="2:17" ht="15.75" x14ac:dyDescent="0.2">
      <c r="B13" s="130"/>
      <c r="C13" s="130"/>
      <c r="D13" s="130"/>
      <c r="E13" s="130"/>
      <c r="F13" s="130"/>
      <c r="G13" s="130"/>
      <c r="H13" s="95" t="s">
        <v>5</v>
      </c>
      <c r="I13" s="14">
        <f>SUMIF($H$6:$H$9,"вне*",I$6:I$9)</f>
        <v>0</v>
      </c>
      <c r="J13" s="14">
        <f t="shared" ref="J13:O13" si="4">SUMIF($H$6:$H$9,"вне*",J$6:J$9)</f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4"/>
        <v>0</v>
      </c>
      <c r="O13" s="14">
        <f t="shared" si="4"/>
        <v>0</v>
      </c>
      <c r="P13" s="130"/>
    </row>
    <row r="14" spans="2:17" ht="25.5" customHeight="1" x14ac:dyDescent="0.2">
      <c r="B14" s="111" t="s">
        <v>90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</row>
    <row r="15" spans="2:17" ht="37.5" customHeight="1" outlineLevel="1" x14ac:dyDescent="0.2">
      <c r="B15" s="117" t="s">
        <v>981</v>
      </c>
      <c r="C15" s="117" t="s">
        <v>982</v>
      </c>
      <c r="D15" s="117" t="s">
        <v>983</v>
      </c>
      <c r="E15" s="117">
        <v>2020</v>
      </c>
      <c r="F15" s="117"/>
      <c r="G15" s="178" t="s">
        <v>984</v>
      </c>
      <c r="H15" s="95" t="s">
        <v>3</v>
      </c>
      <c r="I15" s="94">
        <f>SUM(J15:O15)</f>
        <v>1.2</v>
      </c>
      <c r="J15" s="94">
        <f t="shared" ref="J15:O15" si="5">J16+J17+J18</f>
        <v>1.2</v>
      </c>
      <c r="K15" s="94">
        <f t="shared" si="5"/>
        <v>0</v>
      </c>
      <c r="L15" s="94">
        <f t="shared" si="5"/>
        <v>0</v>
      </c>
      <c r="M15" s="94">
        <f t="shared" si="5"/>
        <v>0</v>
      </c>
      <c r="N15" s="94">
        <f t="shared" si="5"/>
        <v>0</v>
      </c>
      <c r="O15" s="94">
        <f t="shared" si="5"/>
        <v>0</v>
      </c>
      <c r="P15" s="178"/>
    </row>
    <row r="16" spans="2:17" ht="17.25" customHeight="1" outlineLevel="1" x14ac:dyDescent="0.2">
      <c r="B16" s="118"/>
      <c r="C16" s="118"/>
      <c r="D16" s="118"/>
      <c r="E16" s="118"/>
      <c r="F16" s="118"/>
      <c r="G16" s="178"/>
      <c r="H16" s="95" t="s">
        <v>4</v>
      </c>
      <c r="I16" s="94"/>
      <c r="J16" s="94"/>
      <c r="K16" s="94"/>
      <c r="L16" s="87"/>
      <c r="M16" s="94"/>
      <c r="N16" s="94"/>
      <c r="O16" s="94"/>
      <c r="P16" s="178"/>
    </row>
    <row r="17" spans="2:16" ht="17.25" customHeight="1" outlineLevel="1" x14ac:dyDescent="0.2">
      <c r="B17" s="118"/>
      <c r="C17" s="118"/>
      <c r="D17" s="118"/>
      <c r="E17" s="118"/>
      <c r="F17" s="118"/>
      <c r="G17" s="178"/>
      <c r="H17" s="95" t="s">
        <v>6</v>
      </c>
      <c r="I17" s="94">
        <f>SUM(J17:O17)</f>
        <v>1.2</v>
      </c>
      <c r="J17" s="94">
        <v>1.2</v>
      </c>
      <c r="K17" s="94"/>
      <c r="L17" s="87"/>
      <c r="M17" s="94"/>
      <c r="N17" s="94"/>
      <c r="O17" s="94"/>
      <c r="P17" s="178"/>
    </row>
    <row r="18" spans="2:16" ht="17.25" customHeight="1" outlineLevel="1" x14ac:dyDescent="0.2">
      <c r="B18" s="119"/>
      <c r="C18" s="119"/>
      <c r="D18" s="119"/>
      <c r="E18" s="119"/>
      <c r="F18" s="119"/>
      <c r="G18" s="178"/>
      <c r="H18" s="95" t="s">
        <v>5</v>
      </c>
      <c r="I18" s="94"/>
      <c r="J18" s="87"/>
      <c r="K18" s="87"/>
      <c r="L18" s="87"/>
      <c r="M18" s="87"/>
      <c r="N18" s="87"/>
      <c r="O18" s="87"/>
      <c r="P18" s="178"/>
    </row>
    <row r="19" spans="2:16" ht="55.5" customHeight="1" outlineLevel="1" x14ac:dyDescent="0.2">
      <c r="B19" s="117" t="s">
        <v>985</v>
      </c>
      <c r="C19" s="117" t="s">
        <v>986</v>
      </c>
      <c r="D19" s="150" t="s">
        <v>987</v>
      </c>
      <c r="E19" s="117">
        <v>2020</v>
      </c>
      <c r="F19" s="117"/>
      <c r="G19" s="178" t="s">
        <v>988</v>
      </c>
      <c r="H19" s="95" t="s">
        <v>3</v>
      </c>
      <c r="I19" s="94">
        <f>SUM(J19:O19)</f>
        <v>3.6</v>
      </c>
      <c r="J19" s="94">
        <f t="shared" ref="J19:O19" si="6">J20+J21+J22</f>
        <v>3.6</v>
      </c>
      <c r="K19" s="94">
        <f t="shared" si="6"/>
        <v>0</v>
      </c>
      <c r="L19" s="94">
        <f t="shared" si="6"/>
        <v>0</v>
      </c>
      <c r="M19" s="94">
        <f t="shared" si="6"/>
        <v>0</v>
      </c>
      <c r="N19" s="94">
        <f t="shared" si="6"/>
        <v>0</v>
      </c>
      <c r="O19" s="94">
        <f t="shared" si="6"/>
        <v>0</v>
      </c>
      <c r="P19" s="178"/>
    </row>
    <row r="20" spans="2:16" ht="17.25" customHeight="1" outlineLevel="1" x14ac:dyDescent="0.2">
      <c r="B20" s="118"/>
      <c r="C20" s="118"/>
      <c r="D20" s="151"/>
      <c r="E20" s="118"/>
      <c r="F20" s="118"/>
      <c r="G20" s="178"/>
      <c r="H20" s="95" t="s">
        <v>4</v>
      </c>
      <c r="I20" s="94">
        <f>SUM(J20:O20)</f>
        <v>3</v>
      </c>
      <c r="J20" s="94">
        <v>3</v>
      </c>
      <c r="K20" s="94"/>
      <c r="L20" s="87"/>
      <c r="M20" s="94"/>
      <c r="N20" s="94"/>
      <c r="O20" s="94"/>
      <c r="P20" s="178"/>
    </row>
    <row r="21" spans="2:16" ht="17.25" customHeight="1" outlineLevel="1" x14ac:dyDescent="0.2">
      <c r="B21" s="118"/>
      <c r="C21" s="118"/>
      <c r="D21" s="151"/>
      <c r="E21" s="118"/>
      <c r="F21" s="118"/>
      <c r="G21" s="178"/>
      <c r="H21" s="95" t="s">
        <v>6</v>
      </c>
      <c r="I21" s="94">
        <f>SUM(J21:O21)</f>
        <v>0.6</v>
      </c>
      <c r="J21" s="94">
        <v>0.6</v>
      </c>
      <c r="K21" s="94"/>
      <c r="L21" s="87"/>
      <c r="M21" s="94"/>
      <c r="N21" s="94"/>
      <c r="O21" s="94"/>
      <c r="P21" s="178"/>
    </row>
    <row r="22" spans="2:16" ht="17.25" customHeight="1" outlineLevel="1" x14ac:dyDescent="0.2">
      <c r="B22" s="119"/>
      <c r="C22" s="119"/>
      <c r="D22" s="152"/>
      <c r="E22" s="119"/>
      <c r="F22" s="119"/>
      <c r="G22" s="178"/>
      <c r="H22" s="95" t="s">
        <v>5</v>
      </c>
      <c r="I22" s="94"/>
      <c r="J22" s="87"/>
      <c r="K22" s="87"/>
      <c r="L22" s="87"/>
      <c r="M22" s="87"/>
      <c r="N22" s="87"/>
      <c r="O22" s="87"/>
      <c r="P22" s="178"/>
    </row>
    <row r="23" spans="2:16" ht="37.5" customHeight="1" outlineLevel="1" x14ac:dyDescent="0.2">
      <c r="B23" s="117" t="s">
        <v>989</v>
      </c>
      <c r="C23" s="117" t="s">
        <v>982</v>
      </c>
      <c r="D23" s="117" t="s">
        <v>983</v>
      </c>
      <c r="E23" s="117">
        <v>2020</v>
      </c>
      <c r="F23" s="117"/>
      <c r="G23" s="178" t="s">
        <v>984</v>
      </c>
      <c r="H23" s="95" t="s">
        <v>3</v>
      </c>
      <c r="I23" s="94">
        <f>SUM(J23:O23)</f>
        <v>2.5</v>
      </c>
      <c r="J23" s="94">
        <f t="shared" ref="J23:O23" si="7">J24+J25+J26</f>
        <v>2.5</v>
      </c>
      <c r="K23" s="94">
        <f t="shared" si="7"/>
        <v>0</v>
      </c>
      <c r="L23" s="94">
        <f t="shared" si="7"/>
        <v>0</v>
      </c>
      <c r="M23" s="94">
        <f t="shared" si="7"/>
        <v>0</v>
      </c>
      <c r="N23" s="94">
        <f t="shared" si="7"/>
        <v>0</v>
      </c>
      <c r="O23" s="94">
        <f t="shared" si="7"/>
        <v>0</v>
      </c>
      <c r="P23" s="178"/>
    </row>
    <row r="24" spans="2:16" ht="17.25" customHeight="1" outlineLevel="1" x14ac:dyDescent="0.2">
      <c r="B24" s="118"/>
      <c r="C24" s="118"/>
      <c r="D24" s="118"/>
      <c r="E24" s="118"/>
      <c r="F24" s="118"/>
      <c r="G24" s="178"/>
      <c r="H24" s="95" t="s">
        <v>4</v>
      </c>
      <c r="I24" s="94"/>
      <c r="J24" s="94"/>
      <c r="K24" s="94"/>
      <c r="L24" s="87"/>
      <c r="M24" s="94"/>
      <c r="N24" s="94"/>
      <c r="O24" s="94"/>
      <c r="P24" s="178"/>
    </row>
    <row r="25" spans="2:16" ht="17.25" customHeight="1" outlineLevel="1" x14ac:dyDescent="0.2">
      <c r="B25" s="118"/>
      <c r="C25" s="118"/>
      <c r="D25" s="118"/>
      <c r="E25" s="118"/>
      <c r="F25" s="118"/>
      <c r="G25" s="178"/>
      <c r="H25" s="95" t="s">
        <v>6</v>
      </c>
      <c r="I25" s="94">
        <f>SUM(J25:O25)</f>
        <v>2.5</v>
      </c>
      <c r="J25" s="94">
        <v>2.5</v>
      </c>
      <c r="K25" s="94"/>
      <c r="L25" s="87"/>
      <c r="M25" s="94"/>
      <c r="N25" s="94"/>
      <c r="O25" s="94"/>
      <c r="P25" s="178"/>
    </row>
    <row r="26" spans="2:16" ht="17.25" customHeight="1" outlineLevel="1" x14ac:dyDescent="0.2">
      <c r="B26" s="119"/>
      <c r="C26" s="119"/>
      <c r="D26" s="119"/>
      <c r="E26" s="119"/>
      <c r="F26" s="119"/>
      <c r="G26" s="178"/>
      <c r="H26" s="95" t="s">
        <v>5</v>
      </c>
      <c r="I26" s="94"/>
      <c r="J26" s="87"/>
      <c r="K26" s="87"/>
      <c r="L26" s="87"/>
      <c r="M26" s="87"/>
      <c r="N26" s="87"/>
      <c r="O26" s="87"/>
      <c r="P26" s="178"/>
    </row>
    <row r="27" spans="2:16" ht="37.5" customHeight="1" outlineLevel="1" x14ac:dyDescent="0.2">
      <c r="B27" s="117" t="s">
        <v>990</v>
      </c>
      <c r="C27" s="117" t="s">
        <v>982</v>
      </c>
      <c r="D27" s="150" t="s">
        <v>991</v>
      </c>
      <c r="E27" s="117" t="s">
        <v>203</v>
      </c>
      <c r="F27" s="117"/>
      <c r="G27" s="117" t="s">
        <v>992</v>
      </c>
      <c r="H27" s="95" t="s">
        <v>3</v>
      </c>
      <c r="I27" s="94">
        <f>SUM(J27:O27)</f>
        <v>4.2</v>
      </c>
      <c r="J27" s="94">
        <f t="shared" ref="J27:O27" si="8">J28+J29+J30</f>
        <v>4.2</v>
      </c>
      <c r="K27" s="94">
        <f t="shared" si="8"/>
        <v>0</v>
      </c>
      <c r="L27" s="94">
        <f t="shared" si="8"/>
        <v>0</v>
      </c>
      <c r="M27" s="94">
        <f t="shared" si="8"/>
        <v>0</v>
      </c>
      <c r="N27" s="94">
        <f t="shared" si="8"/>
        <v>0</v>
      </c>
      <c r="O27" s="94">
        <f t="shared" si="8"/>
        <v>0</v>
      </c>
      <c r="P27" s="178"/>
    </row>
    <row r="28" spans="2:16" ht="17.25" customHeight="1" outlineLevel="1" x14ac:dyDescent="0.2">
      <c r="B28" s="118"/>
      <c r="C28" s="118"/>
      <c r="D28" s="151"/>
      <c r="E28" s="118"/>
      <c r="F28" s="118"/>
      <c r="G28" s="118"/>
      <c r="H28" s="95" t="s">
        <v>4</v>
      </c>
      <c r="I28" s="94"/>
      <c r="J28" s="94"/>
      <c r="K28" s="94"/>
      <c r="L28" s="87"/>
      <c r="M28" s="94"/>
      <c r="N28" s="94"/>
      <c r="O28" s="94"/>
      <c r="P28" s="178"/>
    </row>
    <row r="29" spans="2:16" ht="17.25" customHeight="1" outlineLevel="1" x14ac:dyDescent="0.2">
      <c r="B29" s="118"/>
      <c r="C29" s="118"/>
      <c r="D29" s="151"/>
      <c r="E29" s="118"/>
      <c r="F29" s="118"/>
      <c r="G29" s="118"/>
      <c r="H29" s="95" t="s">
        <v>6</v>
      </c>
      <c r="I29" s="94">
        <f>SUM(J29:O29)</f>
        <v>4.2</v>
      </c>
      <c r="J29" s="94">
        <v>4.2</v>
      </c>
      <c r="K29" s="94"/>
      <c r="L29" s="87"/>
      <c r="M29" s="94"/>
      <c r="N29" s="94"/>
      <c r="O29" s="94"/>
      <c r="P29" s="178"/>
    </row>
    <row r="30" spans="2:16" ht="17.25" customHeight="1" outlineLevel="1" x14ac:dyDescent="0.2">
      <c r="B30" s="119"/>
      <c r="C30" s="119"/>
      <c r="D30" s="152"/>
      <c r="E30" s="119"/>
      <c r="F30" s="119"/>
      <c r="G30" s="119"/>
      <c r="H30" s="95" t="s">
        <v>5</v>
      </c>
      <c r="I30" s="94"/>
      <c r="J30" s="87"/>
      <c r="K30" s="87"/>
      <c r="L30" s="87"/>
      <c r="M30" s="87"/>
      <c r="N30" s="87"/>
      <c r="O30" s="87"/>
      <c r="P30" s="178"/>
    </row>
    <row r="31" spans="2:16" ht="55.5" customHeight="1" outlineLevel="1" x14ac:dyDescent="0.2">
      <c r="B31" s="117" t="s">
        <v>993</v>
      </c>
      <c r="C31" s="117" t="s">
        <v>982</v>
      </c>
      <c r="D31" s="117" t="s">
        <v>994</v>
      </c>
      <c r="E31" s="117" t="s">
        <v>203</v>
      </c>
      <c r="F31" s="117"/>
      <c r="G31" s="178" t="s">
        <v>995</v>
      </c>
      <c r="H31" s="95" t="s">
        <v>3</v>
      </c>
      <c r="I31" s="94">
        <f>SUM(J31:O31)</f>
        <v>4.7</v>
      </c>
      <c r="J31" s="94">
        <f t="shared" ref="J31:O31" si="9">J32+J33+J34</f>
        <v>4.7</v>
      </c>
      <c r="K31" s="94">
        <f t="shared" si="9"/>
        <v>0</v>
      </c>
      <c r="L31" s="94">
        <f t="shared" si="9"/>
        <v>0</v>
      </c>
      <c r="M31" s="94">
        <f t="shared" si="9"/>
        <v>0</v>
      </c>
      <c r="N31" s="94">
        <f t="shared" si="9"/>
        <v>0</v>
      </c>
      <c r="O31" s="94">
        <f t="shared" si="9"/>
        <v>0</v>
      </c>
      <c r="P31" s="178"/>
    </row>
    <row r="32" spans="2:16" ht="17.25" customHeight="1" outlineLevel="1" x14ac:dyDescent="0.2">
      <c r="B32" s="118"/>
      <c r="C32" s="118"/>
      <c r="D32" s="118"/>
      <c r="E32" s="118"/>
      <c r="F32" s="118"/>
      <c r="G32" s="178"/>
      <c r="H32" s="95" t="s">
        <v>4</v>
      </c>
      <c r="I32" s="94"/>
      <c r="J32" s="94"/>
      <c r="K32" s="94"/>
      <c r="L32" s="87"/>
      <c r="M32" s="94"/>
      <c r="N32" s="94"/>
      <c r="O32" s="94"/>
      <c r="P32" s="178"/>
    </row>
    <row r="33" spans="2:16" ht="17.25" customHeight="1" outlineLevel="1" x14ac:dyDescent="0.2">
      <c r="B33" s="118"/>
      <c r="C33" s="118"/>
      <c r="D33" s="118"/>
      <c r="E33" s="118"/>
      <c r="F33" s="118"/>
      <c r="G33" s="178"/>
      <c r="H33" s="95" t="s">
        <v>6</v>
      </c>
      <c r="I33" s="94">
        <f>SUM(J33:O33)</f>
        <v>4.7</v>
      </c>
      <c r="J33" s="94">
        <v>4.7</v>
      </c>
      <c r="K33" s="94"/>
      <c r="L33" s="87"/>
      <c r="M33" s="94"/>
      <c r="N33" s="94"/>
      <c r="O33" s="94"/>
      <c r="P33" s="178"/>
    </row>
    <row r="34" spans="2:16" ht="17.25" customHeight="1" outlineLevel="1" x14ac:dyDescent="0.2">
      <c r="B34" s="119"/>
      <c r="C34" s="119"/>
      <c r="D34" s="119"/>
      <c r="E34" s="119"/>
      <c r="F34" s="119"/>
      <c r="G34" s="178"/>
      <c r="H34" s="95" t="s">
        <v>5</v>
      </c>
      <c r="I34" s="94"/>
      <c r="J34" s="87"/>
      <c r="K34" s="87"/>
      <c r="L34" s="87"/>
      <c r="M34" s="87"/>
      <c r="N34" s="87"/>
      <c r="O34" s="87"/>
      <c r="P34" s="178"/>
    </row>
    <row r="35" spans="2:16" ht="37.5" customHeight="1" outlineLevel="1" x14ac:dyDescent="0.2">
      <c r="B35" s="117" t="s">
        <v>996</v>
      </c>
      <c r="C35" s="117"/>
      <c r="D35" s="150" t="s">
        <v>997</v>
      </c>
      <c r="E35" s="117">
        <v>2021</v>
      </c>
      <c r="F35" s="117" t="s">
        <v>998</v>
      </c>
      <c r="G35" s="178" t="s">
        <v>984</v>
      </c>
      <c r="H35" s="95" t="s">
        <v>3</v>
      </c>
      <c r="I35" s="94">
        <f>SUM(J35:O35)</f>
        <v>21.4</v>
      </c>
      <c r="J35" s="94">
        <f t="shared" ref="J35:O35" si="10">J36+J37+J38</f>
        <v>2</v>
      </c>
      <c r="K35" s="94">
        <f t="shared" si="10"/>
        <v>19.399999999999999</v>
      </c>
      <c r="L35" s="94">
        <f t="shared" si="10"/>
        <v>0</v>
      </c>
      <c r="M35" s="94">
        <f t="shared" si="10"/>
        <v>0</v>
      </c>
      <c r="N35" s="94">
        <f t="shared" si="10"/>
        <v>0</v>
      </c>
      <c r="O35" s="94">
        <f t="shared" si="10"/>
        <v>0</v>
      </c>
      <c r="P35" s="178"/>
    </row>
    <row r="36" spans="2:16" ht="17.25" customHeight="1" outlineLevel="1" x14ac:dyDescent="0.2">
      <c r="B36" s="118"/>
      <c r="C36" s="118"/>
      <c r="D36" s="151"/>
      <c r="E36" s="118"/>
      <c r="F36" s="118"/>
      <c r="G36" s="178"/>
      <c r="H36" s="95" t="s">
        <v>4</v>
      </c>
      <c r="I36" s="94">
        <f>SUM(J36:O36)</f>
        <v>18</v>
      </c>
      <c r="J36" s="94"/>
      <c r="K36" s="94">
        <v>18</v>
      </c>
      <c r="L36" s="87"/>
      <c r="M36" s="94"/>
      <c r="N36" s="94"/>
      <c r="O36" s="94"/>
      <c r="P36" s="178"/>
    </row>
    <row r="37" spans="2:16" ht="17.25" customHeight="1" outlineLevel="1" x14ac:dyDescent="0.2">
      <c r="B37" s="118"/>
      <c r="C37" s="118"/>
      <c r="D37" s="151"/>
      <c r="E37" s="118"/>
      <c r="F37" s="118"/>
      <c r="G37" s="178"/>
      <c r="H37" s="95" t="s">
        <v>6</v>
      </c>
      <c r="I37" s="94">
        <f>SUM(J37:O37)</f>
        <v>3.4</v>
      </c>
      <c r="J37" s="94">
        <v>2</v>
      </c>
      <c r="K37" s="94">
        <v>1.4</v>
      </c>
      <c r="L37" s="87"/>
      <c r="M37" s="94"/>
      <c r="N37" s="94"/>
      <c r="O37" s="94"/>
      <c r="P37" s="178"/>
    </row>
    <row r="38" spans="2:16" ht="17.25" customHeight="1" outlineLevel="1" x14ac:dyDescent="0.2">
      <c r="B38" s="119"/>
      <c r="C38" s="119"/>
      <c r="D38" s="152"/>
      <c r="E38" s="119"/>
      <c r="F38" s="119"/>
      <c r="G38" s="178"/>
      <c r="H38" s="95" t="s">
        <v>5</v>
      </c>
      <c r="I38" s="94"/>
      <c r="J38" s="87"/>
      <c r="K38" s="87"/>
      <c r="L38" s="87"/>
      <c r="M38" s="87"/>
      <c r="N38" s="87"/>
      <c r="O38" s="87"/>
      <c r="P38" s="178"/>
    </row>
    <row r="39" spans="2:16" ht="37.5" customHeight="1" outlineLevel="1" x14ac:dyDescent="0.2">
      <c r="B39" s="117" t="s">
        <v>999</v>
      </c>
      <c r="C39" s="117"/>
      <c r="D39" s="117" t="s">
        <v>1000</v>
      </c>
      <c r="E39" s="117">
        <v>2021</v>
      </c>
      <c r="F39" s="117"/>
      <c r="G39" s="178" t="s">
        <v>138</v>
      </c>
      <c r="H39" s="95" t="s">
        <v>3</v>
      </c>
      <c r="I39" s="94">
        <f>SUM(J39:O39)</f>
        <v>5.6999999999999993</v>
      </c>
      <c r="J39" s="94">
        <f t="shared" ref="J39:O39" si="11">J40+J41+J42</f>
        <v>0</v>
      </c>
      <c r="K39" s="94">
        <f t="shared" si="11"/>
        <v>5.6999999999999993</v>
      </c>
      <c r="L39" s="94">
        <f t="shared" si="11"/>
        <v>0</v>
      </c>
      <c r="M39" s="94">
        <f t="shared" si="11"/>
        <v>0</v>
      </c>
      <c r="N39" s="94">
        <f t="shared" si="11"/>
        <v>0</v>
      </c>
      <c r="O39" s="94">
        <f t="shared" si="11"/>
        <v>0</v>
      </c>
      <c r="P39" s="178"/>
    </row>
    <row r="40" spans="2:16" ht="17.25" customHeight="1" outlineLevel="1" x14ac:dyDescent="0.2">
      <c r="B40" s="118"/>
      <c r="C40" s="118"/>
      <c r="D40" s="118"/>
      <c r="E40" s="118"/>
      <c r="F40" s="118"/>
      <c r="G40" s="178"/>
      <c r="H40" s="95" t="s">
        <v>4</v>
      </c>
      <c r="I40" s="94">
        <f>SUM(J40:O40)</f>
        <v>3.4</v>
      </c>
      <c r="J40" s="94"/>
      <c r="K40" s="94">
        <v>3.4</v>
      </c>
      <c r="L40" s="87"/>
      <c r="M40" s="94"/>
      <c r="N40" s="94"/>
      <c r="O40" s="94"/>
      <c r="P40" s="178"/>
    </row>
    <row r="41" spans="2:16" ht="17.25" customHeight="1" outlineLevel="1" x14ac:dyDescent="0.2">
      <c r="B41" s="118"/>
      <c r="C41" s="118"/>
      <c r="D41" s="118"/>
      <c r="E41" s="118"/>
      <c r="F41" s="118"/>
      <c r="G41" s="178"/>
      <c r="H41" s="95" t="s">
        <v>6</v>
      </c>
      <c r="I41" s="94">
        <f>SUM(J41:O41)</f>
        <v>2.2999999999999998</v>
      </c>
      <c r="J41" s="94"/>
      <c r="K41" s="94">
        <v>2.2999999999999998</v>
      </c>
      <c r="L41" s="87"/>
      <c r="M41" s="94"/>
      <c r="N41" s="94"/>
      <c r="O41" s="94"/>
      <c r="P41" s="178"/>
    </row>
    <row r="42" spans="2:16" ht="17.25" customHeight="1" outlineLevel="1" x14ac:dyDescent="0.2">
      <c r="B42" s="119"/>
      <c r="C42" s="119"/>
      <c r="D42" s="119"/>
      <c r="E42" s="119"/>
      <c r="F42" s="119"/>
      <c r="G42" s="178"/>
      <c r="H42" s="95" t="s">
        <v>5</v>
      </c>
      <c r="I42" s="94"/>
      <c r="J42" s="87"/>
      <c r="K42" s="87"/>
      <c r="L42" s="87"/>
      <c r="M42" s="87"/>
      <c r="N42" s="87"/>
      <c r="O42" s="87"/>
      <c r="P42" s="178"/>
    </row>
    <row r="43" spans="2:16" ht="37.5" customHeight="1" outlineLevel="1" x14ac:dyDescent="0.2">
      <c r="B43" s="117" t="s">
        <v>1001</v>
      </c>
      <c r="C43" s="117"/>
      <c r="D43" s="150" t="s">
        <v>1002</v>
      </c>
      <c r="E43" s="117">
        <v>2021</v>
      </c>
      <c r="F43" s="117"/>
      <c r="G43" s="178" t="s">
        <v>138</v>
      </c>
      <c r="H43" s="95" t="s">
        <v>3</v>
      </c>
      <c r="I43" s="94">
        <f>SUM(J43:O43)</f>
        <v>5.6999999999999993</v>
      </c>
      <c r="J43" s="94">
        <f t="shared" ref="J43:O43" si="12">J44+J45+J46</f>
        <v>0</v>
      </c>
      <c r="K43" s="94">
        <f t="shared" si="12"/>
        <v>5.6999999999999993</v>
      </c>
      <c r="L43" s="94">
        <f t="shared" si="12"/>
        <v>0</v>
      </c>
      <c r="M43" s="94">
        <f t="shared" si="12"/>
        <v>0</v>
      </c>
      <c r="N43" s="94">
        <f t="shared" si="12"/>
        <v>0</v>
      </c>
      <c r="O43" s="94">
        <f t="shared" si="12"/>
        <v>0</v>
      </c>
      <c r="P43" s="178"/>
    </row>
    <row r="44" spans="2:16" ht="17.25" customHeight="1" outlineLevel="1" x14ac:dyDescent="0.2">
      <c r="B44" s="118"/>
      <c r="C44" s="118"/>
      <c r="D44" s="151"/>
      <c r="E44" s="118"/>
      <c r="F44" s="118"/>
      <c r="G44" s="178"/>
      <c r="H44" s="95" t="s">
        <v>4</v>
      </c>
      <c r="I44" s="94">
        <f>SUM(J44:O44)</f>
        <v>3.4</v>
      </c>
      <c r="J44" s="94"/>
      <c r="K44" s="94">
        <v>3.4</v>
      </c>
      <c r="L44" s="87"/>
      <c r="M44" s="94"/>
      <c r="N44" s="94"/>
      <c r="O44" s="94"/>
      <c r="P44" s="178"/>
    </row>
    <row r="45" spans="2:16" ht="17.25" customHeight="1" outlineLevel="1" x14ac:dyDescent="0.2">
      <c r="B45" s="118"/>
      <c r="C45" s="118"/>
      <c r="D45" s="151"/>
      <c r="E45" s="118"/>
      <c r="F45" s="118"/>
      <c r="G45" s="178"/>
      <c r="H45" s="95" t="s">
        <v>6</v>
      </c>
      <c r="I45" s="94">
        <f>SUM(J45:O45)</f>
        <v>2.2999999999999998</v>
      </c>
      <c r="J45" s="94"/>
      <c r="K45" s="94">
        <v>2.2999999999999998</v>
      </c>
      <c r="L45" s="87"/>
      <c r="M45" s="94"/>
      <c r="N45" s="94"/>
      <c r="O45" s="94"/>
      <c r="P45" s="178"/>
    </row>
    <row r="46" spans="2:16" ht="17.25" customHeight="1" outlineLevel="1" x14ac:dyDescent="0.2">
      <c r="B46" s="119"/>
      <c r="C46" s="119"/>
      <c r="D46" s="152"/>
      <c r="E46" s="119"/>
      <c r="F46" s="119"/>
      <c r="G46" s="178"/>
      <c r="H46" s="95" t="s">
        <v>5</v>
      </c>
      <c r="I46" s="94"/>
      <c r="J46" s="87"/>
      <c r="K46" s="87"/>
      <c r="L46" s="87"/>
      <c r="M46" s="87"/>
      <c r="N46" s="87"/>
      <c r="O46" s="87"/>
      <c r="P46" s="178"/>
    </row>
    <row r="47" spans="2:16" ht="37.5" customHeight="1" outlineLevel="1" x14ac:dyDescent="0.2">
      <c r="B47" s="117" t="s">
        <v>1003</v>
      </c>
      <c r="C47" s="117" t="s">
        <v>1004</v>
      </c>
      <c r="D47" s="117" t="s">
        <v>1005</v>
      </c>
      <c r="E47" s="117">
        <v>2022</v>
      </c>
      <c r="F47" s="117"/>
      <c r="G47" s="178" t="s">
        <v>138</v>
      </c>
      <c r="H47" s="95" t="s">
        <v>3</v>
      </c>
      <c r="I47" s="94">
        <f>SUM(J47:O47)</f>
        <v>20.9</v>
      </c>
      <c r="J47" s="94">
        <f t="shared" ref="J47:O47" si="13">J48+J49+J50</f>
        <v>0</v>
      </c>
      <c r="K47" s="94">
        <f t="shared" si="13"/>
        <v>2</v>
      </c>
      <c r="L47" s="94">
        <f t="shared" si="13"/>
        <v>18.899999999999999</v>
      </c>
      <c r="M47" s="94">
        <f t="shared" si="13"/>
        <v>0</v>
      </c>
      <c r="N47" s="94">
        <f t="shared" si="13"/>
        <v>0</v>
      </c>
      <c r="O47" s="94">
        <f t="shared" si="13"/>
        <v>0</v>
      </c>
      <c r="P47" s="178"/>
    </row>
    <row r="48" spans="2:16" ht="17.25" customHeight="1" outlineLevel="1" x14ac:dyDescent="0.2">
      <c r="B48" s="118"/>
      <c r="C48" s="118"/>
      <c r="D48" s="118"/>
      <c r="E48" s="118"/>
      <c r="F48" s="118"/>
      <c r="G48" s="178"/>
      <c r="H48" s="95" t="s">
        <v>4</v>
      </c>
      <c r="I48" s="94">
        <f>SUM(J48:O48)</f>
        <v>18</v>
      </c>
      <c r="J48" s="94"/>
      <c r="K48" s="94"/>
      <c r="L48" s="94">
        <v>18</v>
      </c>
      <c r="M48" s="94"/>
      <c r="N48" s="94"/>
      <c r="O48" s="94"/>
      <c r="P48" s="178"/>
    </row>
    <row r="49" spans="2:16" ht="17.25" customHeight="1" outlineLevel="1" x14ac:dyDescent="0.2">
      <c r="B49" s="118"/>
      <c r="C49" s="118"/>
      <c r="D49" s="118"/>
      <c r="E49" s="118"/>
      <c r="F49" s="118"/>
      <c r="G49" s="178"/>
      <c r="H49" s="95" t="s">
        <v>6</v>
      </c>
      <c r="I49" s="94">
        <f>SUM(J49:O49)</f>
        <v>2.9</v>
      </c>
      <c r="J49" s="94"/>
      <c r="K49" s="94">
        <v>2</v>
      </c>
      <c r="L49" s="87">
        <v>0.9</v>
      </c>
      <c r="M49" s="94"/>
      <c r="N49" s="94"/>
      <c r="O49" s="94"/>
      <c r="P49" s="178"/>
    </row>
    <row r="50" spans="2:16" ht="17.25" customHeight="1" outlineLevel="1" x14ac:dyDescent="0.2">
      <c r="B50" s="119"/>
      <c r="C50" s="119"/>
      <c r="D50" s="119"/>
      <c r="E50" s="119"/>
      <c r="F50" s="119"/>
      <c r="G50" s="178"/>
      <c r="H50" s="95" t="s">
        <v>5</v>
      </c>
      <c r="I50" s="94"/>
      <c r="J50" s="87"/>
      <c r="K50" s="87"/>
      <c r="L50" s="87"/>
      <c r="M50" s="87"/>
      <c r="N50" s="87"/>
      <c r="O50" s="87"/>
      <c r="P50" s="178"/>
    </row>
    <row r="51" spans="2:16" ht="37.5" customHeight="1" outlineLevel="1" x14ac:dyDescent="0.2">
      <c r="B51" s="117" t="s">
        <v>1006</v>
      </c>
      <c r="C51" s="117"/>
      <c r="D51" s="117" t="s">
        <v>1005</v>
      </c>
      <c r="E51" s="117">
        <v>2022</v>
      </c>
      <c r="F51" s="117"/>
      <c r="G51" s="178" t="s">
        <v>138</v>
      </c>
      <c r="H51" s="95" t="s">
        <v>3</v>
      </c>
      <c r="I51" s="94">
        <f>SUM(J51:O51)</f>
        <v>11.8</v>
      </c>
      <c r="J51" s="94">
        <f t="shared" ref="J51:O51" si="14">J52+J53+J54</f>
        <v>0</v>
      </c>
      <c r="K51" s="94">
        <f t="shared" si="14"/>
        <v>1.8</v>
      </c>
      <c r="L51" s="94">
        <f t="shared" si="14"/>
        <v>10</v>
      </c>
      <c r="M51" s="94">
        <f t="shared" si="14"/>
        <v>0</v>
      </c>
      <c r="N51" s="94">
        <f t="shared" si="14"/>
        <v>0</v>
      </c>
      <c r="O51" s="94">
        <f t="shared" si="14"/>
        <v>0</v>
      </c>
      <c r="P51" s="178"/>
    </row>
    <row r="52" spans="2:16" ht="17.25" customHeight="1" outlineLevel="1" x14ac:dyDescent="0.2">
      <c r="B52" s="118"/>
      <c r="C52" s="118"/>
      <c r="D52" s="118"/>
      <c r="E52" s="118"/>
      <c r="F52" s="118"/>
      <c r="G52" s="178"/>
      <c r="H52" s="95" t="s">
        <v>4</v>
      </c>
      <c r="I52" s="94">
        <f>SUM(J52:O52)</f>
        <v>6</v>
      </c>
      <c r="J52" s="94"/>
      <c r="K52" s="94">
        <v>0</v>
      </c>
      <c r="L52" s="87">
        <v>6</v>
      </c>
      <c r="M52" s="94"/>
      <c r="N52" s="94"/>
      <c r="O52" s="94"/>
      <c r="P52" s="178"/>
    </row>
    <row r="53" spans="2:16" ht="17.25" customHeight="1" outlineLevel="1" x14ac:dyDescent="0.2">
      <c r="B53" s="118"/>
      <c r="C53" s="118"/>
      <c r="D53" s="118"/>
      <c r="E53" s="118"/>
      <c r="F53" s="118"/>
      <c r="G53" s="178"/>
      <c r="H53" s="95" t="s">
        <v>6</v>
      </c>
      <c r="I53" s="94">
        <f>SUM(J53:O53)</f>
        <v>5.8</v>
      </c>
      <c r="J53" s="94"/>
      <c r="K53" s="94">
        <v>1.8</v>
      </c>
      <c r="L53" s="87">
        <v>4</v>
      </c>
      <c r="M53" s="94"/>
      <c r="N53" s="94"/>
      <c r="O53" s="94"/>
      <c r="P53" s="178"/>
    </row>
    <row r="54" spans="2:16" ht="17.25" customHeight="1" outlineLevel="1" x14ac:dyDescent="0.2">
      <c r="B54" s="119"/>
      <c r="C54" s="119"/>
      <c r="D54" s="119"/>
      <c r="E54" s="119"/>
      <c r="F54" s="119"/>
      <c r="G54" s="178"/>
      <c r="H54" s="95" t="s">
        <v>5</v>
      </c>
      <c r="I54" s="94"/>
      <c r="J54" s="87"/>
      <c r="K54" s="87"/>
      <c r="L54" s="87"/>
      <c r="M54" s="87"/>
      <c r="N54" s="87"/>
      <c r="O54" s="87"/>
      <c r="P54" s="178"/>
    </row>
    <row r="55" spans="2:16" ht="37.5" customHeight="1" outlineLevel="1" x14ac:dyDescent="0.2">
      <c r="B55" s="117" t="s">
        <v>1007</v>
      </c>
      <c r="C55" s="117"/>
      <c r="D55" s="150" t="s">
        <v>1008</v>
      </c>
      <c r="E55" s="117">
        <v>2022</v>
      </c>
      <c r="F55" s="117"/>
      <c r="G55" s="178" t="s">
        <v>138</v>
      </c>
      <c r="H55" s="95" t="s">
        <v>3</v>
      </c>
      <c r="I55" s="94">
        <f>SUM(J55:O55)</f>
        <v>6.9</v>
      </c>
      <c r="J55" s="94">
        <f t="shared" ref="J55:O55" si="15">J56+J57+J58</f>
        <v>0</v>
      </c>
      <c r="K55" s="94">
        <f t="shared" si="15"/>
        <v>0.9</v>
      </c>
      <c r="L55" s="94">
        <f t="shared" si="15"/>
        <v>6</v>
      </c>
      <c r="M55" s="94">
        <f t="shared" si="15"/>
        <v>0</v>
      </c>
      <c r="N55" s="94">
        <f t="shared" si="15"/>
        <v>0</v>
      </c>
      <c r="O55" s="94">
        <f t="shared" si="15"/>
        <v>0</v>
      </c>
      <c r="P55" s="178"/>
    </row>
    <row r="56" spans="2:16" ht="17.25" customHeight="1" outlineLevel="1" x14ac:dyDescent="0.2">
      <c r="B56" s="118"/>
      <c r="C56" s="118"/>
      <c r="D56" s="151"/>
      <c r="E56" s="118"/>
      <c r="F56" s="118"/>
      <c r="G56" s="178"/>
      <c r="H56" s="95" t="s">
        <v>4</v>
      </c>
      <c r="I56" s="94">
        <f>SUM(J56:O56)</f>
        <v>3.6</v>
      </c>
      <c r="J56" s="94"/>
      <c r="K56" s="94">
        <v>0</v>
      </c>
      <c r="L56" s="87">
        <v>3.6</v>
      </c>
      <c r="M56" s="94"/>
      <c r="N56" s="94"/>
      <c r="O56" s="94"/>
      <c r="P56" s="178"/>
    </row>
    <row r="57" spans="2:16" ht="17.25" customHeight="1" outlineLevel="1" x14ac:dyDescent="0.2">
      <c r="B57" s="118"/>
      <c r="C57" s="118"/>
      <c r="D57" s="151"/>
      <c r="E57" s="118"/>
      <c r="F57" s="118"/>
      <c r="G57" s="178"/>
      <c r="H57" s="95" t="s">
        <v>6</v>
      </c>
      <c r="I57" s="94">
        <f>SUM(J57:O57)</f>
        <v>3.3</v>
      </c>
      <c r="J57" s="94"/>
      <c r="K57" s="94">
        <v>0.9</v>
      </c>
      <c r="L57" s="87">
        <v>2.4</v>
      </c>
      <c r="M57" s="94"/>
      <c r="N57" s="94"/>
      <c r="O57" s="94"/>
      <c r="P57" s="178"/>
    </row>
    <row r="58" spans="2:16" ht="17.25" customHeight="1" outlineLevel="1" x14ac:dyDescent="0.2">
      <c r="B58" s="119"/>
      <c r="C58" s="119"/>
      <c r="D58" s="152"/>
      <c r="E58" s="119"/>
      <c r="F58" s="119"/>
      <c r="G58" s="178"/>
      <c r="H58" s="95" t="s">
        <v>5</v>
      </c>
      <c r="I58" s="94"/>
      <c r="J58" s="87"/>
      <c r="K58" s="87"/>
      <c r="L58" s="87"/>
      <c r="M58" s="87"/>
      <c r="N58" s="87"/>
      <c r="O58" s="87"/>
      <c r="P58" s="178"/>
    </row>
    <row r="59" spans="2:16" ht="37.5" customHeight="1" outlineLevel="1" x14ac:dyDescent="0.2">
      <c r="B59" s="117" t="s">
        <v>1009</v>
      </c>
      <c r="C59" s="117"/>
      <c r="D59" s="117" t="s">
        <v>1010</v>
      </c>
      <c r="E59" s="117">
        <v>2022</v>
      </c>
      <c r="F59" s="117"/>
      <c r="G59" s="178" t="s">
        <v>138</v>
      </c>
      <c r="H59" s="95" t="s">
        <v>3</v>
      </c>
      <c r="I59" s="94">
        <f>SUM(J59:O59)</f>
        <v>6.9</v>
      </c>
      <c r="J59" s="94">
        <f t="shared" ref="J59:O59" si="16">J60+J61+J62</f>
        <v>0</v>
      </c>
      <c r="K59" s="94">
        <f t="shared" si="16"/>
        <v>0.9</v>
      </c>
      <c r="L59" s="94">
        <f t="shared" si="16"/>
        <v>6</v>
      </c>
      <c r="M59" s="94">
        <f t="shared" si="16"/>
        <v>0</v>
      </c>
      <c r="N59" s="94">
        <f t="shared" si="16"/>
        <v>0</v>
      </c>
      <c r="O59" s="94">
        <f t="shared" si="16"/>
        <v>0</v>
      </c>
      <c r="P59" s="178"/>
    </row>
    <row r="60" spans="2:16" ht="17.25" customHeight="1" outlineLevel="1" x14ac:dyDescent="0.2">
      <c r="B60" s="118"/>
      <c r="C60" s="118"/>
      <c r="D60" s="118"/>
      <c r="E60" s="118"/>
      <c r="F60" s="118"/>
      <c r="G60" s="178"/>
      <c r="H60" s="95" t="s">
        <v>4</v>
      </c>
      <c r="I60" s="94">
        <f>SUM(J60:O60)</f>
        <v>3.6</v>
      </c>
      <c r="J60" s="94"/>
      <c r="K60" s="94">
        <v>0</v>
      </c>
      <c r="L60" s="87">
        <v>3.6</v>
      </c>
      <c r="M60" s="94"/>
      <c r="N60" s="94"/>
      <c r="O60" s="94"/>
      <c r="P60" s="178"/>
    </row>
    <row r="61" spans="2:16" ht="17.25" customHeight="1" outlineLevel="1" x14ac:dyDescent="0.2">
      <c r="B61" s="118"/>
      <c r="C61" s="118"/>
      <c r="D61" s="118"/>
      <c r="E61" s="118"/>
      <c r="F61" s="118"/>
      <c r="G61" s="178"/>
      <c r="H61" s="95" t="s">
        <v>6</v>
      </c>
      <c r="I61" s="94">
        <f>SUM(J61:O61)</f>
        <v>3.3</v>
      </c>
      <c r="J61" s="94"/>
      <c r="K61" s="94">
        <v>0.9</v>
      </c>
      <c r="L61" s="87">
        <v>2.4</v>
      </c>
      <c r="M61" s="94"/>
      <c r="N61" s="94"/>
      <c r="O61" s="94"/>
      <c r="P61" s="178"/>
    </row>
    <row r="62" spans="2:16" ht="17.25" customHeight="1" outlineLevel="1" x14ac:dyDescent="0.2">
      <c r="B62" s="119"/>
      <c r="C62" s="119"/>
      <c r="D62" s="119"/>
      <c r="E62" s="119"/>
      <c r="F62" s="119"/>
      <c r="G62" s="178"/>
      <c r="H62" s="95" t="s">
        <v>5</v>
      </c>
      <c r="I62" s="94"/>
      <c r="J62" s="87"/>
      <c r="K62" s="87"/>
      <c r="L62" s="87"/>
      <c r="M62" s="87"/>
      <c r="N62" s="87"/>
      <c r="O62" s="87"/>
      <c r="P62" s="178"/>
    </row>
    <row r="63" spans="2:16" ht="37.5" customHeight="1" outlineLevel="1" x14ac:dyDescent="0.2">
      <c r="B63" s="117" t="s">
        <v>1011</v>
      </c>
      <c r="C63" s="117"/>
      <c r="D63" s="150" t="s">
        <v>1012</v>
      </c>
      <c r="E63" s="117">
        <v>2023</v>
      </c>
      <c r="F63" s="117" t="s">
        <v>998</v>
      </c>
      <c r="G63" s="178" t="s">
        <v>52</v>
      </c>
      <c r="H63" s="95" t="s">
        <v>3</v>
      </c>
      <c r="I63" s="94">
        <f>SUM(J63:O63)</f>
        <v>21.4</v>
      </c>
      <c r="J63" s="94">
        <f t="shared" ref="J63:O63" si="17">J64+J65+J66</f>
        <v>0</v>
      </c>
      <c r="K63" s="94">
        <f t="shared" si="17"/>
        <v>0</v>
      </c>
      <c r="L63" s="94">
        <f t="shared" si="17"/>
        <v>2</v>
      </c>
      <c r="M63" s="94">
        <f t="shared" si="17"/>
        <v>19.399999999999999</v>
      </c>
      <c r="N63" s="94">
        <f t="shared" si="17"/>
        <v>0</v>
      </c>
      <c r="O63" s="94">
        <f t="shared" si="17"/>
        <v>0</v>
      </c>
      <c r="P63" s="178"/>
    </row>
    <row r="64" spans="2:16" ht="17.25" customHeight="1" outlineLevel="1" x14ac:dyDescent="0.2">
      <c r="B64" s="118"/>
      <c r="C64" s="118"/>
      <c r="D64" s="151"/>
      <c r="E64" s="118"/>
      <c r="F64" s="118"/>
      <c r="G64" s="178"/>
      <c r="H64" s="95" t="s">
        <v>4</v>
      </c>
      <c r="I64" s="94">
        <f>SUM(J64:O64)</f>
        <v>11.6</v>
      </c>
      <c r="J64" s="94"/>
      <c r="K64" s="94"/>
      <c r="L64" s="87"/>
      <c r="M64" s="94">
        <v>11.6</v>
      </c>
      <c r="N64" s="94"/>
      <c r="O64" s="94"/>
      <c r="P64" s="178"/>
    </row>
    <row r="65" spans="2:16" ht="17.25" customHeight="1" outlineLevel="1" x14ac:dyDescent="0.2">
      <c r="B65" s="118"/>
      <c r="C65" s="118"/>
      <c r="D65" s="151"/>
      <c r="E65" s="118"/>
      <c r="F65" s="118"/>
      <c r="G65" s="178"/>
      <c r="H65" s="95" t="s">
        <v>6</v>
      </c>
      <c r="I65" s="94">
        <f>SUM(J65:O65)</f>
        <v>9.8000000000000007</v>
      </c>
      <c r="J65" s="94"/>
      <c r="K65" s="94"/>
      <c r="L65" s="87">
        <v>2</v>
      </c>
      <c r="M65" s="94">
        <v>7.8</v>
      </c>
      <c r="N65" s="94"/>
      <c r="O65" s="94"/>
      <c r="P65" s="178"/>
    </row>
    <row r="66" spans="2:16" ht="17.25" customHeight="1" outlineLevel="1" x14ac:dyDescent="0.2">
      <c r="B66" s="119"/>
      <c r="C66" s="119"/>
      <c r="D66" s="152"/>
      <c r="E66" s="119"/>
      <c r="F66" s="119"/>
      <c r="G66" s="178"/>
      <c r="H66" s="95" t="s">
        <v>5</v>
      </c>
      <c r="I66" s="94"/>
      <c r="J66" s="87"/>
      <c r="K66" s="87"/>
      <c r="L66" s="87"/>
      <c r="M66" s="87"/>
      <c r="N66" s="87"/>
      <c r="O66" s="87"/>
      <c r="P66" s="178"/>
    </row>
    <row r="67" spans="2:16" ht="37.5" customHeight="1" outlineLevel="1" x14ac:dyDescent="0.2">
      <c r="B67" s="117" t="s">
        <v>1013</v>
      </c>
      <c r="C67" s="117"/>
      <c r="D67" s="117" t="s">
        <v>1014</v>
      </c>
      <c r="E67" s="117">
        <v>2023</v>
      </c>
      <c r="F67" s="117"/>
      <c r="G67" s="178" t="s">
        <v>52</v>
      </c>
      <c r="H67" s="95" t="s">
        <v>3</v>
      </c>
      <c r="I67" s="94">
        <f>SUM(J67:O67)</f>
        <v>8.1999999999999993</v>
      </c>
      <c r="J67" s="94">
        <f t="shared" ref="J67:O67" si="18">J68+J69+J70</f>
        <v>0</v>
      </c>
      <c r="K67" s="94">
        <f t="shared" si="18"/>
        <v>0</v>
      </c>
      <c r="L67" s="94">
        <f t="shared" si="18"/>
        <v>1</v>
      </c>
      <c r="M67" s="94">
        <f t="shared" si="18"/>
        <v>7.1999999999999993</v>
      </c>
      <c r="N67" s="94">
        <f t="shared" si="18"/>
        <v>0</v>
      </c>
      <c r="O67" s="94">
        <f t="shared" si="18"/>
        <v>0</v>
      </c>
      <c r="P67" s="178"/>
    </row>
    <row r="68" spans="2:16" ht="17.25" customHeight="1" outlineLevel="1" x14ac:dyDescent="0.2">
      <c r="B68" s="118"/>
      <c r="C68" s="118"/>
      <c r="D68" s="118"/>
      <c r="E68" s="118"/>
      <c r="F68" s="118"/>
      <c r="G68" s="178"/>
      <c r="H68" s="95" t="s">
        <v>4</v>
      </c>
      <c r="I68" s="94">
        <f>SUM(J68:O68)</f>
        <v>4.3</v>
      </c>
      <c r="J68" s="94"/>
      <c r="K68" s="94"/>
      <c r="L68" s="87">
        <v>0</v>
      </c>
      <c r="M68" s="94">
        <v>4.3</v>
      </c>
      <c r="N68" s="94"/>
      <c r="O68" s="94"/>
      <c r="P68" s="178"/>
    </row>
    <row r="69" spans="2:16" ht="17.25" customHeight="1" outlineLevel="1" x14ac:dyDescent="0.2">
      <c r="B69" s="118"/>
      <c r="C69" s="118"/>
      <c r="D69" s="118"/>
      <c r="E69" s="118"/>
      <c r="F69" s="118"/>
      <c r="G69" s="178"/>
      <c r="H69" s="95" t="s">
        <v>6</v>
      </c>
      <c r="I69" s="94">
        <f>SUM(J69:O69)</f>
        <v>3.9</v>
      </c>
      <c r="J69" s="94"/>
      <c r="K69" s="94"/>
      <c r="L69" s="87">
        <v>1</v>
      </c>
      <c r="M69" s="94">
        <v>2.9</v>
      </c>
      <c r="N69" s="94"/>
      <c r="O69" s="94"/>
      <c r="P69" s="178"/>
    </row>
    <row r="70" spans="2:16" ht="17.25" customHeight="1" outlineLevel="1" x14ac:dyDescent="0.2">
      <c r="B70" s="119"/>
      <c r="C70" s="119"/>
      <c r="D70" s="119"/>
      <c r="E70" s="119"/>
      <c r="F70" s="119"/>
      <c r="G70" s="178"/>
      <c r="H70" s="95" t="s">
        <v>5</v>
      </c>
      <c r="I70" s="94"/>
      <c r="J70" s="87"/>
      <c r="K70" s="87"/>
      <c r="L70" s="87"/>
      <c r="M70" s="87"/>
      <c r="N70" s="87"/>
      <c r="O70" s="87"/>
      <c r="P70" s="178"/>
    </row>
    <row r="71" spans="2:16" ht="37.5" customHeight="1" outlineLevel="1" x14ac:dyDescent="0.2">
      <c r="B71" s="117" t="s">
        <v>1015</v>
      </c>
      <c r="C71" s="117"/>
      <c r="D71" s="150" t="s">
        <v>1016</v>
      </c>
      <c r="E71" s="117">
        <v>2024</v>
      </c>
      <c r="F71" s="117"/>
      <c r="G71" s="178" t="s">
        <v>101</v>
      </c>
      <c r="H71" s="95" t="s">
        <v>3</v>
      </c>
      <c r="I71" s="94">
        <f>SUM(J71:O71)</f>
        <v>2.7</v>
      </c>
      <c r="J71" s="94">
        <f t="shared" ref="J71:O71" si="19">J72+J73+J74</f>
        <v>0</v>
      </c>
      <c r="K71" s="94">
        <f t="shared" si="19"/>
        <v>0</v>
      </c>
      <c r="L71" s="94">
        <f t="shared" si="19"/>
        <v>0</v>
      </c>
      <c r="M71" s="94">
        <f t="shared" si="19"/>
        <v>0</v>
      </c>
      <c r="N71" s="94">
        <f t="shared" si="19"/>
        <v>2.7</v>
      </c>
      <c r="O71" s="94">
        <f t="shared" si="19"/>
        <v>0</v>
      </c>
      <c r="P71" s="178"/>
    </row>
    <row r="72" spans="2:16" ht="17.25" customHeight="1" outlineLevel="1" x14ac:dyDescent="0.2">
      <c r="B72" s="118"/>
      <c r="C72" s="118"/>
      <c r="D72" s="151"/>
      <c r="E72" s="118"/>
      <c r="F72" s="118"/>
      <c r="G72" s="178"/>
      <c r="H72" s="95" t="s">
        <v>4</v>
      </c>
      <c r="I72" s="94"/>
      <c r="J72" s="94"/>
      <c r="K72" s="94"/>
      <c r="L72" s="87"/>
      <c r="M72" s="94"/>
      <c r="N72" s="94"/>
      <c r="O72" s="94"/>
      <c r="P72" s="178"/>
    </row>
    <row r="73" spans="2:16" ht="17.25" customHeight="1" outlineLevel="1" x14ac:dyDescent="0.2">
      <c r="B73" s="118"/>
      <c r="C73" s="118"/>
      <c r="D73" s="151"/>
      <c r="E73" s="118"/>
      <c r="F73" s="118"/>
      <c r="G73" s="178"/>
      <c r="H73" s="95" t="s">
        <v>6</v>
      </c>
      <c r="I73" s="94">
        <f>SUM(J73:O73)</f>
        <v>2.7</v>
      </c>
      <c r="J73" s="94"/>
      <c r="K73" s="94"/>
      <c r="L73" s="87"/>
      <c r="M73" s="94"/>
      <c r="N73" s="94">
        <v>2.7</v>
      </c>
      <c r="O73" s="94"/>
      <c r="P73" s="178"/>
    </row>
    <row r="74" spans="2:16" ht="17.25" customHeight="1" outlineLevel="1" x14ac:dyDescent="0.2">
      <c r="B74" s="119"/>
      <c r="C74" s="119"/>
      <c r="D74" s="152"/>
      <c r="E74" s="119"/>
      <c r="F74" s="119"/>
      <c r="G74" s="178"/>
      <c r="H74" s="95" t="s">
        <v>5</v>
      </c>
      <c r="I74" s="94"/>
      <c r="J74" s="87"/>
      <c r="K74" s="87"/>
      <c r="L74" s="87"/>
      <c r="M74" s="87"/>
      <c r="N74" s="87"/>
      <c r="O74" s="87"/>
      <c r="P74" s="178"/>
    </row>
    <row r="75" spans="2:16" ht="37.5" customHeight="1" outlineLevel="1" x14ac:dyDescent="0.2">
      <c r="B75" s="117" t="s">
        <v>1017</v>
      </c>
      <c r="C75" s="117"/>
      <c r="D75" s="117" t="s">
        <v>1018</v>
      </c>
      <c r="E75" s="117">
        <v>2024</v>
      </c>
      <c r="F75" s="117"/>
      <c r="G75" s="178" t="s">
        <v>101</v>
      </c>
      <c r="H75" s="95" t="s">
        <v>3</v>
      </c>
      <c r="I75" s="94">
        <f>SUM(J75:O75)</f>
        <v>3.3</v>
      </c>
      <c r="J75" s="94">
        <f t="shared" ref="J75:O75" si="20">J76+J77+J78</f>
        <v>0</v>
      </c>
      <c r="K75" s="94">
        <f t="shared" si="20"/>
        <v>0</v>
      </c>
      <c r="L75" s="94">
        <f t="shared" si="20"/>
        <v>0</v>
      </c>
      <c r="M75" s="94">
        <f t="shared" si="20"/>
        <v>0</v>
      </c>
      <c r="N75" s="94">
        <f t="shared" si="20"/>
        <v>3.3</v>
      </c>
      <c r="O75" s="94">
        <f t="shared" si="20"/>
        <v>0</v>
      </c>
      <c r="P75" s="178"/>
    </row>
    <row r="76" spans="2:16" ht="17.25" customHeight="1" outlineLevel="1" x14ac:dyDescent="0.2">
      <c r="B76" s="118"/>
      <c r="C76" s="118"/>
      <c r="D76" s="118"/>
      <c r="E76" s="118"/>
      <c r="F76" s="118"/>
      <c r="G76" s="178"/>
      <c r="H76" s="95" t="s">
        <v>4</v>
      </c>
      <c r="I76" s="94"/>
      <c r="J76" s="94"/>
      <c r="K76" s="94"/>
      <c r="L76" s="87"/>
      <c r="M76" s="94"/>
      <c r="N76" s="94"/>
      <c r="O76" s="94"/>
      <c r="P76" s="178"/>
    </row>
    <row r="77" spans="2:16" ht="17.25" customHeight="1" outlineLevel="1" x14ac:dyDescent="0.2">
      <c r="B77" s="118"/>
      <c r="C77" s="118"/>
      <c r="D77" s="118"/>
      <c r="E77" s="118"/>
      <c r="F77" s="118"/>
      <c r="G77" s="178"/>
      <c r="H77" s="95" t="s">
        <v>6</v>
      </c>
      <c r="I77" s="94">
        <f>SUM(J77:O77)</f>
        <v>3.3</v>
      </c>
      <c r="J77" s="94"/>
      <c r="K77" s="94"/>
      <c r="L77" s="87"/>
      <c r="M77" s="94"/>
      <c r="N77" s="94">
        <v>3.3</v>
      </c>
      <c r="O77" s="94"/>
      <c r="P77" s="178"/>
    </row>
    <row r="78" spans="2:16" ht="17.25" customHeight="1" outlineLevel="1" x14ac:dyDescent="0.2">
      <c r="B78" s="119"/>
      <c r="C78" s="119"/>
      <c r="D78" s="119"/>
      <c r="E78" s="119"/>
      <c r="F78" s="119"/>
      <c r="G78" s="178"/>
      <c r="H78" s="95" t="s">
        <v>5</v>
      </c>
      <c r="I78" s="94"/>
      <c r="J78" s="87"/>
      <c r="K78" s="87"/>
      <c r="L78" s="87"/>
      <c r="M78" s="87"/>
      <c r="N78" s="87"/>
      <c r="O78" s="87"/>
      <c r="P78" s="178"/>
    </row>
    <row r="79" spans="2:16" ht="37.5" customHeight="1" outlineLevel="1" x14ac:dyDescent="0.2">
      <c r="B79" s="117" t="s">
        <v>1019</v>
      </c>
      <c r="C79" s="117" t="s">
        <v>1020</v>
      </c>
      <c r="D79" s="150" t="s">
        <v>1021</v>
      </c>
      <c r="E79" s="117">
        <v>2024</v>
      </c>
      <c r="F79" s="117" t="s">
        <v>998</v>
      </c>
      <c r="G79" s="178" t="s">
        <v>101</v>
      </c>
      <c r="H79" s="95" t="s">
        <v>3</v>
      </c>
      <c r="I79" s="94">
        <f>SUM(J79:O79)</f>
        <v>23.4</v>
      </c>
      <c r="J79" s="94">
        <f t="shared" ref="J79:O79" si="21">J80+J81+J82</f>
        <v>0</v>
      </c>
      <c r="K79" s="94">
        <f t="shared" si="21"/>
        <v>0</v>
      </c>
      <c r="L79" s="94">
        <f t="shared" si="21"/>
        <v>0</v>
      </c>
      <c r="M79" s="94">
        <f t="shared" si="21"/>
        <v>2</v>
      </c>
      <c r="N79" s="94">
        <f t="shared" si="21"/>
        <v>21.4</v>
      </c>
      <c r="O79" s="94">
        <f t="shared" si="21"/>
        <v>0</v>
      </c>
      <c r="P79" s="178"/>
    </row>
    <row r="80" spans="2:16" ht="17.25" customHeight="1" outlineLevel="1" x14ac:dyDescent="0.2">
      <c r="B80" s="118"/>
      <c r="C80" s="118"/>
      <c r="D80" s="151"/>
      <c r="E80" s="118"/>
      <c r="F80" s="118"/>
      <c r="G80" s="178"/>
      <c r="H80" s="95" t="s">
        <v>4</v>
      </c>
      <c r="I80" s="94">
        <f>SUM(J80:O80)</f>
        <v>11.6</v>
      </c>
      <c r="J80" s="94"/>
      <c r="K80" s="94"/>
      <c r="L80" s="87"/>
      <c r="M80" s="94">
        <v>0</v>
      </c>
      <c r="N80" s="94">
        <v>11.6</v>
      </c>
      <c r="O80" s="94"/>
      <c r="P80" s="178"/>
    </row>
    <row r="81" spans="2:17" ht="17.25" customHeight="1" outlineLevel="1" x14ac:dyDescent="0.2">
      <c r="B81" s="118"/>
      <c r="C81" s="118"/>
      <c r="D81" s="151"/>
      <c r="E81" s="118"/>
      <c r="F81" s="118"/>
      <c r="G81" s="178"/>
      <c r="H81" s="95" t="s">
        <v>6</v>
      </c>
      <c r="I81" s="94">
        <f>SUM(J81:O81)</f>
        <v>11.8</v>
      </c>
      <c r="J81" s="94"/>
      <c r="K81" s="94"/>
      <c r="L81" s="87"/>
      <c r="M81" s="94">
        <v>2</v>
      </c>
      <c r="N81" s="94">
        <v>9.8000000000000007</v>
      </c>
      <c r="O81" s="94"/>
      <c r="P81" s="178"/>
    </row>
    <row r="82" spans="2:17" ht="17.25" customHeight="1" outlineLevel="1" x14ac:dyDescent="0.2">
      <c r="B82" s="119"/>
      <c r="C82" s="119"/>
      <c r="D82" s="152"/>
      <c r="E82" s="119"/>
      <c r="F82" s="119"/>
      <c r="G82" s="178"/>
      <c r="H82" s="95" t="s">
        <v>5</v>
      </c>
      <c r="I82" s="94"/>
      <c r="J82" s="87"/>
      <c r="K82" s="87"/>
      <c r="L82" s="87"/>
      <c r="M82" s="87"/>
      <c r="N82" s="87"/>
      <c r="O82" s="87"/>
      <c r="P82" s="178"/>
    </row>
    <row r="83" spans="2:17" ht="37.5" customHeight="1" outlineLevel="1" x14ac:dyDescent="0.2">
      <c r="B83" s="117" t="s">
        <v>1022</v>
      </c>
      <c r="C83" s="117" t="s">
        <v>1020</v>
      </c>
      <c r="D83" s="150" t="s">
        <v>1023</v>
      </c>
      <c r="E83" s="117">
        <v>2026</v>
      </c>
      <c r="F83" s="117" t="s">
        <v>998</v>
      </c>
      <c r="G83" s="178" t="s">
        <v>138</v>
      </c>
      <c r="H83" s="95" t="s">
        <v>3</v>
      </c>
      <c r="I83" s="94">
        <f>SUM(J83:O83)</f>
        <v>2</v>
      </c>
      <c r="J83" s="94">
        <f t="shared" ref="J83:O83" si="22">J84+J85+J86</f>
        <v>0</v>
      </c>
      <c r="K83" s="94">
        <f t="shared" si="22"/>
        <v>0</v>
      </c>
      <c r="L83" s="94">
        <f t="shared" si="22"/>
        <v>0</v>
      </c>
      <c r="M83" s="94">
        <f t="shared" si="22"/>
        <v>0</v>
      </c>
      <c r="N83" s="94">
        <f t="shared" si="22"/>
        <v>0</v>
      </c>
      <c r="O83" s="94">
        <f t="shared" si="22"/>
        <v>2</v>
      </c>
      <c r="P83" s="178"/>
    </row>
    <row r="84" spans="2:17" ht="17.25" customHeight="1" outlineLevel="1" x14ac:dyDescent="0.2">
      <c r="B84" s="118"/>
      <c r="C84" s="118"/>
      <c r="D84" s="151"/>
      <c r="E84" s="118"/>
      <c r="F84" s="118"/>
      <c r="G84" s="178"/>
      <c r="H84" s="95" t="s">
        <v>4</v>
      </c>
      <c r="I84" s="94">
        <f>SUM(J84:O84)</f>
        <v>0</v>
      </c>
      <c r="J84" s="94"/>
      <c r="K84" s="94"/>
      <c r="L84" s="87"/>
      <c r="M84" s="94"/>
      <c r="N84" s="94"/>
      <c r="O84" s="94">
        <v>0</v>
      </c>
      <c r="P84" s="178"/>
    </row>
    <row r="85" spans="2:17" ht="17.25" customHeight="1" outlineLevel="1" x14ac:dyDescent="0.2">
      <c r="B85" s="118"/>
      <c r="C85" s="118"/>
      <c r="D85" s="151"/>
      <c r="E85" s="118"/>
      <c r="F85" s="118"/>
      <c r="G85" s="178"/>
      <c r="H85" s="95" t="s">
        <v>6</v>
      </c>
      <c r="I85" s="94">
        <f>SUM(J85:O85)</f>
        <v>2</v>
      </c>
      <c r="J85" s="94"/>
      <c r="K85" s="94"/>
      <c r="L85" s="87"/>
      <c r="M85" s="94"/>
      <c r="N85" s="94"/>
      <c r="O85" s="94">
        <v>2</v>
      </c>
      <c r="P85" s="178"/>
    </row>
    <row r="86" spans="2:17" ht="17.25" customHeight="1" outlineLevel="1" x14ac:dyDescent="0.2">
      <c r="B86" s="119"/>
      <c r="C86" s="119"/>
      <c r="D86" s="152"/>
      <c r="E86" s="119"/>
      <c r="F86" s="119"/>
      <c r="G86" s="178"/>
      <c r="H86" s="95" t="s">
        <v>5</v>
      </c>
      <c r="I86" s="94"/>
      <c r="J86" s="87"/>
      <c r="K86" s="87"/>
      <c r="L86" s="87"/>
      <c r="M86" s="87"/>
      <c r="N86" s="87"/>
      <c r="O86" s="87"/>
      <c r="P86" s="178"/>
    </row>
    <row r="87" spans="2:17" ht="42.75" x14ac:dyDescent="0.2">
      <c r="B87" s="128" t="s">
        <v>110</v>
      </c>
      <c r="C87" s="128" t="s">
        <v>38</v>
      </c>
      <c r="D87" s="128" t="s">
        <v>38</v>
      </c>
      <c r="E87" s="128" t="s">
        <v>38</v>
      </c>
      <c r="F87" s="128" t="s">
        <v>38</v>
      </c>
      <c r="G87" s="128" t="s">
        <v>38</v>
      </c>
      <c r="H87" s="95" t="s">
        <v>3</v>
      </c>
      <c r="I87" s="14">
        <f t="shared" ref="I87:O87" si="23">SUMIF($H$15:$H$86,"Объем*",I$15:I$86)</f>
        <v>156.50000000000003</v>
      </c>
      <c r="J87" s="14">
        <f t="shared" si="23"/>
        <v>18.2</v>
      </c>
      <c r="K87" s="14">
        <f t="shared" si="23"/>
        <v>36.399999999999991</v>
      </c>
      <c r="L87" s="14">
        <f t="shared" si="23"/>
        <v>43.9</v>
      </c>
      <c r="M87" s="14">
        <f t="shared" si="23"/>
        <v>28.599999999999998</v>
      </c>
      <c r="N87" s="14">
        <f t="shared" si="23"/>
        <v>27.4</v>
      </c>
      <c r="O87" s="14">
        <f t="shared" si="23"/>
        <v>2</v>
      </c>
      <c r="P87" s="128"/>
      <c r="Q87" s="7"/>
    </row>
    <row r="88" spans="2:17" ht="15.75" x14ac:dyDescent="0.2">
      <c r="B88" s="129"/>
      <c r="C88" s="129"/>
      <c r="D88" s="129"/>
      <c r="E88" s="129"/>
      <c r="F88" s="129"/>
      <c r="G88" s="129"/>
      <c r="H88" s="95" t="s">
        <v>4</v>
      </c>
      <c r="I88" s="14">
        <f t="shared" ref="I88:O88" si="24">SUMIF($H$15:$H$86,"фед*",I$15:I$86)</f>
        <v>86.499999999999986</v>
      </c>
      <c r="J88" s="14">
        <f t="shared" si="24"/>
        <v>3</v>
      </c>
      <c r="K88" s="14">
        <f t="shared" si="24"/>
        <v>24.799999999999997</v>
      </c>
      <c r="L88" s="14">
        <f t="shared" si="24"/>
        <v>31.200000000000003</v>
      </c>
      <c r="M88" s="14">
        <f t="shared" si="24"/>
        <v>15.899999999999999</v>
      </c>
      <c r="N88" s="14">
        <f t="shared" si="24"/>
        <v>11.6</v>
      </c>
      <c r="O88" s="14">
        <f t="shared" si="24"/>
        <v>0</v>
      </c>
      <c r="P88" s="129"/>
    </row>
    <row r="89" spans="2:17" ht="15.75" x14ac:dyDescent="0.2">
      <c r="B89" s="129"/>
      <c r="C89" s="129"/>
      <c r="D89" s="129"/>
      <c r="E89" s="129"/>
      <c r="F89" s="129"/>
      <c r="G89" s="129"/>
      <c r="H89" s="95" t="s">
        <v>6</v>
      </c>
      <c r="I89" s="14">
        <f t="shared" ref="I89:O89" si="25">SUMIF($H$15:$H$86,"конс*",I$15:I$86)</f>
        <v>70</v>
      </c>
      <c r="J89" s="14">
        <f t="shared" si="25"/>
        <v>15.2</v>
      </c>
      <c r="K89" s="14">
        <f t="shared" si="25"/>
        <v>11.600000000000001</v>
      </c>
      <c r="L89" s="14">
        <f t="shared" si="25"/>
        <v>12.700000000000001</v>
      </c>
      <c r="M89" s="14">
        <f t="shared" si="25"/>
        <v>12.7</v>
      </c>
      <c r="N89" s="14">
        <f t="shared" si="25"/>
        <v>15.8</v>
      </c>
      <c r="O89" s="14">
        <f t="shared" si="25"/>
        <v>2</v>
      </c>
      <c r="P89" s="129"/>
    </row>
    <row r="90" spans="2:17" ht="15.75" x14ac:dyDescent="0.2">
      <c r="B90" s="130"/>
      <c r="C90" s="130"/>
      <c r="D90" s="130"/>
      <c r="E90" s="130"/>
      <c r="F90" s="130"/>
      <c r="G90" s="130"/>
      <c r="H90" s="95" t="s">
        <v>5</v>
      </c>
      <c r="I90" s="14">
        <f t="shared" ref="I90:O90" si="26">SUMIF($H$15:$H$86,"вне*",I$15:I$86)</f>
        <v>0</v>
      </c>
      <c r="J90" s="14">
        <f t="shared" si="26"/>
        <v>0</v>
      </c>
      <c r="K90" s="14">
        <f t="shared" si="26"/>
        <v>0</v>
      </c>
      <c r="L90" s="14">
        <f t="shared" si="26"/>
        <v>0</v>
      </c>
      <c r="M90" s="14">
        <f t="shared" si="26"/>
        <v>0</v>
      </c>
      <c r="N90" s="14">
        <f t="shared" si="26"/>
        <v>0</v>
      </c>
      <c r="O90" s="14">
        <f t="shared" si="26"/>
        <v>0</v>
      </c>
      <c r="P90" s="130"/>
    </row>
    <row r="91" spans="2:17" ht="25.5" customHeight="1" x14ac:dyDescent="0.2">
      <c r="B91" s="111" t="s">
        <v>32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3"/>
    </row>
    <row r="92" spans="2:17" ht="42.75" outlineLevel="1" x14ac:dyDescent="0.2">
      <c r="B92" s="117" t="s">
        <v>1024</v>
      </c>
      <c r="C92" s="117"/>
      <c r="D92" s="117" t="s">
        <v>1025</v>
      </c>
      <c r="E92" s="117">
        <v>2021</v>
      </c>
      <c r="F92" s="117" t="s">
        <v>1026</v>
      </c>
      <c r="G92" s="178" t="s">
        <v>138</v>
      </c>
      <c r="H92" s="95" t="s">
        <v>1027</v>
      </c>
      <c r="I92" s="27">
        <f>SUM(J92:O92)</f>
        <v>16.2</v>
      </c>
      <c r="J92" s="96">
        <f>J93+J94+J95</f>
        <v>0</v>
      </c>
      <c r="K92" s="96">
        <f>K93+K94+K95</f>
        <v>16.2</v>
      </c>
      <c r="L92" s="59">
        <v>0</v>
      </c>
      <c r="M92" s="59">
        <v>0</v>
      </c>
      <c r="N92" s="96">
        <f>N93+N94+N95</f>
        <v>0</v>
      </c>
      <c r="O92" s="96">
        <v>0</v>
      </c>
      <c r="P92" s="117">
        <v>539</v>
      </c>
    </row>
    <row r="93" spans="2:17" ht="16.5" customHeight="1" outlineLevel="1" x14ac:dyDescent="0.2">
      <c r="B93" s="118"/>
      <c r="C93" s="118"/>
      <c r="D93" s="118"/>
      <c r="E93" s="118"/>
      <c r="F93" s="118"/>
      <c r="G93" s="178"/>
      <c r="H93" s="95" t="s">
        <v>4</v>
      </c>
      <c r="I93" s="87"/>
      <c r="J93" s="60"/>
      <c r="K93" s="60"/>
      <c r="L93" s="61"/>
      <c r="M93" s="62"/>
      <c r="N93" s="60"/>
      <c r="O93" s="60"/>
      <c r="P93" s="118"/>
    </row>
    <row r="94" spans="2:17" ht="16.5" customHeight="1" outlineLevel="1" x14ac:dyDescent="0.2">
      <c r="B94" s="118"/>
      <c r="C94" s="118"/>
      <c r="D94" s="118"/>
      <c r="E94" s="118"/>
      <c r="F94" s="118"/>
      <c r="G94" s="178"/>
      <c r="H94" s="95" t="s">
        <v>6</v>
      </c>
      <c r="I94" s="27">
        <f>SUM(J94:O94)</f>
        <v>16.2</v>
      </c>
      <c r="J94" s="60"/>
      <c r="K94" s="60">
        <v>16.2</v>
      </c>
      <c r="L94" s="61"/>
      <c r="M94" s="62"/>
      <c r="N94" s="60"/>
      <c r="O94" s="60"/>
      <c r="P94" s="118"/>
    </row>
    <row r="95" spans="2:17" ht="16.5" customHeight="1" outlineLevel="1" x14ac:dyDescent="0.2">
      <c r="B95" s="119"/>
      <c r="C95" s="119"/>
      <c r="D95" s="119"/>
      <c r="E95" s="119"/>
      <c r="F95" s="119"/>
      <c r="G95" s="178"/>
      <c r="H95" s="95" t="s">
        <v>5</v>
      </c>
      <c r="I95" s="87"/>
      <c r="J95" s="60"/>
      <c r="K95" s="60"/>
      <c r="L95" s="61"/>
      <c r="M95" s="62"/>
      <c r="N95" s="60"/>
      <c r="O95" s="60"/>
      <c r="P95" s="119"/>
    </row>
    <row r="96" spans="2:17" ht="42.75" outlineLevel="1" x14ac:dyDescent="0.2">
      <c r="B96" s="117" t="s">
        <v>1028</v>
      </c>
      <c r="C96" s="117"/>
      <c r="D96" s="117" t="s">
        <v>1029</v>
      </c>
      <c r="E96" s="117">
        <v>2023</v>
      </c>
      <c r="F96" s="117" t="s">
        <v>1026</v>
      </c>
      <c r="G96" s="117" t="s">
        <v>138</v>
      </c>
      <c r="H96" s="95" t="s">
        <v>1027</v>
      </c>
      <c r="I96" s="27">
        <f>SUM(J96:O96)</f>
        <v>8</v>
      </c>
      <c r="J96" s="96">
        <f>J97+J98+J99</f>
        <v>0</v>
      </c>
      <c r="K96" s="96">
        <f>K97+K98+K99</f>
        <v>0</v>
      </c>
      <c r="L96" s="96"/>
      <c r="M96" s="59">
        <v>8</v>
      </c>
      <c r="N96" s="96">
        <f>N97+N98+N99</f>
        <v>0</v>
      </c>
      <c r="O96" s="96">
        <v>0</v>
      </c>
      <c r="P96" s="117">
        <v>365</v>
      </c>
    </row>
    <row r="97" spans="2:16" ht="16.5" customHeight="1" outlineLevel="1" x14ac:dyDescent="0.2">
      <c r="B97" s="118"/>
      <c r="C97" s="118"/>
      <c r="D97" s="118"/>
      <c r="E97" s="118"/>
      <c r="F97" s="118"/>
      <c r="G97" s="118"/>
      <c r="H97" s="95" t="s">
        <v>4</v>
      </c>
      <c r="I97" s="87"/>
      <c r="J97" s="60"/>
      <c r="K97" s="60"/>
      <c r="L97" s="61"/>
      <c r="M97" s="62"/>
      <c r="N97" s="60"/>
      <c r="O97" s="60"/>
      <c r="P97" s="118"/>
    </row>
    <row r="98" spans="2:16" ht="16.5" customHeight="1" outlineLevel="1" x14ac:dyDescent="0.2">
      <c r="B98" s="118"/>
      <c r="C98" s="118"/>
      <c r="D98" s="118"/>
      <c r="E98" s="118"/>
      <c r="F98" s="118"/>
      <c r="G98" s="118"/>
      <c r="H98" s="95" t="s">
        <v>6</v>
      </c>
      <c r="I98" s="27">
        <f>SUM(J98:O98)</f>
        <v>8</v>
      </c>
      <c r="J98" s="60"/>
      <c r="K98" s="60"/>
      <c r="L98" s="61"/>
      <c r="M98" s="62">
        <v>8</v>
      </c>
      <c r="N98" s="60"/>
      <c r="O98" s="60"/>
      <c r="P98" s="118"/>
    </row>
    <row r="99" spans="2:16" ht="16.5" customHeight="1" outlineLevel="1" x14ac:dyDescent="0.2">
      <c r="B99" s="119"/>
      <c r="C99" s="119"/>
      <c r="D99" s="119"/>
      <c r="E99" s="119"/>
      <c r="F99" s="119"/>
      <c r="G99" s="119"/>
      <c r="H99" s="95" t="s">
        <v>5</v>
      </c>
      <c r="I99" s="87"/>
      <c r="J99" s="60"/>
      <c r="K99" s="60"/>
      <c r="L99" s="61"/>
      <c r="M99" s="62"/>
      <c r="N99" s="60"/>
      <c r="O99" s="60"/>
      <c r="P99" s="119"/>
    </row>
    <row r="100" spans="2:16" ht="42.75" outlineLevel="1" x14ac:dyDescent="0.2">
      <c r="B100" s="117" t="s">
        <v>1030</v>
      </c>
      <c r="C100" s="117"/>
      <c r="D100" s="117" t="s">
        <v>1031</v>
      </c>
      <c r="E100" s="117">
        <v>2024</v>
      </c>
      <c r="F100" s="117" t="s">
        <v>1032</v>
      </c>
      <c r="G100" s="117" t="s">
        <v>138</v>
      </c>
      <c r="H100" s="95" t="s">
        <v>1027</v>
      </c>
      <c r="I100" s="27">
        <f>SUM(J100:O100)</f>
        <v>15</v>
      </c>
      <c r="J100" s="96">
        <f>J101+J102+J103</f>
        <v>0</v>
      </c>
      <c r="K100" s="96">
        <f>K101+K102+K103</f>
        <v>0</v>
      </c>
      <c r="L100" s="96">
        <f t="shared" ref="L100:O100" si="27">L101+L102+L103</f>
        <v>0</v>
      </c>
      <c r="M100" s="96">
        <f t="shared" si="27"/>
        <v>0</v>
      </c>
      <c r="N100" s="96">
        <f t="shared" si="27"/>
        <v>15</v>
      </c>
      <c r="O100" s="96">
        <f t="shared" si="27"/>
        <v>0</v>
      </c>
      <c r="P100" s="117">
        <v>350</v>
      </c>
    </row>
    <row r="101" spans="2:16" ht="16.5" customHeight="1" outlineLevel="1" x14ac:dyDescent="0.2">
      <c r="B101" s="118"/>
      <c r="C101" s="118"/>
      <c r="D101" s="118"/>
      <c r="E101" s="118"/>
      <c r="F101" s="118"/>
      <c r="G101" s="118"/>
      <c r="H101" s="95" t="s">
        <v>4</v>
      </c>
      <c r="I101" s="87"/>
      <c r="J101" s="60"/>
      <c r="K101" s="60"/>
      <c r="L101" s="61"/>
      <c r="M101" s="62"/>
      <c r="N101" s="60"/>
      <c r="O101" s="60"/>
      <c r="P101" s="118"/>
    </row>
    <row r="102" spans="2:16" ht="16.5" customHeight="1" outlineLevel="1" x14ac:dyDescent="0.2">
      <c r="B102" s="118"/>
      <c r="C102" s="118"/>
      <c r="D102" s="118"/>
      <c r="E102" s="118"/>
      <c r="F102" s="118"/>
      <c r="G102" s="118"/>
      <c r="H102" s="95" t="s">
        <v>6</v>
      </c>
      <c r="I102" s="27">
        <f>SUM(J102:O102)</f>
        <v>15</v>
      </c>
      <c r="J102" s="60"/>
      <c r="K102" s="60"/>
      <c r="L102" s="61"/>
      <c r="M102" s="62"/>
      <c r="N102" s="60">
        <v>15</v>
      </c>
      <c r="O102" s="60"/>
      <c r="P102" s="118"/>
    </row>
    <row r="103" spans="2:16" ht="16.5" customHeight="1" outlineLevel="1" x14ac:dyDescent="0.2">
      <c r="B103" s="119"/>
      <c r="C103" s="119"/>
      <c r="D103" s="119"/>
      <c r="E103" s="119"/>
      <c r="F103" s="119"/>
      <c r="G103" s="119"/>
      <c r="H103" s="95" t="s">
        <v>5</v>
      </c>
      <c r="I103" s="87"/>
      <c r="J103" s="60"/>
      <c r="K103" s="60"/>
      <c r="L103" s="61"/>
      <c r="M103" s="62"/>
      <c r="N103" s="60"/>
      <c r="O103" s="60"/>
      <c r="P103" s="119"/>
    </row>
    <row r="104" spans="2:16" ht="42.75" outlineLevel="1" x14ac:dyDescent="0.2">
      <c r="B104" s="117" t="s">
        <v>1033</v>
      </c>
      <c r="C104" s="117"/>
      <c r="D104" s="117" t="s">
        <v>1034</v>
      </c>
      <c r="E104" s="117">
        <v>2022</v>
      </c>
      <c r="F104" s="117" t="s">
        <v>1026</v>
      </c>
      <c r="G104" s="117" t="s">
        <v>138</v>
      </c>
      <c r="H104" s="95" t="s">
        <v>1027</v>
      </c>
      <c r="I104" s="27">
        <f>SUM(J104:O104)</f>
        <v>16.5</v>
      </c>
      <c r="J104" s="96">
        <f>J105+J106+J107</f>
        <v>0</v>
      </c>
      <c r="K104" s="96">
        <f>K105+K106+K107</f>
        <v>0</v>
      </c>
      <c r="L104" s="96">
        <f>L105+L106+L107</f>
        <v>16.5</v>
      </c>
      <c r="M104" s="59">
        <v>0</v>
      </c>
      <c r="N104" s="96">
        <f>N105+N106+N107</f>
        <v>0</v>
      </c>
      <c r="O104" s="96">
        <v>0</v>
      </c>
      <c r="P104" s="117">
        <v>368</v>
      </c>
    </row>
    <row r="105" spans="2:16" ht="16.5" customHeight="1" outlineLevel="1" x14ac:dyDescent="0.2">
      <c r="B105" s="118"/>
      <c r="C105" s="118"/>
      <c r="D105" s="118"/>
      <c r="E105" s="118"/>
      <c r="F105" s="118"/>
      <c r="G105" s="118"/>
      <c r="H105" s="95" t="s">
        <v>4</v>
      </c>
      <c r="I105" s="87"/>
      <c r="J105" s="60"/>
      <c r="K105" s="60"/>
      <c r="L105" s="61"/>
      <c r="M105" s="62"/>
      <c r="N105" s="60"/>
      <c r="O105" s="60"/>
      <c r="P105" s="118"/>
    </row>
    <row r="106" spans="2:16" ht="16.5" customHeight="1" outlineLevel="1" x14ac:dyDescent="0.2">
      <c r="B106" s="118"/>
      <c r="C106" s="118"/>
      <c r="D106" s="118"/>
      <c r="E106" s="118"/>
      <c r="F106" s="118"/>
      <c r="G106" s="118"/>
      <c r="H106" s="95" t="s">
        <v>6</v>
      </c>
      <c r="I106" s="27">
        <f>SUM(J106:O106)</f>
        <v>16.5</v>
      </c>
      <c r="J106" s="60"/>
      <c r="K106" s="60"/>
      <c r="L106" s="62">
        <v>16.5</v>
      </c>
      <c r="M106" s="62"/>
      <c r="N106" s="60"/>
      <c r="O106" s="60"/>
      <c r="P106" s="118"/>
    </row>
    <row r="107" spans="2:16" ht="16.5" customHeight="1" outlineLevel="1" x14ac:dyDescent="0.2">
      <c r="B107" s="119"/>
      <c r="C107" s="119"/>
      <c r="D107" s="119"/>
      <c r="E107" s="119"/>
      <c r="F107" s="119"/>
      <c r="G107" s="119"/>
      <c r="H107" s="95" t="s">
        <v>5</v>
      </c>
      <c r="I107" s="87"/>
      <c r="J107" s="60"/>
      <c r="K107" s="60"/>
      <c r="L107" s="61"/>
      <c r="M107" s="62"/>
      <c r="N107" s="60"/>
      <c r="O107" s="60"/>
      <c r="P107" s="119"/>
    </row>
    <row r="108" spans="2:16" ht="42.75" outlineLevel="1" x14ac:dyDescent="0.2">
      <c r="B108" s="178" t="s">
        <v>1035</v>
      </c>
      <c r="C108" s="178"/>
      <c r="D108" s="178" t="s">
        <v>1036</v>
      </c>
      <c r="E108" s="178">
        <v>2021</v>
      </c>
      <c r="F108" s="117" t="s">
        <v>1032</v>
      </c>
      <c r="G108" s="178" t="s">
        <v>138</v>
      </c>
      <c r="H108" s="95" t="s">
        <v>3</v>
      </c>
      <c r="I108" s="27">
        <f>SUM(J108:O108)</f>
        <v>12</v>
      </c>
      <c r="J108" s="96">
        <f>J109+J110+J111</f>
        <v>0</v>
      </c>
      <c r="K108" s="96">
        <f>K109+K110+K111</f>
        <v>12</v>
      </c>
      <c r="L108" s="96">
        <f>L109+L110+L111</f>
        <v>0</v>
      </c>
      <c r="M108" s="59">
        <v>0</v>
      </c>
      <c r="N108" s="96">
        <f>N109+N110+N111</f>
        <v>0</v>
      </c>
      <c r="O108" s="96">
        <v>0</v>
      </c>
      <c r="P108" s="178">
        <v>955</v>
      </c>
    </row>
    <row r="109" spans="2:16" outlineLevel="1" x14ac:dyDescent="0.2">
      <c r="B109" s="178"/>
      <c r="C109" s="143"/>
      <c r="D109" s="178"/>
      <c r="E109" s="178"/>
      <c r="F109" s="118"/>
      <c r="G109" s="178"/>
      <c r="H109" s="95" t="s">
        <v>4</v>
      </c>
      <c r="I109" s="87"/>
      <c r="J109" s="60"/>
      <c r="K109" s="60"/>
      <c r="L109" s="61"/>
      <c r="M109" s="62"/>
      <c r="N109" s="60"/>
      <c r="O109" s="60"/>
      <c r="P109" s="178"/>
    </row>
    <row r="110" spans="2:16" outlineLevel="1" x14ac:dyDescent="0.2">
      <c r="B110" s="178"/>
      <c r="C110" s="143"/>
      <c r="D110" s="178"/>
      <c r="E110" s="178"/>
      <c r="F110" s="118"/>
      <c r="G110" s="178"/>
      <c r="H110" s="95" t="s">
        <v>6</v>
      </c>
      <c r="I110" s="27">
        <f>SUM(J110:O110)</f>
        <v>12</v>
      </c>
      <c r="J110" s="60"/>
      <c r="K110" s="60">
        <v>12</v>
      </c>
      <c r="L110" s="61"/>
      <c r="M110" s="62"/>
      <c r="N110" s="60"/>
      <c r="O110" s="60"/>
      <c r="P110" s="178"/>
    </row>
    <row r="111" spans="2:16" outlineLevel="1" x14ac:dyDescent="0.2">
      <c r="B111" s="178"/>
      <c r="C111" s="143"/>
      <c r="D111" s="178"/>
      <c r="E111" s="178"/>
      <c r="F111" s="119"/>
      <c r="G111" s="178"/>
      <c r="H111" s="95" t="s">
        <v>5</v>
      </c>
      <c r="I111" s="87"/>
      <c r="J111" s="60"/>
      <c r="K111" s="60"/>
      <c r="L111" s="61"/>
      <c r="M111" s="62"/>
      <c r="N111" s="60"/>
      <c r="O111" s="60"/>
      <c r="P111" s="178"/>
    </row>
    <row r="112" spans="2:16" ht="42.75" outlineLevel="1" x14ac:dyDescent="0.2">
      <c r="B112" s="117" t="s">
        <v>1037</v>
      </c>
      <c r="C112" s="117"/>
      <c r="D112" s="117" t="s">
        <v>1038</v>
      </c>
      <c r="E112" s="117">
        <v>2023</v>
      </c>
      <c r="F112" s="117" t="s">
        <v>1039</v>
      </c>
      <c r="G112" s="117" t="s">
        <v>138</v>
      </c>
      <c r="H112" s="95" t="s">
        <v>1027</v>
      </c>
      <c r="I112" s="27">
        <f>SUM(J112:O112)</f>
        <v>28</v>
      </c>
      <c r="J112" s="96">
        <f t="shared" ref="J112:N112" si="28">J113+J114+J115</f>
        <v>0</v>
      </c>
      <c r="K112" s="96">
        <f t="shared" si="28"/>
        <v>0</v>
      </c>
      <c r="L112" s="96"/>
      <c r="M112" s="96">
        <f t="shared" ref="M112" si="29">M113+M114+M115</f>
        <v>28</v>
      </c>
      <c r="N112" s="96">
        <f t="shared" si="28"/>
        <v>0</v>
      </c>
      <c r="O112" s="96">
        <v>0</v>
      </c>
      <c r="P112" s="117">
        <v>871</v>
      </c>
    </row>
    <row r="113" spans="2:16" ht="16.5" customHeight="1" outlineLevel="1" x14ac:dyDescent="0.2">
      <c r="B113" s="118"/>
      <c r="C113" s="118"/>
      <c r="D113" s="118"/>
      <c r="E113" s="118"/>
      <c r="F113" s="118"/>
      <c r="G113" s="118"/>
      <c r="H113" s="95" t="s">
        <v>4</v>
      </c>
      <c r="I113" s="87"/>
      <c r="J113" s="60"/>
      <c r="K113" s="60"/>
      <c r="L113" s="61"/>
      <c r="M113" s="61"/>
      <c r="N113" s="60"/>
      <c r="O113" s="60"/>
      <c r="P113" s="118"/>
    </row>
    <row r="114" spans="2:16" ht="16.5" customHeight="1" outlineLevel="1" x14ac:dyDescent="0.2">
      <c r="B114" s="118"/>
      <c r="C114" s="118"/>
      <c r="D114" s="118"/>
      <c r="E114" s="118"/>
      <c r="F114" s="118"/>
      <c r="G114" s="118"/>
      <c r="H114" s="95" t="s">
        <v>6</v>
      </c>
      <c r="I114" s="27">
        <f>SUM(J114:O114)</f>
        <v>28</v>
      </c>
      <c r="J114" s="60"/>
      <c r="K114" s="60"/>
      <c r="L114" s="61"/>
      <c r="M114" s="61">
        <v>28</v>
      </c>
      <c r="N114" s="60"/>
      <c r="O114" s="60"/>
      <c r="P114" s="118"/>
    </row>
    <row r="115" spans="2:16" ht="16.5" customHeight="1" outlineLevel="1" x14ac:dyDescent="0.2">
      <c r="B115" s="119"/>
      <c r="C115" s="119"/>
      <c r="D115" s="119"/>
      <c r="E115" s="119"/>
      <c r="F115" s="119"/>
      <c r="G115" s="119"/>
      <c r="H115" s="95" t="s">
        <v>5</v>
      </c>
      <c r="I115" s="87"/>
      <c r="J115" s="60"/>
      <c r="K115" s="60"/>
      <c r="L115" s="61"/>
      <c r="M115" s="62"/>
      <c r="N115" s="60"/>
      <c r="O115" s="60"/>
      <c r="P115" s="119"/>
    </row>
    <row r="116" spans="2:16" ht="42.75" outlineLevel="1" x14ac:dyDescent="0.2">
      <c r="B116" s="117" t="s">
        <v>1040</v>
      </c>
      <c r="C116" s="117"/>
      <c r="D116" s="117" t="s">
        <v>1041</v>
      </c>
      <c r="E116" s="117">
        <v>2023</v>
      </c>
      <c r="F116" s="117" t="s">
        <v>1026</v>
      </c>
      <c r="G116" s="117" t="s">
        <v>138</v>
      </c>
      <c r="H116" s="95" t="s">
        <v>1027</v>
      </c>
      <c r="I116" s="27">
        <f>SUM(J116:O116)</f>
        <v>16.5</v>
      </c>
      <c r="J116" s="96">
        <f>J117+J118+J119</f>
        <v>0</v>
      </c>
      <c r="K116" s="96">
        <f>K117+K118+K119</f>
        <v>0</v>
      </c>
      <c r="L116" s="96">
        <f t="shared" ref="L116:O116" si="30">L117+L118+L119</f>
        <v>0</v>
      </c>
      <c r="M116" s="96">
        <f t="shared" si="30"/>
        <v>16.5</v>
      </c>
      <c r="N116" s="96">
        <f t="shared" si="30"/>
        <v>0</v>
      </c>
      <c r="O116" s="96">
        <f t="shared" si="30"/>
        <v>0</v>
      </c>
      <c r="P116" s="117">
        <v>391</v>
      </c>
    </row>
    <row r="117" spans="2:16" ht="16.5" customHeight="1" outlineLevel="1" x14ac:dyDescent="0.2">
      <c r="B117" s="118"/>
      <c r="C117" s="118"/>
      <c r="D117" s="118"/>
      <c r="E117" s="118"/>
      <c r="F117" s="118"/>
      <c r="G117" s="118"/>
      <c r="H117" s="95" t="s">
        <v>4</v>
      </c>
      <c r="I117" s="87"/>
      <c r="J117" s="60"/>
      <c r="K117" s="60"/>
      <c r="L117" s="61"/>
      <c r="M117" s="62"/>
      <c r="N117" s="60"/>
      <c r="O117" s="60"/>
      <c r="P117" s="118"/>
    </row>
    <row r="118" spans="2:16" ht="16.5" customHeight="1" outlineLevel="1" x14ac:dyDescent="0.2">
      <c r="B118" s="118"/>
      <c r="C118" s="118"/>
      <c r="D118" s="118"/>
      <c r="E118" s="118"/>
      <c r="F118" s="118"/>
      <c r="G118" s="118"/>
      <c r="H118" s="95" t="s">
        <v>6</v>
      </c>
      <c r="I118" s="27">
        <f>SUM(J118:O118)</f>
        <v>16.5</v>
      </c>
      <c r="J118" s="60"/>
      <c r="K118" s="60"/>
      <c r="L118" s="61"/>
      <c r="M118" s="62">
        <v>16.5</v>
      </c>
      <c r="N118" s="60"/>
      <c r="O118" s="60"/>
      <c r="P118" s="118"/>
    </row>
    <row r="119" spans="2:16" ht="16.5" customHeight="1" outlineLevel="1" x14ac:dyDescent="0.2">
      <c r="B119" s="119"/>
      <c r="C119" s="119"/>
      <c r="D119" s="119"/>
      <c r="E119" s="119"/>
      <c r="F119" s="119"/>
      <c r="G119" s="119"/>
      <c r="H119" s="95" t="s">
        <v>5</v>
      </c>
      <c r="I119" s="87"/>
      <c r="J119" s="60"/>
      <c r="K119" s="60"/>
      <c r="L119" s="61"/>
      <c r="M119" s="62"/>
      <c r="N119" s="60"/>
      <c r="O119" s="60"/>
      <c r="P119" s="119"/>
    </row>
    <row r="120" spans="2:16" ht="42.75" outlineLevel="1" x14ac:dyDescent="0.2">
      <c r="B120" s="117" t="s">
        <v>1042</v>
      </c>
      <c r="C120" s="117"/>
      <c r="D120" s="117" t="s">
        <v>1043</v>
      </c>
      <c r="E120" s="117" t="s">
        <v>50</v>
      </c>
      <c r="F120" s="117" t="s">
        <v>1044</v>
      </c>
      <c r="G120" s="117" t="s">
        <v>138</v>
      </c>
      <c r="H120" s="95" t="s">
        <v>1027</v>
      </c>
      <c r="I120" s="27">
        <f>SUM(J120:O120)</f>
        <v>35</v>
      </c>
      <c r="J120" s="96">
        <f>J121+J122+J123</f>
        <v>0</v>
      </c>
      <c r="K120" s="96">
        <f>K121+K122+K123</f>
        <v>0</v>
      </c>
      <c r="L120" s="96">
        <f>L121+L122+L123</f>
        <v>35</v>
      </c>
      <c r="M120" s="59">
        <v>0</v>
      </c>
      <c r="N120" s="96">
        <f>N121+N122+N123</f>
        <v>0</v>
      </c>
      <c r="O120" s="96">
        <v>0</v>
      </c>
      <c r="P120" s="117">
        <v>5218</v>
      </c>
    </row>
    <row r="121" spans="2:16" ht="16.5" customHeight="1" outlineLevel="1" x14ac:dyDescent="0.2">
      <c r="B121" s="118"/>
      <c r="C121" s="118"/>
      <c r="D121" s="118"/>
      <c r="E121" s="118"/>
      <c r="F121" s="118"/>
      <c r="G121" s="118"/>
      <c r="H121" s="95" t="s">
        <v>4</v>
      </c>
      <c r="I121" s="87"/>
      <c r="J121" s="60"/>
      <c r="K121" s="60"/>
      <c r="L121" s="61"/>
      <c r="M121" s="62"/>
      <c r="N121" s="60"/>
      <c r="O121" s="60"/>
      <c r="P121" s="118"/>
    </row>
    <row r="122" spans="2:16" ht="16.5" customHeight="1" outlineLevel="1" x14ac:dyDescent="0.2">
      <c r="B122" s="118"/>
      <c r="C122" s="118"/>
      <c r="D122" s="118"/>
      <c r="E122" s="118"/>
      <c r="F122" s="118"/>
      <c r="G122" s="118"/>
      <c r="H122" s="95" t="s">
        <v>6</v>
      </c>
      <c r="I122" s="27">
        <f>SUM(J122:O122)</f>
        <v>35</v>
      </c>
      <c r="J122" s="60"/>
      <c r="K122" s="60"/>
      <c r="L122" s="61">
        <v>35</v>
      </c>
      <c r="M122" s="62"/>
      <c r="N122" s="60"/>
      <c r="O122" s="60"/>
      <c r="P122" s="118"/>
    </row>
    <row r="123" spans="2:16" ht="16.5" customHeight="1" outlineLevel="1" x14ac:dyDescent="0.2">
      <c r="B123" s="119"/>
      <c r="C123" s="119"/>
      <c r="D123" s="119"/>
      <c r="E123" s="119"/>
      <c r="F123" s="119"/>
      <c r="G123" s="119"/>
      <c r="H123" s="95" t="s">
        <v>5</v>
      </c>
      <c r="I123" s="87"/>
      <c r="J123" s="60"/>
      <c r="K123" s="60"/>
      <c r="L123" s="61"/>
      <c r="M123" s="62"/>
      <c r="N123" s="60"/>
      <c r="O123" s="60"/>
      <c r="P123" s="119"/>
    </row>
    <row r="124" spans="2:16" ht="42.75" outlineLevel="1" x14ac:dyDescent="0.2">
      <c r="B124" s="117" t="s">
        <v>1045</v>
      </c>
      <c r="C124" s="117"/>
      <c r="D124" s="117" t="s">
        <v>1046</v>
      </c>
      <c r="E124" s="117">
        <v>2024</v>
      </c>
      <c r="F124" s="117" t="s">
        <v>1047</v>
      </c>
      <c r="G124" s="117" t="s">
        <v>138</v>
      </c>
      <c r="H124" s="95" t="s">
        <v>1027</v>
      </c>
      <c r="I124" s="27">
        <f>SUM(J124:O124)</f>
        <v>23</v>
      </c>
      <c r="J124" s="96">
        <f>J125+J126+J127</f>
        <v>0</v>
      </c>
      <c r="K124" s="96">
        <f>K125+K126+K127</f>
        <v>0</v>
      </c>
      <c r="L124" s="96"/>
      <c r="M124" s="59">
        <v>0</v>
      </c>
      <c r="N124" s="96">
        <f>N125+N126+N127</f>
        <v>23</v>
      </c>
      <c r="O124" s="96">
        <v>0</v>
      </c>
      <c r="P124" s="117">
        <v>986</v>
      </c>
    </row>
    <row r="125" spans="2:16" ht="16.5" customHeight="1" outlineLevel="1" x14ac:dyDescent="0.2">
      <c r="B125" s="118"/>
      <c r="C125" s="118"/>
      <c r="D125" s="118"/>
      <c r="E125" s="118"/>
      <c r="F125" s="118"/>
      <c r="G125" s="118"/>
      <c r="H125" s="95" t="s">
        <v>4</v>
      </c>
      <c r="I125" s="87"/>
      <c r="J125" s="60"/>
      <c r="K125" s="60"/>
      <c r="L125" s="61"/>
      <c r="M125" s="62"/>
      <c r="N125" s="61"/>
      <c r="O125" s="60"/>
      <c r="P125" s="118"/>
    </row>
    <row r="126" spans="2:16" ht="16.5" customHeight="1" outlineLevel="1" x14ac:dyDescent="0.2">
      <c r="B126" s="118"/>
      <c r="C126" s="118"/>
      <c r="D126" s="118"/>
      <c r="E126" s="118"/>
      <c r="F126" s="118"/>
      <c r="G126" s="118"/>
      <c r="H126" s="95" t="s">
        <v>6</v>
      </c>
      <c r="I126" s="27">
        <f>SUM(J126:O126)</f>
        <v>23</v>
      </c>
      <c r="J126" s="60"/>
      <c r="K126" s="60"/>
      <c r="L126" s="61"/>
      <c r="M126" s="62"/>
      <c r="N126" s="61">
        <v>23</v>
      </c>
      <c r="O126" s="60"/>
      <c r="P126" s="118"/>
    </row>
    <row r="127" spans="2:16" ht="16.5" customHeight="1" outlineLevel="1" x14ac:dyDescent="0.2">
      <c r="B127" s="119"/>
      <c r="C127" s="119"/>
      <c r="D127" s="119"/>
      <c r="E127" s="119"/>
      <c r="F127" s="119"/>
      <c r="G127" s="119"/>
      <c r="H127" s="95" t="s">
        <v>5</v>
      </c>
      <c r="I127" s="87"/>
      <c r="J127" s="60"/>
      <c r="K127" s="60"/>
      <c r="L127" s="61"/>
      <c r="M127" s="62"/>
      <c r="N127" s="60"/>
      <c r="O127" s="60"/>
      <c r="P127" s="119"/>
    </row>
    <row r="128" spans="2:16" ht="42.75" outlineLevel="1" x14ac:dyDescent="0.2">
      <c r="B128" s="117" t="s">
        <v>1048</v>
      </c>
      <c r="C128" s="117"/>
      <c r="D128" s="117" t="s">
        <v>1049</v>
      </c>
      <c r="E128" s="117">
        <v>2025</v>
      </c>
      <c r="F128" s="117" t="s">
        <v>1032</v>
      </c>
      <c r="G128" s="178" t="s">
        <v>138</v>
      </c>
      <c r="H128" s="95" t="s">
        <v>1027</v>
      </c>
      <c r="I128" s="27">
        <f>SUM(J128:O128)</f>
        <v>21.5</v>
      </c>
      <c r="J128" s="96">
        <f>J129+J130+J131</f>
        <v>0</v>
      </c>
      <c r="K128" s="96">
        <f>K129+K130+K131</f>
        <v>0</v>
      </c>
      <c r="L128" s="59">
        <v>0</v>
      </c>
      <c r="M128" s="96"/>
      <c r="N128" s="96">
        <f>N129+N130+N131</f>
        <v>0</v>
      </c>
      <c r="O128" s="96">
        <f>O129+O130+O131</f>
        <v>21.5</v>
      </c>
      <c r="P128" s="117">
        <v>400</v>
      </c>
    </row>
    <row r="129" spans="2:16" ht="16.5" customHeight="1" outlineLevel="1" x14ac:dyDescent="0.2">
      <c r="B129" s="118"/>
      <c r="C129" s="118"/>
      <c r="D129" s="118"/>
      <c r="E129" s="118"/>
      <c r="F129" s="118"/>
      <c r="G129" s="178"/>
      <c r="H129" s="95" t="s">
        <v>4</v>
      </c>
      <c r="I129" s="87"/>
      <c r="J129" s="60"/>
      <c r="K129" s="60"/>
      <c r="L129" s="61"/>
      <c r="M129" s="62"/>
      <c r="N129" s="60"/>
      <c r="O129" s="62"/>
      <c r="P129" s="118"/>
    </row>
    <row r="130" spans="2:16" ht="16.5" customHeight="1" outlineLevel="1" x14ac:dyDescent="0.2">
      <c r="B130" s="118"/>
      <c r="C130" s="118"/>
      <c r="D130" s="118"/>
      <c r="E130" s="118"/>
      <c r="F130" s="118"/>
      <c r="G130" s="178"/>
      <c r="H130" s="95" t="s">
        <v>6</v>
      </c>
      <c r="I130" s="27">
        <f>SUM(J130:O130)</f>
        <v>21.5</v>
      </c>
      <c r="J130" s="60"/>
      <c r="K130" s="60"/>
      <c r="L130" s="61"/>
      <c r="M130" s="62"/>
      <c r="N130" s="60"/>
      <c r="O130" s="62">
        <v>21.5</v>
      </c>
      <c r="P130" s="118"/>
    </row>
    <row r="131" spans="2:16" ht="16.5" customHeight="1" outlineLevel="1" x14ac:dyDescent="0.2">
      <c r="B131" s="119"/>
      <c r="C131" s="119"/>
      <c r="D131" s="119"/>
      <c r="E131" s="119"/>
      <c r="F131" s="119"/>
      <c r="G131" s="178"/>
      <c r="H131" s="95" t="s">
        <v>5</v>
      </c>
      <c r="I131" s="87"/>
      <c r="J131" s="60"/>
      <c r="K131" s="60"/>
      <c r="L131" s="61"/>
      <c r="M131" s="62"/>
      <c r="N131" s="60"/>
      <c r="O131" s="60"/>
      <c r="P131" s="119"/>
    </row>
    <row r="132" spans="2:16" ht="42.75" outlineLevel="1" x14ac:dyDescent="0.2">
      <c r="B132" s="117" t="s">
        <v>1050</v>
      </c>
      <c r="C132" s="117"/>
      <c r="D132" s="117" t="s">
        <v>1051</v>
      </c>
      <c r="E132" s="117">
        <v>2024</v>
      </c>
      <c r="F132" s="117" t="s">
        <v>1052</v>
      </c>
      <c r="G132" s="117" t="s">
        <v>138</v>
      </c>
      <c r="H132" s="95" t="s">
        <v>1027</v>
      </c>
      <c r="I132" s="27">
        <f>SUM(J132:O132)</f>
        <v>8</v>
      </c>
      <c r="J132" s="96">
        <f>J133+J134+J135</f>
        <v>0</v>
      </c>
      <c r="K132" s="96">
        <f>K133+K134+K135</f>
        <v>0</v>
      </c>
      <c r="L132" s="96">
        <f t="shared" ref="L132:O132" si="31">L133+L134+L135</f>
        <v>0</v>
      </c>
      <c r="M132" s="96">
        <f t="shared" si="31"/>
        <v>0</v>
      </c>
      <c r="N132" s="96">
        <f t="shared" si="31"/>
        <v>8</v>
      </c>
      <c r="O132" s="96">
        <f t="shared" si="31"/>
        <v>0</v>
      </c>
      <c r="P132" s="117">
        <v>643</v>
      </c>
    </row>
    <row r="133" spans="2:16" ht="16.5" customHeight="1" outlineLevel="1" x14ac:dyDescent="0.2">
      <c r="B133" s="118"/>
      <c r="C133" s="118"/>
      <c r="D133" s="118"/>
      <c r="E133" s="118"/>
      <c r="F133" s="118"/>
      <c r="G133" s="118"/>
      <c r="H133" s="95" t="s">
        <v>4</v>
      </c>
      <c r="I133" s="87"/>
      <c r="J133" s="60"/>
      <c r="K133" s="60"/>
      <c r="L133" s="61"/>
      <c r="M133" s="62"/>
      <c r="N133" s="60"/>
      <c r="O133" s="60"/>
      <c r="P133" s="118"/>
    </row>
    <row r="134" spans="2:16" ht="16.5" customHeight="1" outlineLevel="1" x14ac:dyDescent="0.2">
      <c r="B134" s="118"/>
      <c r="C134" s="118"/>
      <c r="D134" s="118"/>
      <c r="E134" s="118"/>
      <c r="F134" s="118"/>
      <c r="G134" s="118"/>
      <c r="H134" s="95" t="s">
        <v>6</v>
      </c>
      <c r="I134" s="27">
        <f>SUM(J134:O134)</f>
        <v>8</v>
      </c>
      <c r="J134" s="60"/>
      <c r="K134" s="60"/>
      <c r="L134" s="61"/>
      <c r="M134" s="62"/>
      <c r="N134" s="60">
        <v>8</v>
      </c>
      <c r="O134" s="60"/>
      <c r="P134" s="118"/>
    </row>
    <row r="135" spans="2:16" ht="16.5" customHeight="1" outlineLevel="1" x14ac:dyDescent="0.2">
      <c r="B135" s="119"/>
      <c r="C135" s="119"/>
      <c r="D135" s="119"/>
      <c r="E135" s="119"/>
      <c r="F135" s="119"/>
      <c r="G135" s="119"/>
      <c r="H135" s="95" t="s">
        <v>5</v>
      </c>
      <c r="I135" s="87"/>
      <c r="J135" s="60"/>
      <c r="K135" s="60"/>
      <c r="L135" s="61"/>
      <c r="M135" s="62"/>
      <c r="N135" s="60"/>
      <c r="O135" s="60"/>
      <c r="P135" s="119"/>
    </row>
    <row r="136" spans="2:16" ht="42.75" outlineLevel="1" x14ac:dyDescent="0.2">
      <c r="B136" s="117" t="s">
        <v>1053</v>
      </c>
      <c r="C136" s="117"/>
      <c r="D136" s="117" t="s">
        <v>1054</v>
      </c>
      <c r="E136" s="117">
        <v>2022</v>
      </c>
      <c r="F136" s="117" t="s">
        <v>1052</v>
      </c>
      <c r="G136" s="117" t="s">
        <v>138</v>
      </c>
      <c r="H136" s="95" t="s">
        <v>1027</v>
      </c>
      <c r="I136" s="27">
        <f>SUM(J136:O136)</f>
        <v>27</v>
      </c>
      <c r="J136" s="96">
        <f>J137+J138+J139</f>
        <v>0</v>
      </c>
      <c r="K136" s="96"/>
      <c r="L136" s="96">
        <f>L137+L138+L139</f>
        <v>27</v>
      </c>
      <c r="M136" s="96">
        <f>M137+M138+M139</f>
        <v>0</v>
      </c>
      <c r="N136" s="96">
        <f>N137+N138+N139</f>
        <v>0</v>
      </c>
      <c r="O136" s="96">
        <v>0</v>
      </c>
      <c r="P136" s="117">
        <v>714</v>
      </c>
    </row>
    <row r="137" spans="2:16" ht="16.5" customHeight="1" outlineLevel="1" x14ac:dyDescent="0.2">
      <c r="B137" s="118"/>
      <c r="C137" s="118"/>
      <c r="D137" s="118"/>
      <c r="E137" s="118"/>
      <c r="F137" s="118"/>
      <c r="G137" s="118"/>
      <c r="H137" s="95" t="s">
        <v>4</v>
      </c>
      <c r="I137" s="87"/>
      <c r="J137" s="60"/>
      <c r="K137" s="60"/>
      <c r="L137" s="60"/>
      <c r="M137" s="62"/>
      <c r="N137" s="60"/>
      <c r="O137" s="60"/>
      <c r="P137" s="118"/>
    </row>
    <row r="138" spans="2:16" ht="16.5" customHeight="1" outlineLevel="1" x14ac:dyDescent="0.2">
      <c r="B138" s="118"/>
      <c r="C138" s="118"/>
      <c r="D138" s="118"/>
      <c r="E138" s="118"/>
      <c r="F138" s="118"/>
      <c r="G138" s="118"/>
      <c r="H138" s="95" t="s">
        <v>6</v>
      </c>
      <c r="I138" s="27">
        <f>SUM(J138:O138)</f>
        <v>27</v>
      </c>
      <c r="J138" s="60"/>
      <c r="K138" s="60"/>
      <c r="L138" s="60">
        <v>27</v>
      </c>
      <c r="M138" s="62"/>
      <c r="N138" s="60"/>
      <c r="O138" s="60"/>
      <c r="P138" s="118"/>
    </row>
    <row r="139" spans="2:16" ht="16.5" customHeight="1" outlineLevel="1" x14ac:dyDescent="0.2">
      <c r="B139" s="119"/>
      <c r="C139" s="119"/>
      <c r="D139" s="119"/>
      <c r="E139" s="119"/>
      <c r="F139" s="119"/>
      <c r="G139" s="119"/>
      <c r="H139" s="95" t="s">
        <v>5</v>
      </c>
      <c r="I139" s="87"/>
      <c r="J139" s="60"/>
      <c r="K139" s="60"/>
      <c r="L139" s="61"/>
      <c r="M139" s="62"/>
      <c r="N139" s="60"/>
      <c r="O139" s="60"/>
      <c r="P139" s="119"/>
    </row>
    <row r="140" spans="2:16" ht="42.75" outlineLevel="1" x14ac:dyDescent="0.2">
      <c r="B140" s="117" t="s">
        <v>1055</v>
      </c>
      <c r="C140" s="117"/>
      <c r="D140" s="117" t="s">
        <v>1056</v>
      </c>
      <c r="E140" s="117">
        <v>2025</v>
      </c>
      <c r="F140" s="117" t="s">
        <v>1026</v>
      </c>
      <c r="G140" s="178" t="s">
        <v>138</v>
      </c>
      <c r="H140" s="95" t="s">
        <v>1027</v>
      </c>
      <c r="I140" s="27">
        <f>SUM(J140:O140)</f>
        <v>18</v>
      </c>
      <c r="J140" s="96">
        <f>J141+J142+J143</f>
        <v>0</v>
      </c>
      <c r="K140" s="96">
        <f>K141+K142+K143</f>
        <v>0</v>
      </c>
      <c r="L140" s="96">
        <f t="shared" ref="L140:O140" si="32">L141+L142+L143</f>
        <v>0</v>
      </c>
      <c r="M140" s="96">
        <f t="shared" si="32"/>
        <v>0</v>
      </c>
      <c r="N140" s="96">
        <f t="shared" si="32"/>
        <v>0</v>
      </c>
      <c r="O140" s="96">
        <f t="shared" si="32"/>
        <v>18</v>
      </c>
      <c r="P140" s="117">
        <v>424</v>
      </c>
    </row>
    <row r="141" spans="2:16" ht="16.5" customHeight="1" outlineLevel="1" x14ac:dyDescent="0.2">
      <c r="B141" s="118"/>
      <c r="C141" s="118"/>
      <c r="D141" s="118"/>
      <c r="E141" s="118"/>
      <c r="F141" s="118"/>
      <c r="G141" s="178"/>
      <c r="H141" s="95" t="s">
        <v>4</v>
      </c>
      <c r="I141" s="87"/>
      <c r="J141" s="60"/>
      <c r="K141" s="60"/>
      <c r="L141" s="61"/>
      <c r="M141" s="62"/>
      <c r="N141" s="60"/>
      <c r="O141" s="60"/>
      <c r="P141" s="118"/>
    </row>
    <row r="142" spans="2:16" ht="16.5" customHeight="1" outlineLevel="1" x14ac:dyDescent="0.2">
      <c r="B142" s="118"/>
      <c r="C142" s="118"/>
      <c r="D142" s="118"/>
      <c r="E142" s="118"/>
      <c r="F142" s="118"/>
      <c r="G142" s="178"/>
      <c r="H142" s="95" t="s">
        <v>6</v>
      </c>
      <c r="I142" s="27">
        <f>SUM(J142:O142)</f>
        <v>18</v>
      </c>
      <c r="J142" s="60"/>
      <c r="K142" s="60"/>
      <c r="L142" s="61"/>
      <c r="M142" s="62"/>
      <c r="N142" s="60"/>
      <c r="O142" s="60">
        <v>18</v>
      </c>
      <c r="P142" s="118"/>
    </row>
    <row r="143" spans="2:16" ht="16.5" customHeight="1" outlineLevel="1" x14ac:dyDescent="0.2">
      <c r="B143" s="119"/>
      <c r="C143" s="119"/>
      <c r="D143" s="119"/>
      <c r="E143" s="119"/>
      <c r="F143" s="119"/>
      <c r="G143" s="178"/>
      <c r="H143" s="95" t="s">
        <v>5</v>
      </c>
      <c r="I143" s="87"/>
      <c r="J143" s="60"/>
      <c r="K143" s="60"/>
      <c r="L143" s="61"/>
      <c r="M143" s="62"/>
      <c r="N143" s="60"/>
      <c r="O143" s="60"/>
      <c r="P143" s="119"/>
    </row>
    <row r="144" spans="2:16" ht="42.75" outlineLevel="1" x14ac:dyDescent="0.2">
      <c r="B144" s="117" t="s">
        <v>1057</v>
      </c>
      <c r="C144" s="117"/>
      <c r="D144" s="117" t="s">
        <v>1058</v>
      </c>
      <c r="E144" s="117">
        <v>2025</v>
      </c>
      <c r="F144" s="117" t="s">
        <v>1052</v>
      </c>
      <c r="G144" s="117" t="s">
        <v>138</v>
      </c>
      <c r="H144" s="95" t="s">
        <v>1027</v>
      </c>
      <c r="I144" s="27">
        <f>SUM(J144:O144)</f>
        <v>23.5</v>
      </c>
      <c r="J144" s="96">
        <f>J145+J146+J147</f>
        <v>0</v>
      </c>
      <c r="K144" s="96">
        <f>K145+K146+K147</f>
        <v>0</v>
      </c>
      <c r="L144" s="96">
        <f t="shared" ref="L144:O144" si="33">L145+L146+L147</f>
        <v>0</v>
      </c>
      <c r="M144" s="96">
        <f t="shared" si="33"/>
        <v>0</v>
      </c>
      <c r="N144" s="96">
        <f t="shared" si="33"/>
        <v>0</v>
      </c>
      <c r="O144" s="96">
        <f t="shared" si="33"/>
        <v>23.5</v>
      </c>
      <c r="P144" s="117">
        <v>573</v>
      </c>
    </row>
    <row r="145" spans="2:17" ht="16.5" customHeight="1" outlineLevel="1" x14ac:dyDescent="0.2">
      <c r="B145" s="118"/>
      <c r="C145" s="118"/>
      <c r="D145" s="118"/>
      <c r="E145" s="118"/>
      <c r="F145" s="118"/>
      <c r="G145" s="118"/>
      <c r="H145" s="95" t="s">
        <v>4</v>
      </c>
      <c r="I145" s="27">
        <f t="shared" ref="I145:I151" si="34">SUM(J145:O145)</f>
        <v>0</v>
      </c>
      <c r="J145" s="60"/>
      <c r="K145" s="60"/>
      <c r="L145" s="61"/>
      <c r="M145" s="62"/>
      <c r="N145" s="60"/>
      <c r="O145" s="60"/>
      <c r="P145" s="118"/>
    </row>
    <row r="146" spans="2:17" ht="16.5" customHeight="1" outlineLevel="1" x14ac:dyDescent="0.2">
      <c r="B146" s="118"/>
      <c r="C146" s="118"/>
      <c r="D146" s="118"/>
      <c r="E146" s="118"/>
      <c r="F146" s="118"/>
      <c r="G146" s="118"/>
      <c r="H146" s="95" t="s">
        <v>6</v>
      </c>
      <c r="I146" s="27">
        <f t="shared" si="34"/>
        <v>23.5</v>
      </c>
      <c r="J146" s="60"/>
      <c r="K146" s="60"/>
      <c r="L146" s="61"/>
      <c r="M146" s="62"/>
      <c r="N146" s="60"/>
      <c r="O146" s="60">
        <v>23.5</v>
      </c>
      <c r="P146" s="118"/>
    </row>
    <row r="147" spans="2:17" ht="16.5" customHeight="1" outlineLevel="1" x14ac:dyDescent="0.2">
      <c r="B147" s="119"/>
      <c r="C147" s="119"/>
      <c r="D147" s="119"/>
      <c r="E147" s="119"/>
      <c r="F147" s="119"/>
      <c r="G147" s="119"/>
      <c r="H147" s="95" t="s">
        <v>5</v>
      </c>
      <c r="I147" s="27">
        <f t="shared" si="34"/>
        <v>0</v>
      </c>
      <c r="J147" s="60"/>
      <c r="K147" s="60"/>
      <c r="L147" s="61"/>
      <c r="M147" s="62"/>
      <c r="N147" s="60"/>
      <c r="O147" s="60"/>
      <c r="P147" s="119"/>
    </row>
    <row r="148" spans="2:17" ht="42.75" outlineLevel="1" x14ac:dyDescent="0.2">
      <c r="B148" s="178" t="s">
        <v>1059</v>
      </c>
      <c r="C148" s="178"/>
      <c r="D148" s="178" t="s">
        <v>1043</v>
      </c>
      <c r="E148" s="178">
        <v>2022</v>
      </c>
      <c r="F148" s="178" t="s">
        <v>1060</v>
      </c>
      <c r="G148" s="178" t="s">
        <v>138</v>
      </c>
      <c r="H148" s="95" t="s">
        <v>3</v>
      </c>
      <c r="I148" s="27">
        <f t="shared" si="34"/>
        <v>59.2</v>
      </c>
      <c r="J148" s="96">
        <f t="shared" ref="J148:O148" si="35">J149+J150+J151</f>
        <v>0</v>
      </c>
      <c r="K148" s="96">
        <f t="shared" si="35"/>
        <v>0</v>
      </c>
      <c r="L148" s="96">
        <f t="shared" si="35"/>
        <v>59.2</v>
      </c>
      <c r="M148" s="96">
        <f t="shared" si="35"/>
        <v>0</v>
      </c>
      <c r="N148" s="96">
        <f t="shared" si="35"/>
        <v>0</v>
      </c>
      <c r="O148" s="96">
        <f t="shared" si="35"/>
        <v>0</v>
      </c>
      <c r="P148" s="178">
        <v>5218</v>
      </c>
    </row>
    <row r="149" spans="2:17" ht="17.25" customHeight="1" outlineLevel="1" x14ac:dyDescent="0.2">
      <c r="B149" s="178"/>
      <c r="C149" s="143"/>
      <c r="D149" s="178"/>
      <c r="E149" s="178"/>
      <c r="F149" s="178"/>
      <c r="G149" s="178"/>
      <c r="H149" s="95" t="s">
        <v>4</v>
      </c>
      <c r="I149" s="27">
        <f t="shared" si="34"/>
        <v>58.6</v>
      </c>
      <c r="J149" s="60">
        <v>0</v>
      </c>
      <c r="K149" s="60">
        <v>0</v>
      </c>
      <c r="L149" s="60">
        <v>58.6</v>
      </c>
      <c r="M149" s="60">
        <v>0</v>
      </c>
      <c r="N149" s="60">
        <v>0</v>
      </c>
      <c r="O149" s="60">
        <v>0</v>
      </c>
      <c r="P149" s="178"/>
    </row>
    <row r="150" spans="2:17" ht="17.25" customHeight="1" outlineLevel="1" x14ac:dyDescent="0.2">
      <c r="B150" s="178"/>
      <c r="C150" s="143"/>
      <c r="D150" s="178"/>
      <c r="E150" s="178"/>
      <c r="F150" s="178"/>
      <c r="G150" s="178"/>
      <c r="H150" s="95" t="s">
        <v>6</v>
      </c>
      <c r="I150" s="27">
        <f t="shared" si="34"/>
        <v>0.6</v>
      </c>
      <c r="J150" s="60">
        <v>0</v>
      </c>
      <c r="K150" s="60">
        <v>0</v>
      </c>
      <c r="L150" s="60">
        <v>0.6</v>
      </c>
      <c r="M150" s="60">
        <v>0</v>
      </c>
      <c r="N150" s="60">
        <v>0</v>
      </c>
      <c r="O150" s="60">
        <v>0</v>
      </c>
      <c r="P150" s="178"/>
    </row>
    <row r="151" spans="2:17" ht="17.25" customHeight="1" outlineLevel="1" x14ac:dyDescent="0.2">
      <c r="B151" s="178"/>
      <c r="C151" s="143"/>
      <c r="D151" s="178"/>
      <c r="E151" s="178"/>
      <c r="F151" s="178"/>
      <c r="G151" s="178"/>
      <c r="H151" s="95" t="s">
        <v>5</v>
      </c>
      <c r="I151" s="27">
        <f t="shared" si="34"/>
        <v>0</v>
      </c>
      <c r="J151" s="60"/>
      <c r="K151" s="60"/>
      <c r="L151" s="60"/>
      <c r="M151" s="60"/>
      <c r="N151" s="60"/>
      <c r="O151" s="60"/>
      <c r="P151" s="178"/>
    </row>
    <row r="152" spans="2:17" ht="42.75" x14ac:dyDescent="0.2">
      <c r="B152" s="128" t="s">
        <v>37</v>
      </c>
      <c r="C152" s="128" t="s">
        <v>38</v>
      </c>
      <c r="D152" s="128" t="s">
        <v>38</v>
      </c>
      <c r="E152" s="128" t="s">
        <v>38</v>
      </c>
      <c r="F152" s="128" t="s">
        <v>38</v>
      </c>
      <c r="G152" s="128" t="s">
        <v>38</v>
      </c>
      <c r="H152" s="95" t="s">
        <v>3</v>
      </c>
      <c r="I152" s="14">
        <f t="shared" ref="I152:O152" si="36">SUMIF($H$92:$H$151,"Объем*",I$92:I$151)</f>
        <v>327.39999999999998</v>
      </c>
      <c r="J152" s="14">
        <f t="shared" si="36"/>
        <v>0</v>
      </c>
      <c r="K152" s="14">
        <f t="shared" si="36"/>
        <v>28.2</v>
      </c>
      <c r="L152" s="14">
        <f t="shared" si="36"/>
        <v>137.69999999999999</v>
      </c>
      <c r="M152" s="14">
        <f t="shared" si="36"/>
        <v>52.5</v>
      </c>
      <c r="N152" s="14">
        <f t="shared" si="36"/>
        <v>46</v>
      </c>
      <c r="O152" s="14">
        <f t="shared" si="36"/>
        <v>63</v>
      </c>
      <c r="P152" s="128"/>
      <c r="Q152" s="7"/>
    </row>
    <row r="153" spans="2:17" ht="15.75" x14ac:dyDescent="0.2">
      <c r="B153" s="129"/>
      <c r="C153" s="129"/>
      <c r="D153" s="129"/>
      <c r="E153" s="129"/>
      <c r="F153" s="129"/>
      <c r="G153" s="129"/>
      <c r="H153" s="95" t="s">
        <v>4</v>
      </c>
      <c r="I153" s="14">
        <f t="shared" ref="I153:O153" si="37">SUMIF($H$92:$H$151,"фед*",I$92:I$151)</f>
        <v>58.6</v>
      </c>
      <c r="J153" s="14">
        <f t="shared" si="37"/>
        <v>0</v>
      </c>
      <c r="K153" s="14">
        <f t="shared" si="37"/>
        <v>0</v>
      </c>
      <c r="L153" s="14">
        <f t="shared" si="37"/>
        <v>58.6</v>
      </c>
      <c r="M153" s="14">
        <f t="shared" si="37"/>
        <v>0</v>
      </c>
      <c r="N153" s="14">
        <f t="shared" si="37"/>
        <v>0</v>
      </c>
      <c r="O153" s="14">
        <f t="shared" si="37"/>
        <v>0</v>
      </c>
      <c r="P153" s="129"/>
    </row>
    <row r="154" spans="2:17" ht="15.75" x14ac:dyDescent="0.2">
      <c r="B154" s="129"/>
      <c r="C154" s="129"/>
      <c r="D154" s="129"/>
      <c r="E154" s="129"/>
      <c r="F154" s="129"/>
      <c r="G154" s="129"/>
      <c r="H154" s="95" t="s">
        <v>6</v>
      </c>
      <c r="I154" s="14">
        <f t="shared" ref="I154:O154" si="38">SUMIF($H$92:$H$151,"конс*",I$92:I$151)</f>
        <v>268.8</v>
      </c>
      <c r="J154" s="14">
        <f t="shared" si="38"/>
        <v>0</v>
      </c>
      <c r="K154" s="14">
        <f t="shared" si="38"/>
        <v>28.2</v>
      </c>
      <c r="L154" s="14">
        <f t="shared" si="38"/>
        <v>79.099999999999994</v>
      </c>
      <c r="M154" s="14">
        <f t="shared" si="38"/>
        <v>52.5</v>
      </c>
      <c r="N154" s="14">
        <f t="shared" si="38"/>
        <v>46</v>
      </c>
      <c r="O154" s="14">
        <f t="shared" si="38"/>
        <v>63</v>
      </c>
      <c r="P154" s="129"/>
    </row>
    <row r="155" spans="2:17" ht="15.75" x14ac:dyDescent="0.2">
      <c r="B155" s="130"/>
      <c r="C155" s="130"/>
      <c r="D155" s="130"/>
      <c r="E155" s="130"/>
      <c r="F155" s="130"/>
      <c r="G155" s="130"/>
      <c r="H155" s="95" t="s">
        <v>5</v>
      </c>
      <c r="I155" s="14">
        <f t="shared" ref="I155:O155" si="39">SUMIF($H$92:$H$151,"вне*",I$92:I$151)</f>
        <v>0</v>
      </c>
      <c r="J155" s="14">
        <f t="shared" si="39"/>
        <v>0</v>
      </c>
      <c r="K155" s="14">
        <f t="shared" si="39"/>
        <v>0</v>
      </c>
      <c r="L155" s="14">
        <f t="shared" si="39"/>
        <v>0</v>
      </c>
      <c r="M155" s="14">
        <f t="shared" si="39"/>
        <v>0</v>
      </c>
      <c r="N155" s="14">
        <f t="shared" si="39"/>
        <v>0</v>
      </c>
      <c r="O155" s="14">
        <f t="shared" si="39"/>
        <v>0</v>
      </c>
      <c r="P155" s="130"/>
    </row>
    <row r="156" spans="2:17" ht="25.5" customHeight="1" x14ac:dyDescent="0.2">
      <c r="B156" s="111" t="s">
        <v>159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</row>
    <row r="157" spans="2:17" ht="40.5" customHeight="1" outlineLevel="1" x14ac:dyDescent="0.2">
      <c r="B157" s="178" t="s">
        <v>1061</v>
      </c>
      <c r="C157" s="178" t="s">
        <v>1004</v>
      </c>
      <c r="D157" s="178" t="s">
        <v>1062</v>
      </c>
      <c r="E157" s="178">
        <v>2020</v>
      </c>
      <c r="F157" s="178" t="s">
        <v>1052</v>
      </c>
      <c r="G157" s="178" t="s">
        <v>1063</v>
      </c>
      <c r="H157" s="95" t="s">
        <v>3</v>
      </c>
      <c r="I157" s="27">
        <f t="shared" ref="I157:I160" si="40">SUM(J157:O157)</f>
        <v>32.4</v>
      </c>
      <c r="J157" s="94">
        <f t="shared" ref="J157:O157" si="41">J158+J159+J160</f>
        <v>32.4</v>
      </c>
      <c r="K157" s="94">
        <f t="shared" si="41"/>
        <v>0</v>
      </c>
      <c r="L157" s="94">
        <f t="shared" si="41"/>
        <v>0</v>
      </c>
      <c r="M157" s="94">
        <f t="shared" si="41"/>
        <v>0</v>
      </c>
      <c r="N157" s="94">
        <f t="shared" si="41"/>
        <v>0</v>
      </c>
      <c r="O157" s="94">
        <f t="shared" si="41"/>
        <v>0</v>
      </c>
      <c r="P157" s="178"/>
    </row>
    <row r="158" spans="2:17" outlineLevel="1" x14ac:dyDescent="0.2">
      <c r="B158" s="178"/>
      <c r="C158" s="143"/>
      <c r="D158" s="178"/>
      <c r="E158" s="178"/>
      <c r="F158" s="178"/>
      <c r="G158" s="178"/>
      <c r="H158" s="95" t="s">
        <v>4</v>
      </c>
      <c r="I158" s="27">
        <f t="shared" si="40"/>
        <v>29</v>
      </c>
      <c r="J158" s="87">
        <v>29</v>
      </c>
      <c r="K158" s="87"/>
      <c r="L158" s="87"/>
      <c r="M158" s="87"/>
      <c r="N158" s="87"/>
      <c r="O158" s="87"/>
      <c r="P158" s="178"/>
    </row>
    <row r="159" spans="2:17" outlineLevel="1" x14ac:dyDescent="0.2">
      <c r="B159" s="178"/>
      <c r="C159" s="143"/>
      <c r="D159" s="178"/>
      <c r="E159" s="178"/>
      <c r="F159" s="178"/>
      <c r="G159" s="178"/>
      <c r="H159" s="95" t="s">
        <v>6</v>
      </c>
      <c r="I159" s="27">
        <f t="shared" si="40"/>
        <v>3.4</v>
      </c>
      <c r="J159" s="87">
        <v>3.4</v>
      </c>
      <c r="K159" s="87"/>
      <c r="L159" s="87"/>
      <c r="M159" s="87"/>
      <c r="N159" s="87"/>
      <c r="O159" s="87"/>
      <c r="P159" s="178"/>
    </row>
    <row r="160" spans="2:17" outlineLevel="1" x14ac:dyDescent="0.2">
      <c r="B160" s="178"/>
      <c r="C160" s="143"/>
      <c r="D160" s="178"/>
      <c r="E160" s="178"/>
      <c r="F160" s="178"/>
      <c r="G160" s="178"/>
      <c r="H160" s="95" t="s">
        <v>5</v>
      </c>
      <c r="I160" s="27">
        <f t="shared" si="40"/>
        <v>0</v>
      </c>
      <c r="J160" s="87"/>
      <c r="K160" s="87"/>
      <c r="L160" s="87"/>
      <c r="M160" s="87"/>
      <c r="N160" s="87"/>
      <c r="O160" s="87"/>
      <c r="P160" s="178"/>
    </row>
    <row r="161" spans="2:16" ht="42.75" x14ac:dyDescent="0.2">
      <c r="B161" s="128" t="s">
        <v>173</v>
      </c>
      <c r="C161" s="128" t="s">
        <v>38</v>
      </c>
      <c r="D161" s="128" t="s">
        <v>38</v>
      </c>
      <c r="E161" s="128" t="s">
        <v>38</v>
      </c>
      <c r="F161" s="128" t="s">
        <v>38</v>
      </c>
      <c r="G161" s="128" t="s">
        <v>38</v>
      </c>
      <c r="H161" s="95" t="s">
        <v>3</v>
      </c>
      <c r="I161" s="14">
        <f t="shared" ref="I161:O161" si="42">SUMIF($H$157:$H$160,"Объем*",I$157:I$160)</f>
        <v>32.4</v>
      </c>
      <c r="J161" s="14">
        <f t="shared" si="42"/>
        <v>32.4</v>
      </c>
      <c r="K161" s="14">
        <f t="shared" si="42"/>
        <v>0</v>
      </c>
      <c r="L161" s="14">
        <f t="shared" si="42"/>
        <v>0</v>
      </c>
      <c r="M161" s="14">
        <f t="shared" si="42"/>
        <v>0</v>
      </c>
      <c r="N161" s="14">
        <f t="shared" si="42"/>
        <v>0</v>
      </c>
      <c r="O161" s="14">
        <f t="shared" si="42"/>
        <v>0</v>
      </c>
      <c r="P161" s="128"/>
    </row>
    <row r="162" spans="2:16" ht="15.75" x14ac:dyDescent="0.2">
      <c r="B162" s="129"/>
      <c r="C162" s="129"/>
      <c r="D162" s="129"/>
      <c r="E162" s="129"/>
      <c r="F162" s="129"/>
      <c r="G162" s="129"/>
      <c r="H162" s="95" t="s">
        <v>4</v>
      </c>
      <c r="I162" s="14">
        <f t="shared" ref="I162:O162" si="43">SUMIF($H$157:$H$160,"фед*",I$157:I$160)</f>
        <v>29</v>
      </c>
      <c r="J162" s="14">
        <f t="shared" si="43"/>
        <v>29</v>
      </c>
      <c r="K162" s="14">
        <f t="shared" si="43"/>
        <v>0</v>
      </c>
      <c r="L162" s="14">
        <f t="shared" si="43"/>
        <v>0</v>
      </c>
      <c r="M162" s="14">
        <f t="shared" si="43"/>
        <v>0</v>
      </c>
      <c r="N162" s="14">
        <f t="shared" si="43"/>
        <v>0</v>
      </c>
      <c r="O162" s="14">
        <f t="shared" si="43"/>
        <v>0</v>
      </c>
      <c r="P162" s="129"/>
    </row>
    <row r="163" spans="2:16" ht="15.75" x14ac:dyDescent="0.2">
      <c r="B163" s="129"/>
      <c r="C163" s="129"/>
      <c r="D163" s="129"/>
      <c r="E163" s="129"/>
      <c r="F163" s="129"/>
      <c r="G163" s="129"/>
      <c r="H163" s="95" t="s">
        <v>6</v>
      </c>
      <c r="I163" s="14">
        <f t="shared" ref="I163:O163" si="44">SUMIF($H$157:$H$160,"конс*",I$157:I$160)</f>
        <v>3.4</v>
      </c>
      <c r="J163" s="14">
        <f t="shared" si="44"/>
        <v>3.4</v>
      </c>
      <c r="K163" s="14">
        <f t="shared" si="44"/>
        <v>0</v>
      </c>
      <c r="L163" s="14">
        <f t="shared" si="44"/>
        <v>0</v>
      </c>
      <c r="M163" s="14">
        <f t="shared" si="44"/>
        <v>0</v>
      </c>
      <c r="N163" s="14">
        <f t="shared" si="44"/>
        <v>0</v>
      </c>
      <c r="O163" s="14">
        <f t="shared" si="44"/>
        <v>0</v>
      </c>
      <c r="P163" s="129"/>
    </row>
    <row r="164" spans="2:16" ht="15.75" x14ac:dyDescent="0.2">
      <c r="B164" s="130"/>
      <c r="C164" s="130"/>
      <c r="D164" s="130"/>
      <c r="E164" s="130"/>
      <c r="F164" s="130"/>
      <c r="G164" s="130"/>
      <c r="H164" s="95" t="s">
        <v>5</v>
      </c>
      <c r="I164" s="14">
        <f t="shared" ref="I164:O164" si="45">SUMIF($H$157:$H$160,"вне*",I$157:I$160)</f>
        <v>0</v>
      </c>
      <c r="J164" s="14">
        <f t="shared" si="45"/>
        <v>0</v>
      </c>
      <c r="K164" s="14">
        <f t="shared" si="45"/>
        <v>0</v>
      </c>
      <c r="L164" s="14">
        <f t="shared" si="45"/>
        <v>0</v>
      </c>
      <c r="M164" s="14">
        <f t="shared" si="45"/>
        <v>0</v>
      </c>
      <c r="N164" s="14">
        <f t="shared" si="45"/>
        <v>0</v>
      </c>
      <c r="O164" s="14">
        <f t="shared" si="45"/>
        <v>0</v>
      </c>
      <c r="P164" s="130"/>
    </row>
    <row r="165" spans="2:16" ht="25.5" customHeight="1" x14ac:dyDescent="0.2">
      <c r="B165" s="111" t="s">
        <v>174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3"/>
    </row>
    <row r="166" spans="2:16" ht="42.75" outlineLevel="1" x14ac:dyDescent="0.2">
      <c r="B166" s="178" t="s">
        <v>1064</v>
      </c>
      <c r="C166" s="178"/>
      <c r="D166" s="178" t="s">
        <v>174</v>
      </c>
      <c r="E166" s="178">
        <v>2021</v>
      </c>
      <c r="F166" s="178" t="s">
        <v>1065</v>
      </c>
      <c r="G166" s="189" t="s">
        <v>101</v>
      </c>
      <c r="H166" s="95" t="s">
        <v>3</v>
      </c>
      <c r="I166" s="27">
        <f t="shared" ref="I166:I181" si="46">SUM(J166:O166)</f>
        <v>26</v>
      </c>
      <c r="J166" s="94">
        <f t="shared" ref="J166:O166" si="47">J167+J168+J169</f>
        <v>0</v>
      </c>
      <c r="K166" s="94">
        <v>26</v>
      </c>
      <c r="L166" s="94">
        <v>0</v>
      </c>
      <c r="M166" s="94">
        <f t="shared" si="47"/>
        <v>0</v>
      </c>
      <c r="N166" s="94">
        <f t="shared" si="47"/>
        <v>0</v>
      </c>
      <c r="O166" s="94">
        <f t="shared" si="47"/>
        <v>0</v>
      </c>
      <c r="P166" s="178">
        <v>1359</v>
      </c>
    </row>
    <row r="167" spans="2:16" outlineLevel="1" x14ac:dyDescent="0.2">
      <c r="B167" s="178"/>
      <c r="C167" s="143"/>
      <c r="D167" s="178"/>
      <c r="E167" s="178"/>
      <c r="F167" s="178"/>
      <c r="G167" s="189"/>
      <c r="H167" s="95" t="s">
        <v>4</v>
      </c>
      <c r="I167" s="27">
        <f t="shared" si="46"/>
        <v>0</v>
      </c>
      <c r="J167" s="94"/>
      <c r="K167" s="94"/>
      <c r="L167" s="94"/>
      <c r="M167" s="94"/>
      <c r="N167" s="94"/>
      <c r="O167" s="94"/>
      <c r="P167" s="178"/>
    </row>
    <row r="168" spans="2:16" outlineLevel="1" x14ac:dyDescent="0.2">
      <c r="B168" s="178"/>
      <c r="C168" s="143"/>
      <c r="D168" s="178"/>
      <c r="E168" s="178"/>
      <c r="F168" s="178"/>
      <c r="G168" s="189"/>
      <c r="H168" s="95" t="s">
        <v>6</v>
      </c>
      <c r="I168" s="27">
        <f t="shared" si="46"/>
        <v>26</v>
      </c>
      <c r="J168" s="94"/>
      <c r="K168" s="94">
        <v>26</v>
      </c>
      <c r="L168" s="94"/>
      <c r="M168" s="94"/>
      <c r="N168" s="94"/>
      <c r="O168" s="94"/>
      <c r="P168" s="178"/>
    </row>
    <row r="169" spans="2:16" outlineLevel="1" x14ac:dyDescent="0.2">
      <c r="B169" s="178"/>
      <c r="C169" s="143"/>
      <c r="D169" s="178"/>
      <c r="E169" s="178"/>
      <c r="F169" s="178"/>
      <c r="G169" s="189"/>
      <c r="H169" s="95" t="s">
        <v>5</v>
      </c>
      <c r="I169" s="27">
        <f t="shared" si="46"/>
        <v>0</v>
      </c>
      <c r="J169" s="94"/>
      <c r="K169" s="94"/>
      <c r="L169" s="94"/>
      <c r="M169" s="94"/>
      <c r="N169" s="94"/>
      <c r="O169" s="94"/>
      <c r="P169" s="178"/>
    </row>
    <row r="170" spans="2:16" ht="42.75" outlineLevel="1" x14ac:dyDescent="0.2">
      <c r="B170" s="178" t="s">
        <v>1066</v>
      </c>
      <c r="C170" s="178"/>
      <c r="D170" s="178" t="s">
        <v>174</v>
      </c>
      <c r="E170" s="178">
        <v>2022</v>
      </c>
      <c r="F170" s="178" t="s">
        <v>1065</v>
      </c>
      <c r="G170" s="189" t="s">
        <v>101</v>
      </c>
      <c r="H170" s="95" t="s">
        <v>3</v>
      </c>
      <c r="I170" s="27">
        <f t="shared" si="46"/>
        <v>27.3</v>
      </c>
      <c r="J170" s="94">
        <f t="shared" ref="J170:O170" si="48">J171+J172+J173</f>
        <v>0</v>
      </c>
      <c r="K170" s="94">
        <f t="shared" si="48"/>
        <v>0</v>
      </c>
      <c r="L170" s="94">
        <v>27.3</v>
      </c>
      <c r="M170" s="94">
        <v>0</v>
      </c>
      <c r="N170" s="94">
        <f t="shared" si="48"/>
        <v>0</v>
      </c>
      <c r="O170" s="94">
        <f t="shared" si="48"/>
        <v>0</v>
      </c>
      <c r="P170" s="178">
        <v>1231</v>
      </c>
    </row>
    <row r="171" spans="2:16" outlineLevel="1" x14ac:dyDescent="0.2">
      <c r="B171" s="178"/>
      <c r="C171" s="143"/>
      <c r="D171" s="178"/>
      <c r="E171" s="178"/>
      <c r="F171" s="178"/>
      <c r="G171" s="189"/>
      <c r="H171" s="95" t="s">
        <v>4</v>
      </c>
      <c r="I171" s="27">
        <f t="shared" si="46"/>
        <v>0</v>
      </c>
      <c r="J171" s="94"/>
      <c r="K171" s="94"/>
      <c r="L171" s="94"/>
      <c r="M171" s="94"/>
      <c r="N171" s="94"/>
      <c r="O171" s="94"/>
      <c r="P171" s="178"/>
    </row>
    <row r="172" spans="2:16" outlineLevel="1" x14ac:dyDescent="0.2">
      <c r="B172" s="178"/>
      <c r="C172" s="143"/>
      <c r="D172" s="178"/>
      <c r="E172" s="178"/>
      <c r="F172" s="178"/>
      <c r="G172" s="189"/>
      <c r="H172" s="95" t="s">
        <v>6</v>
      </c>
      <c r="I172" s="27">
        <f t="shared" si="46"/>
        <v>27.3</v>
      </c>
      <c r="J172" s="94"/>
      <c r="K172" s="94"/>
      <c r="L172" s="94">
        <v>27.3</v>
      </c>
      <c r="M172" s="94"/>
      <c r="N172" s="94"/>
      <c r="O172" s="94"/>
      <c r="P172" s="178"/>
    </row>
    <row r="173" spans="2:16" outlineLevel="1" x14ac:dyDescent="0.2">
      <c r="B173" s="178"/>
      <c r="C173" s="143"/>
      <c r="D173" s="178"/>
      <c r="E173" s="178"/>
      <c r="F173" s="178"/>
      <c r="G173" s="189"/>
      <c r="H173" s="95" t="s">
        <v>5</v>
      </c>
      <c r="I173" s="27">
        <f t="shared" si="46"/>
        <v>0</v>
      </c>
      <c r="J173" s="94"/>
      <c r="K173" s="94"/>
      <c r="L173" s="94"/>
      <c r="M173" s="94"/>
      <c r="N173" s="94"/>
      <c r="O173" s="94"/>
      <c r="P173" s="178"/>
    </row>
    <row r="174" spans="2:16" ht="42.75" outlineLevel="1" x14ac:dyDescent="0.2">
      <c r="B174" s="178" t="s">
        <v>1067</v>
      </c>
      <c r="C174" s="178"/>
      <c r="D174" s="178" t="s">
        <v>174</v>
      </c>
      <c r="E174" s="178">
        <v>2023</v>
      </c>
      <c r="F174" s="178" t="s">
        <v>1065</v>
      </c>
      <c r="G174" s="189" t="s">
        <v>101</v>
      </c>
      <c r="H174" s="95" t="s">
        <v>3</v>
      </c>
      <c r="I174" s="27">
        <f t="shared" si="46"/>
        <v>28.67</v>
      </c>
      <c r="J174" s="94">
        <f t="shared" ref="J174:K174" si="49">J175+J176+J177</f>
        <v>0</v>
      </c>
      <c r="K174" s="94">
        <f t="shared" si="49"/>
        <v>0</v>
      </c>
      <c r="L174" s="94">
        <v>0</v>
      </c>
      <c r="M174" s="94">
        <v>28.67</v>
      </c>
      <c r="N174" s="94">
        <f t="shared" ref="N174:O174" si="50">N175+N176+N177</f>
        <v>0</v>
      </c>
      <c r="O174" s="94">
        <f t="shared" si="50"/>
        <v>0</v>
      </c>
      <c r="P174" s="178">
        <v>1047</v>
      </c>
    </row>
    <row r="175" spans="2:16" outlineLevel="1" x14ac:dyDescent="0.2">
      <c r="B175" s="178"/>
      <c r="C175" s="143"/>
      <c r="D175" s="178"/>
      <c r="E175" s="178"/>
      <c r="F175" s="178"/>
      <c r="G175" s="189"/>
      <c r="H175" s="95" t="s">
        <v>4</v>
      </c>
      <c r="I175" s="27">
        <f t="shared" si="46"/>
        <v>0</v>
      </c>
      <c r="J175" s="94"/>
      <c r="K175" s="94"/>
      <c r="L175" s="94"/>
      <c r="M175" s="94"/>
      <c r="N175" s="94"/>
      <c r="O175" s="94"/>
      <c r="P175" s="178"/>
    </row>
    <row r="176" spans="2:16" outlineLevel="1" x14ac:dyDescent="0.2">
      <c r="B176" s="178"/>
      <c r="C176" s="143"/>
      <c r="D176" s="178"/>
      <c r="E176" s="178"/>
      <c r="F176" s="178"/>
      <c r="G176" s="189"/>
      <c r="H176" s="95" t="s">
        <v>6</v>
      </c>
      <c r="I176" s="27">
        <f t="shared" si="46"/>
        <v>28.67</v>
      </c>
      <c r="J176" s="94"/>
      <c r="K176" s="94"/>
      <c r="L176" s="94"/>
      <c r="M176" s="94">
        <v>28.67</v>
      </c>
      <c r="N176" s="94"/>
      <c r="O176" s="94"/>
      <c r="P176" s="178"/>
    </row>
    <row r="177" spans="2:17" outlineLevel="1" x14ac:dyDescent="0.2">
      <c r="B177" s="178"/>
      <c r="C177" s="143"/>
      <c r="D177" s="178"/>
      <c r="E177" s="178"/>
      <c r="F177" s="178"/>
      <c r="G177" s="189"/>
      <c r="H177" s="95" t="s">
        <v>5</v>
      </c>
      <c r="I177" s="27">
        <f t="shared" si="46"/>
        <v>0</v>
      </c>
      <c r="J177" s="94"/>
      <c r="K177" s="94"/>
      <c r="L177" s="94"/>
      <c r="M177" s="94"/>
      <c r="N177" s="94"/>
      <c r="O177" s="94"/>
      <c r="P177" s="178"/>
    </row>
    <row r="178" spans="2:17" ht="42.75" outlineLevel="1" x14ac:dyDescent="0.2">
      <c r="B178" s="178" t="s">
        <v>1068</v>
      </c>
      <c r="C178" s="178"/>
      <c r="D178" s="178" t="s">
        <v>174</v>
      </c>
      <c r="E178" s="178">
        <v>2024</v>
      </c>
      <c r="F178" s="178" t="s">
        <v>1065</v>
      </c>
      <c r="G178" s="189" t="s">
        <v>101</v>
      </c>
      <c r="H178" s="95" t="s">
        <v>3</v>
      </c>
      <c r="I178" s="27">
        <f t="shared" si="46"/>
        <v>30.1</v>
      </c>
      <c r="J178" s="94">
        <f t="shared" ref="J178:L178" si="51">J179+J180+J181</f>
        <v>0</v>
      </c>
      <c r="K178" s="94">
        <f t="shared" si="51"/>
        <v>0</v>
      </c>
      <c r="L178" s="94">
        <f t="shared" si="51"/>
        <v>0</v>
      </c>
      <c r="M178" s="94">
        <v>0</v>
      </c>
      <c r="N178" s="94">
        <v>30.1</v>
      </c>
      <c r="O178" s="94">
        <f t="shared" ref="O178" si="52">O179+O180+O181</f>
        <v>0</v>
      </c>
      <c r="P178" s="178">
        <v>1360</v>
      </c>
    </row>
    <row r="179" spans="2:17" outlineLevel="1" x14ac:dyDescent="0.2">
      <c r="B179" s="178"/>
      <c r="C179" s="143"/>
      <c r="D179" s="178"/>
      <c r="E179" s="178"/>
      <c r="F179" s="178"/>
      <c r="G179" s="189"/>
      <c r="H179" s="95" t="s">
        <v>4</v>
      </c>
      <c r="I179" s="27">
        <f t="shared" si="46"/>
        <v>0</v>
      </c>
      <c r="J179" s="94"/>
      <c r="K179" s="94"/>
      <c r="L179" s="94"/>
      <c r="M179" s="94"/>
      <c r="N179" s="94"/>
      <c r="O179" s="94"/>
      <c r="P179" s="178"/>
    </row>
    <row r="180" spans="2:17" outlineLevel="1" x14ac:dyDescent="0.2">
      <c r="B180" s="178"/>
      <c r="C180" s="143"/>
      <c r="D180" s="178"/>
      <c r="E180" s="178"/>
      <c r="F180" s="178"/>
      <c r="G180" s="189"/>
      <c r="H180" s="95" t="s">
        <v>6</v>
      </c>
      <c r="I180" s="27">
        <f t="shared" si="46"/>
        <v>30.1</v>
      </c>
      <c r="J180" s="94"/>
      <c r="K180" s="94"/>
      <c r="L180" s="94"/>
      <c r="M180" s="94"/>
      <c r="N180" s="94">
        <v>30.1</v>
      </c>
      <c r="O180" s="94"/>
      <c r="P180" s="178"/>
    </row>
    <row r="181" spans="2:17" outlineLevel="1" x14ac:dyDescent="0.2">
      <c r="B181" s="178"/>
      <c r="C181" s="143"/>
      <c r="D181" s="178"/>
      <c r="E181" s="178"/>
      <c r="F181" s="178"/>
      <c r="G181" s="189"/>
      <c r="H181" s="95" t="s">
        <v>5</v>
      </c>
      <c r="I181" s="27">
        <f t="shared" si="46"/>
        <v>0</v>
      </c>
      <c r="J181" s="94"/>
      <c r="K181" s="94"/>
      <c r="L181" s="94"/>
      <c r="M181" s="94"/>
      <c r="N181" s="94"/>
      <c r="O181" s="94"/>
      <c r="P181" s="178"/>
    </row>
    <row r="182" spans="2:17" ht="42.75" x14ac:dyDescent="0.2">
      <c r="B182" s="128" t="s">
        <v>197</v>
      </c>
      <c r="C182" s="128" t="s">
        <v>38</v>
      </c>
      <c r="D182" s="128" t="s">
        <v>38</v>
      </c>
      <c r="E182" s="128" t="s">
        <v>38</v>
      </c>
      <c r="F182" s="128" t="s">
        <v>38</v>
      </c>
      <c r="G182" s="128" t="s">
        <v>38</v>
      </c>
      <c r="H182" s="95" t="s">
        <v>3</v>
      </c>
      <c r="I182" s="14">
        <f t="shared" ref="I182:O182" si="53">SUMIF($H$166:$H$181,"Объем*",I$166:I$181)</f>
        <v>112.07</v>
      </c>
      <c r="J182" s="14">
        <f t="shared" si="53"/>
        <v>0</v>
      </c>
      <c r="K182" s="14">
        <f t="shared" si="53"/>
        <v>26</v>
      </c>
      <c r="L182" s="14">
        <f t="shared" si="53"/>
        <v>27.3</v>
      </c>
      <c r="M182" s="14">
        <f t="shared" si="53"/>
        <v>28.67</v>
      </c>
      <c r="N182" s="14">
        <f t="shared" si="53"/>
        <v>30.1</v>
      </c>
      <c r="O182" s="14">
        <f t="shared" si="53"/>
        <v>0</v>
      </c>
      <c r="P182" s="128"/>
      <c r="Q182" s="7"/>
    </row>
    <row r="183" spans="2:17" ht="15.75" x14ac:dyDescent="0.2">
      <c r="B183" s="129"/>
      <c r="C183" s="129"/>
      <c r="D183" s="129"/>
      <c r="E183" s="129"/>
      <c r="F183" s="129"/>
      <c r="G183" s="129"/>
      <c r="H183" s="95" t="s">
        <v>4</v>
      </c>
      <c r="I183" s="14">
        <f t="shared" ref="I183:O183" si="54">SUMIF($H$166:$H$181,"фед*",I$166:I$181)</f>
        <v>0</v>
      </c>
      <c r="J183" s="14">
        <f t="shared" si="54"/>
        <v>0</v>
      </c>
      <c r="K183" s="14">
        <f t="shared" si="54"/>
        <v>0</v>
      </c>
      <c r="L183" s="14">
        <f t="shared" si="54"/>
        <v>0</v>
      </c>
      <c r="M183" s="14">
        <f t="shared" si="54"/>
        <v>0</v>
      </c>
      <c r="N183" s="14">
        <f t="shared" si="54"/>
        <v>0</v>
      </c>
      <c r="O183" s="14">
        <f t="shared" si="54"/>
        <v>0</v>
      </c>
      <c r="P183" s="129"/>
    </row>
    <row r="184" spans="2:17" ht="15.75" x14ac:dyDescent="0.2">
      <c r="B184" s="129"/>
      <c r="C184" s="129"/>
      <c r="D184" s="129"/>
      <c r="E184" s="129"/>
      <c r="F184" s="129"/>
      <c r="G184" s="129"/>
      <c r="H184" s="95" t="s">
        <v>6</v>
      </c>
      <c r="I184" s="14">
        <f t="shared" ref="I184:O184" si="55">SUMIF($H$166:$H$181,"конс*",I$166:I$181)</f>
        <v>112.07</v>
      </c>
      <c r="J184" s="14">
        <f t="shared" si="55"/>
        <v>0</v>
      </c>
      <c r="K184" s="14">
        <f t="shared" si="55"/>
        <v>26</v>
      </c>
      <c r="L184" s="14">
        <f t="shared" si="55"/>
        <v>27.3</v>
      </c>
      <c r="M184" s="14">
        <f t="shared" si="55"/>
        <v>28.67</v>
      </c>
      <c r="N184" s="14">
        <f t="shared" si="55"/>
        <v>30.1</v>
      </c>
      <c r="O184" s="14">
        <f t="shared" si="55"/>
        <v>0</v>
      </c>
      <c r="P184" s="129"/>
    </row>
    <row r="185" spans="2:17" ht="15.75" x14ac:dyDescent="0.2">
      <c r="B185" s="130"/>
      <c r="C185" s="130"/>
      <c r="D185" s="130"/>
      <c r="E185" s="130"/>
      <c r="F185" s="130"/>
      <c r="G185" s="130"/>
      <c r="H185" s="95" t="s">
        <v>5</v>
      </c>
      <c r="I185" s="14">
        <f t="shared" ref="I185:O185" si="56">SUMIF($H$166:$H$181,"вне*",I$166:I$181)</f>
        <v>0</v>
      </c>
      <c r="J185" s="14">
        <f t="shared" si="56"/>
        <v>0</v>
      </c>
      <c r="K185" s="14">
        <f t="shared" si="56"/>
        <v>0</v>
      </c>
      <c r="L185" s="14">
        <f t="shared" si="56"/>
        <v>0</v>
      </c>
      <c r="M185" s="14">
        <f t="shared" si="56"/>
        <v>0</v>
      </c>
      <c r="N185" s="14">
        <f t="shared" si="56"/>
        <v>0</v>
      </c>
      <c r="O185" s="14">
        <f t="shared" si="56"/>
        <v>0</v>
      </c>
      <c r="P185" s="130"/>
    </row>
    <row r="186" spans="2:17" ht="25.5" customHeight="1" x14ac:dyDescent="0.2">
      <c r="B186" s="111" t="s">
        <v>39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3"/>
    </row>
    <row r="187" spans="2:17" ht="42.75" customHeight="1" outlineLevel="1" x14ac:dyDescent="0.2">
      <c r="B187" s="178" t="s">
        <v>1069</v>
      </c>
      <c r="C187" s="178" t="s">
        <v>1004</v>
      </c>
      <c r="D187" s="178" t="s">
        <v>1070</v>
      </c>
      <c r="E187" s="178">
        <v>2020</v>
      </c>
      <c r="F187" s="178" t="s">
        <v>1026</v>
      </c>
      <c r="G187" s="178" t="s">
        <v>138</v>
      </c>
      <c r="H187" s="95" t="s">
        <v>3</v>
      </c>
      <c r="I187" s="27">
        <f t="shared" ref="I187:I238" si="57">SUM(J187:O187)</f>
        <v>16</v>
      </c>
      <c r="J187" s="94">
        <f t="shared" ref="J187:O187" si="58">J188+J189+J190</f>
        <v>16</v>
      </c>
      <c r="K187" s="94">
        <f t="shared" si="58"/>
        <v>0</v>
      </c>
      <c r="L187" s="94">
        <f t="shared" si="58"/>
        <v>0</v>
      </c>
      <c r="M187" s="94">
        <f t="shared" si="58"/>
        <v>0</v>
      </c>
      <c r="N187" s="94">
        <f t="shared" si="58"/>
        <v>0</v>
      </c>
      <c r="O187" s="94">
        <f t="shared" si="58"/>
        <v>0</v>
      </c>
      <c r="P187" s="178"/>
    </row>
    <row r="188" spans="2:17" outlineLevel="1" x14ac:dyDescent="0.2">
      <c r="B188" s="178"/>
      <c r="C188" s="143"/>
      <c r="D188" s="178"/>
      <c r="E188" s="178"/>
      <c r="F188" s="178"/>
      <c r="G188" s="178"/>
      <c r="H188" s="95" t="s">
        <v>4</v>
      </c>
      <c r="I188" s="27">
        <f t="shared" si="57"/>
        <v>14.4</v>
      </c>
      <c r="J188" s="87">
        <v>14.4</v>
      </c>
      <c r="K188" s="87"/>
      <c r="L188" s="87"/>
      <c r="M188" s="87"/>
      <c r="N188" s="87"/>
      <c r="O188" s="87"/>
      <c r="P188" s="178"/>
    </row>
    <row r="189" spans="2:17" outlineLevel="1" x14ac:dyDescent="0.2">
      <c r="B189" s="178"/>
      <c r="C189" s="143"/>
      <c r="D189" s="178"/>
      <c r="E189" s="178"/>
      <c r="F189" s="178"/>
      <c r="G189" s="178"/>
      <c r="H189" s="95" t="s">
        <v>6</v>
      </c>
      <c r="I189" s="27">
        <f t="shared" si="57"/>
        <v>1.6</v>
      </c>
      <c r="J189" s="87">
        <f>0.1+1.5</f>
        <v>1.6</v>
      </c>
      <c r="K189" s="87"/>
      <c r="L189" s="87"/>
      <c r="M189" s="87"/>
      <c r="N189" s="87"/>
      <c r="O189" s="87"/>
      <c r="P189" s="178"/>
    </row>
    <row r="190" spans="2:17" outlineLevel="1" x14ac:dyDescent="0.2">
      <c r="B190" s="178"/>
      <c r="C190" s="143"/>
      <c r="D190" s="178"/>
      <c r="E190" s="178"/>
      <c r="F190" s="178"/>
      <c r="G190" s="178"/>
      <c r="H190" s="95" t="s">
        <v>5</v>
      </c>
      <c r="I190" s="27">
        <f t="shared" si="57"/>
        <v>0</v>
      </c>
      <c r="J190" s="87"/>
      <c r="K190" s="87"/>
      <c r="L190" s="87"/>
      <c r="M190" s="87"/>
      <c r="N190" s="87"/>
      <c r="O190" s="87"/>
      <c r="P190" s="178"/>
    </row>
    <row r="191" spans="2:17" ht="42.75" customHeight="1" outlineLevel="1" x14ac:dyDescent="0.2">
      <c r="B191" s="178" t="s">
        <v>1071</v>
      </c>
      <c r="C191" s="178" t="s">
        <v>1004</v>
      </c>
      <c r="D191" s="178" t="s">
        <v>1072</v>
      </c>
      <c r="E191" s="178">
        <v>2022</v>
      </c>
      <c r="F191" s="178" t="s">
        <v>1026</v>
      </c>
      <c r="G191" s="178" t="s">
        <v>138</v>
      </c>
      <c r="H191" s="95" t="s">
        <v>3</v>
      </c>
      <c r="I191" s="27">
        <f t="shared" si="57"/>
        <v>30</v>
      </c>
      <c r="J191" s="94">
        <f t="shared" ref="J191:O191" si="59">J192+J193+J194</f>
        <v>0</v>
      </c>
      <c r="K191" s="94">
        <f t="shared" si="59"/>
        <v>0</v>
      </c>
      <c r="L191" s="94">
        <f>L192+L193</f>
        <v>30</v>
      </c>
      <c r="M191" s="94">
        <f t="shared" si="59"/>
        <v>0</v>
      </c>
      <c r="N191" s="94">
        <f t="shared" si="59"/>
        <v>0</v>
      </c>
      <c r="O191" s="94">
        <f t="shared" si="59"/>
        <v>0</v>
      </c>
      <c r="P191" s="178"/>
    </row>
    <row r="192" spans="2:17" outlineLevel="1" x14ac:dyDescent="0.2">
      <c r="B192" s="178"/>
      <c r="C192" s="143"/>
      <c r="D192" s="178"/>
      <c r="E192" s="178"/>
      <c r="F192" s="178"/>
      <c r="G192" s="178"/>
      <c r="H192" s="95" t="s">
        <v>4</v>
      </c>
      <c r="I192" s="27">
        <f t="shared" si="57"/>
        <v>24.3</v>
      </c>
      <c r="J192" s="87"/>
      <c r="K192" s="87"/>
      <c r="L192" s="87">
        <v>24.3</v>
      </c>
      <c r="M192" s="87"/>
      <c r="N192" s="87"/>
      <c r="O192" s="87"/>
      <c r="P192" s="178"/>
    </row>
    <row r="193" spans="2:16" outlineLevel="1" x14ac:dyDescent="0.2">
      <c r="B193" s="178"/>
      <c r="C193" s="143"/>
      <c r="D193" s="178"/>
      <c r="E193" s="178"/>
      <c r="F193" s="178"/>
      <c r="G193" s="178"/>
      <c r="H193" s="95" t="s">
        <v>6</v>
      </c>
      <c r="I193" s="27">
        <f t="shared" si="57"/>
        <v>5.7</v>
      </c>
      <c r="J193" s="87"/>
      <c r="K193" s="87"/>
      <c r="L193" s="87">
        <f>0.2+5.5</f>
        <v>5.7</v>
      </c>
      <c r="M193" s="87"/>
      <c r="N193" s="87"/>
      <c r="O193" s="87"/>
      <c r="P193" s="178"/>
    </row>
    <row r="194" spans="2:16" outlineLevel="1" x14ac:dyDescent="0.2">
      <c r="B194" s="178"/>
      <c r="C194" s="143"/>
      <c r="D194" s="178"/>
      <c r="E194" s="178"/>
      <c r="F194" s="178"/>
      <c r="G194" s="178"/>
      <c r="H194" s="95" t="s">
        <v>5</v>
      </c>
      <c r="I194" s="27">
        <f t="shared" si="57"/>
        <v>0</v>
      </c>
      <c r="J194" s="87"/>
      <c r="K194" s="87"/>
      <c r="L194" s="87"/>
      <c r="M194" s="87"/>
      <c r="N194" s="87"/>
      <c r="O194" s="87"/>
      <c r="P194" s="178"/>
    </row>
    <row r="195" spans="2:16" ht="42.75" customHeight="1" outlineLevel="1" x14ac:dyDescent="0.2">
      <c r="B195" s="178" t="s">
        <v>1073</v>
      </c>
      <c r="C195" s="178" t="s">
        <v>1004</v>
      </c>
      <c r="D195" s="178" t="s">
        <v>1074</v>
      </c>
      <c r="E195" s="178">
        <v>2021</v>
      </c>
      <c r="F195" s="178" t="s">
        <v>1047</v>
      </c>
      <c r="G195" s="178" t="s">
        <v>67</v>
      </c>
      <c r="H195" s="95" t="s">
        <v>3</v>
      </c>
      <c r="I195" s="27">
        <f t="shared" ref="I195:I198" si="60">SUM(J195:O195)</f>
        <v>5.5</v>
      </c>
      <c r="J195" s="87"/>
      <c r="K195" s="87">
        <v>5.5</v>
      </c>
      <c r="L195" s="87"/>
      <c r="M195" s="87"/>
      <c r="N195" s="87"/>
      <c r="O195" s="87"/>
      <c r="P195" s="178"/>
    </row>
    <row r="196" spans="2:16" outlineLevel="1" x14ac:dyDescent="0.2">
      <c r="B196" s="178"/>
      <c r="C196" s="143"/>
      <c r="D196" s="178"/>
      <c r="E196" s="178"/>
      <c r="F196" s="178"/>
      <c r="G196" s="178"/>
      <c r="H196" s="95" t="s">
        <v>4</v>
      </c>
      <c r="I196" s="27">
        <f t="shared" si="60"/>
        <v>0</v>
      </c>
      <c r="J196" s="87"/>
      <c r="K196" s="87"/>
      <c r="L196" s="87"/>
      <c r="M196" s="87"/>
      <c r="N196" s="87"/>
      <c r="O196" s="87"/>
      <c r="P196" s="178"/>
    </row>
    <row r="197" spans="2:16" outlineLevel="1" x14ac:dyDescent="0.2">
      <c r="B197" s="178"/>
      <c r="C197" s="143"/>
      <c r="D197" s="178"/>
      <c r="E197" s="178"/>
      <c r="F197" s="178"/>
      <c r="G197" s="178"/>
      <c r="H197" s="95" t="s">
        <v>6</v>
      </c>
      <c r="I197" s="27">
        <f t="shared" si="60"/>
        <v>5.5</v>
      </c>
      <c r="J197" s="87"/>
      <c r="K197" s="87">
        <v>5.5</v>
      </c>
      <c r="L197" s="87"/>
      <c r="M197" s="87"/>
      <c r="N197" s="87"/>
      <c r="O197" s="87"/>
      <c r="P197" s="178"/>
    </row>
    <row r="198" spans="2:16" outlineLevel="1" x14ac:dyDescent="0.2">
      <c r="B198" s="178"/>
      <c r="C198" s="143"/>
      <c r="D198" s="178"/>
      <c r="E198" s="178"/>
      <c r="F198" s="178"/>
      <c r="G198" s="178"/>
      <c r="H198" s="95" t="s">
        <v>5</v>
      </c>
      <c r="I198" s="27">
        <f t="shared" si="60"/>
        <v>0</v>
      </c>
      <c r="J198" s="87"/>
      <c r="K198" s="87"/>
      <c r="L198" s="87"/>
      <c r="M198" s="87"/>
      <c r="N198" s="87"/>
      <c r="O198" s="87"/>
      <c r="P198" s="178"/>
    </row>
    <row r="199" spans="2:16" ht="42.75" customHeight="1" outlineLevel="1" x14ac:dyDescent="0.2">
      <c r="B199" s="178" t="s">
        <v>1075</v>
      </c>
      <c r="C199" s="178" t="s">
        <v>1004</v>
      </c>
      <c r="D199" s="178" t="s">
        <v>1076</v>
      </c>
      <c r="E199" s="178">
        <v>2021</v>
      </c>
      <c r="F199" s="178"/>
      <c r="G199" s="178" t="s">
        <v>67</v>
      </c>
      <c r="H199" s="95" t="s">
        <v>3</v>
      </c>
      <c r="I199" s="27">
        <f t="shared" si="57"/>
        <v>10.9</v>
      </c>
      <c r="J199" s="87"/>
      <c r="K199" s="87">
        <v>10.9</v>
      </c>
      <c r="L199" s="87"/>
      <c r="M199" s="87"/>
      <c r="N199" s="87"/>
      <c r="O199" s="87"/>
      <c r="P199" s="178"/>
    </row>
    <row r="200" spans="2:16" outlineLevel="1" x14ac:dyDescent="0.2">
      <c r="B200" s="178"/>
      <c r="C200" s="143"/>
      <c r="D200" s="178"/>
      <c r="E200" s="178"/>
      <c r="F200" s="178"/>
      <c r="G200" s="178"/>
      <c r="H200" s="95" t="s">
        <v>4</v>
      </c>
      <c r="I200" s="27">
        <f t="shared" si="57"/>
        <v>0</v>
      </c>
      <c r="J200" s="87"/>
      <c r="K200" s="87"/>
      <c r="L200" s="87"/>
      <c r="M200" s="87"/>
      <c r="N200" s="87"/>
      <c r="O200" s="87"/>
      <c r="P200" s="178"/>
    </row>
    <row r="201" spans="2:16" outlineLevel="1" x14ac:dyDescent="0.2">
      <c r="B201" s="178"/>
      <c r="C201" s="143"/>
      <c r="D201" s="178"/>
      <c r="E201" s="178"/>
      <c r="F201" s="178"/>
      <c r="G201" s="178"/>
      <c r="H201" s="95" t="s">
        <v>6</v>
      </c>
      <c r="I201" s="27">
        <f t="shared" si="57"/>
        <v>10.9</v>
      </c>
      <c r="J201" s="87"/>
      <c r="K201" s="87">
        <v>10.9</v>
      </c>
      <c r="L201" s="87"/>
      <c r="M201" s="87"/>
      <c r="N201" s="87"/>
      <c r="O201" s="87"/>
      <c r="P201" s="178"/>
    </row>
    <row r="202" spans="2:16" outlineLevel="1" x14ac:dyDescent="0.2">
      <c r="B202" s="178"/>
      <c r="C202" s="143"/>
      <c r="D202" s="178"/>
      <c r="E202" s="178"/>
      <c r="F202" s="178"/>
      <c r="G202" s="178"/>
      <c r="H202" s="95" t="s">
        <v>5</v>
      </c>
      <c r="I202" s="27">
        <f t="shared" si="57"/>
        <v>0</v>
      </c>
      <c r="J202" s="87"/>
      <c r="K202" s="87"/>
      <c r="L202" s="87"/>
      <c r="M202" s="87"/>
      <c r="N202" s="87"/>
      <c r="O202" s="87"/>
      <c r="P202" s="178"/>
    </row>
    <row r="203" spans="2:16" ht="42.75" customHeight="1" outlineLevel="1" x14ac:dyDescent="0.2">
      <c r="B203" s="178" t="s">
        <v>1077</v>
      </c>
      <c r="C203" s="178" t="s">
        <v>1004</v>
      </c>
      <c r="D203" s="178" t="s">
        <v>1078</v>
      </c>
      <c r="E203" s="178">
        <v>2021</v>
      </c>
      <c r="F203" s="178" t="s">
        <v>1079</v>
      </c>
      <c r="G203" s="178" t="s">
        <v>1080</v>
      </c>
      <c r="H203" s="95" t="s">
        <v>3</v>
      </c>
      <c r="I203" s="27">
        <f t="shared" si="57"/>
        <v>13.6</v>
      </c>
      <c r="J203" s="87"/>
      <c r="K203" s="87">
        <v>13.6</v>
      </c>
      <c r="L203" s="87"/>
      <c r="M203" s="87"/>
      <c r="N203" s="87"/>
      <c r="O203" s="87"/>
      <c r="P203" s="178"/>
    </row>
    <row r="204" spans="2:16" outlineLevel="1" x14ac:dyDescent="0.2">
      <c r="B204" s="178"/>
      <c r="C204" s="143"/>
      <c r="D204" s="178"/>
      <c r="E204" s="178"/>
      <c r="F204" s="178"/>
      <c r="G204" s="178"/>
      <c r="H204" s="95" t="s">
        <v>4</v>
      </c>
      <c r="I204" s="27">
        <f t="shared" si="57"/>
        <v>0</v>
      </c>
      <c r="J204" s="87"/>
      <c r="K204" s="87"/>
      <c r="L204" s="87"/>
      <c r="M204" s="87"/>
      <c r="N204" s="87"/>
      <c r="O204" s="87"/>
      <c r="P204" s="178"/>
    </row>
    <row r="205" spans="2:16" outlineLevel="1" x14ac:dyDescent="0.2">
      <c r="B205" s="178"/>
      <c r="C205" s="143"/>
      <c r="D205" s="178"/>
      <c r="E205" s="178"/>
      <c r="F205" s="178"/>
      <c r="G205" s="178"/>
      <c r="H205" s="95" t="s">
        <v>6</v>
      </c>
      <c r="I205" s="27">
        <f t="shared" si="57"/>
        <v>13.6</v>
      </c>
      <c r="J205" s="87"/>
      <c r="K205" s="87">
        <v>13.6</v>
      </c>
      <c r="L205" s="87"/>
      <c r="M205" s="87"/>
      <c r="N205" s="87"/>
      <c r="O205" s="87"/>
      <c r="P205" s="178"/>
    </row>
    <row r="206" spans="2:16" outlineLevel="1" x14ac:dyDescent="0.2">
      <c r="B206" s="178"/>
      <c r="C206" s="143"/>
      <c r="D206" s="178"/>
      <c r="E206" s="178"/>
      <c r="F206" s="178"/>
      <c r="G206" s="178"/>
      <c r="H206" s="95" t="s">
        <v>5</v>
      </c>
      <c r="I206" s="27">
        <f t="shared" si="57"/>
        <v>0</v>
      </c>
      <c r="J206" s="87"/>
      <c r="K206" s="87"/>
      <c r="L206" s="87"/>
      <c r="M206" s="87"/>
      <c r="N206" s="87"/>
      <c r="O206" s="87"/>
      <c r="P206" s="178"/>
    </row>
    <row r="207" spans="2:16" ht="42.75" customHeight="1" outlineLevel="1" x14ac:dyDescent="0.2">
      <c r="B207" s="178" t="s">
        <v>1081</v>
      </c>
      <c r="C207" s="178" t="s">
        <v>1004</v>
      </c>
      <c r="D207" s="178" t="s">
        <v>1082</v>
      </c>
      <c r="E207" s="178">
        <v>2021</v>
      </c>
      <c r="F207" s="178"/>
      <c r="G207" s="178" t="s">
        <v>138</v>
      </c>
      <c r="H207" s="95" t="s">
        <v>3</v>
      </c>
      <c r="I207" s="27">
        <f t="shared" si="57"/>
        <v>1.7</v>
      </c>
      <c r="J207" s="87"/>
      <c r="K207" s="87">
        <v>1.7</v>
      </c>
      <c r="L207" s="87"/>
      <c r="M207" s="87"/>
      <c r="N207" s="87"/>
      <c r="O207" s="87"/>
      <c r="P207" s="178"/>
    </row>
    <row r="208" spans="2:16" outlineLevel="1" x14ac:dyDescent="0.2">
      <c r="B208" s="178"/>
      <c r="C208" s="143"/>
      <c r="D208" s="178"/>
      <c r="E208" s="178"/>
      <c r="F208" s="178"/>
      <c r="G208" s="178"/>
      <c r="H208" s="95" t="s">
        <v>4</v>
      </c>
      <c r="I208" s="27">
        <f t="shared" si="57"/>
        <v>0</v>
      </c>
      <c r="J208" s="87"/>
      <c r="K208" s="87"/>
      <c r="L208" s="87"/>
      <c r="M208" s="87"/>
      <c r="N208" s="87"/>
      <c r="O208" s="87"/>
      <c r="P208" s="178"/>
    </row>
    <row r="209" spans="2:16" outlineLevel="1" x14ac:dyDescent="0.2">
      <c r="B209" s="178"/>
      <c r="C209" s="143"/>
      <c r="D209" s="178"/>
      <c r="E209" s="178"/>
      <c r="F209" s="178"/>
      <c r="G209" s="178"/>
      <c r="H209" s="95" t="s">
        <v>6</v>
      </c>
      <c r="I209" s="27">
        <f t="shared" si="57"/>
        <v>1.7</v>
      </c>
      <c r="J209" s="87"/>
      <c r="K209" s="87">
        <v>1.7</v>
      </c>
      <c r="L209" s="87"/>
      <c r="M209" s="87"/>
      <c r="N209" s="87"/>
      <c r="O209" s="87"/>
      <c r="P209" s="178"/>
    </row>
    <row r="210" spans="2:16" outlineLevel="1" x14ac:dyDescent="0.2">
      <c r="B210" s="178"/>
      <c r="C210" s="143"/>
      <c r="D210" s="178"/>
      <c r="E210" s="178"/>
      <c r="F210" s="178"/>
      <c r="G210" s="178"/>
      <c r="H210" s="95" t="s">
        <v>5</v>
      </c>
      <c r="I210" s="27">
        <f t="shared" si="57"/>
        <v>0</v>
      </c>
      <c r="J210" s="87"/>
      <c r="K210" s="87"/>
      <c r="L210" s="87"/>
      <c r="M210" s="87"/>
      <c r="N210" s="87"/>
      <c r="O210" s="87"/>
      <c r="P210" s="178"/>
    </row>
    <row r="211" spans="2:16" ht="42.75" customHeight="1" outlineLevel="1" x14ac:dyDescent="0.2">
      <c r="B211" s="178" t="s">
        <v>1083</v>
      </c>
      <c r="C211" s="178" t="s">
        <v>1004</v>
      </c>
      <c r="D211" s="178" t="s">
        <v>1084</v>
      </c>
      <c r="E211" s="178">
        <v>2022</v>
      </c>
      <c r="F211" s="178" t="s">
        <v>1079</v>
      </c>
      <c r="G211" s="178"/>
      <c r="H211" s="95" t="s">
        <v>3</v>
      </c>
      <c r="I211" s="27">
        <f t="shared" si="57"/>
        <v>13</v>
      </c>
      <c r="J211" s="87"/>
      <c r="K211" s="87"/>
      <c r="L211" s="87">
        <v>13</v>
      </c>
      <c r="M211" s="87"/>
      <c r="N211" s="87"/>
      <c r="O211" s="87"/>
      <c r="P211" s="178"/>
    </row>
    <row r="212" spans="2:16" outlineLevel="1" x14ac:dyDescent="0.2">
      <c r="B212" s="178"/>
      <c r="C212" s="143"/>
      <c r="D212" s="178"/>
      <c r="E212" s="178"/>
      <c r="F212" s="178"/>
      <c r="G212" s="178"/>
      <c r="H212" s="95" t="s">
        <v>4</v>
      </c>
      <c r="I212" s="27">
        <f t="shared" si="57"/>
        <v>0</v>
      </c>
      <c r="J212" s="87"/>
      <c r="K212" s="87"/>
      <c r="L212" s="87"/>
      <c r="M212" s="87"/>
      <c r="N212" s="87"/>
      <c r="O212" s="87"/>
      <c r="P212" s="178"/>
    </row>
    <row r="213" spans="2:16" outlineLevel="1" x14ac:dyDescent="0.2">
      <c r="B213" s="178"/>
      <c r="C213" s="143"/>
      <c r="D213" s="178"/>
      <c r="E213" s="178"/>
      <c r="F213" s="178"/>
      <c r="G213" s="178"/>
      <c r="H213" s="95" t="s">
        <v>6</v>
      </c>
      <c r="I213" s="27">
        <f t="shared" si="57"/>
        <v>13</v>
      </c>
      <c r="J213" s="87"/>
      <c r="K213" s="87"/>
      <c r="L213" s="87">
        <v>13</v>
      </c>
      <c r="M213" s="87"/>
      <c r="N213" s="87"/>
      <c r="O213" s="87"/>
      <c r="P213" s="178"/>
    </row>
    <row r="214" spans="2:16" outlineLevel="1" x14ac:dyDescent="0.2">
      <c r="B214" s="178"/>
      <c r="C214" s="143"/>
      <c r="D214" s="178"/>
      <c r="E214" s="178"/>
      <c r="F214" s="178"/>
      <c r="G214" s="178"/>
      <c r="H214" s="95" t="s">
        <v>5</v>
      </c>
      <c r="I214" s="27">
        <f t="shared" si="57"/>
        <v>0</v>
      </c>
      <c r="J214" s="87"/>
      <c r="K214" s="87"/>
      <c r="L214" s="87"/>
      <c r="M214" s="87"/>
      <c r="N214" s="87"/>
      <c r="O214" s="87"/>
      <c r="P214" s="178"/>
    </row>
    <row r="215" spans="2:16" ht="42.75" customHeight="1" outlineLevel="1" x14ac:dyDescent="0.2">
      <c r="B215" s="178" t="s">
        <v>1085</v>
      </c>
      <c r="C215" s="178" t="s">
        <v>1004</v>
      </c>
      <c r="D215" s="178" t="s">
        <v>1086</v>
      </c>
      <c r="E215" s="178">
        <v>2023</v>
      </c>
      <c r="F215" s="178" t="s">
        <v>1026</v>
      </c>
      <c r="G215" s="178"/>
      <c r="H215" s="95" t="s">
        <v>3</v>
      </c>
      <c r="I215" s="27">
        <f t="shared" si="57"/>
        <v>30</v>
      </c>
      <c r="J215" s="87"/>
      <c r="K215" s="87"/>
      <c r="L215" s="87"/>
      <c r="M215" s="87">
        <v>30</v>
      </c>
      <c r="N215" s="87"/>
      <c r="O215" s="87"/>
      <c r="P215" s="178"/>
    </row>
    <row r="216" spans="2:16" outlineLevel="1" x14ac:dyDescent="0.2">
      <c r="B216" s="178"/>
      <c r="C216" s="143"/>
      <c r="D216" s="178"/>
      <c r="E216" s="178"/>
      <c r="F216" s="178"/>
      <c r="G216" s="178"/>
      <c r="H216" s="95" t="s">
        <v>4</v>
      </c>
      <c r="I216" s="27">
        <f t="shared" si="57"/>
        <v>0</v>
      </c>
      <c r="J216" s="87"/>
      <c r="K216" s="87"/>
      <c r="L216" s="87"/>
      <c r="M216" s="87"/>
      <c r="N216" s="87"/>
      <c r="O216" s="87"/>
      <c r="P216" s="178"/>
    </row>
    <row r="217" spans="2:16" outlineLevel="1" x14ac:dyDescent="0.2">
      <c r="B217" s="178"/>
      <c r="C217" s="143"/>
      <c r="D217" s="178"/>
      <c r="E217" s="178"/>
      <c r="F217" s="178"/>
      <c r="G217" s="178"/>
      <c r="H217" s="95" t="s">
        <v>6</v>
      </c>
      <c r="I217" s="27">
        <f t="shared" si="57"/>
        <v>30</v>
      </c>
      <c r="J217" s="87"/>
      <c r="K217" s="87"/>
      <c r="L217" s="87"/>
      <c r="M217" s="87">
        <v>30</v>
      </c>
      <c r="N217" s="87"/>
      <c r="O217" s="87"/>
      <c r="P217" s="178"/>
    </row>
    <row r="218" spans="2:16" outlineLevel="1" x14ac:dyDescent="0.2">
      <c r="B218" s="178"/>
      <c r="C218" s="143"/>
      <c r="D218" s="178"/>
      <c r="E218" s="178"/>
      <c r="F218" s="178"/>
      <c r="G218" s="178"/>
      <c r="H218" s="95" t="s">
        <v>5</v>
      </c>
      <c r="I218" s="27">
        <f t="shared" si="57"/>
        <v>0</v>
      </c>
      <c r="J218" s="87"/>
      <c r="K218" s="87"/>
      <c r="L218" s="87"/>
      <c r="M218" s="87"/>
      <c r="N218" s="87"/>
      <c r="O218" s="87"/>
      <c r="P218" s="178"/>
    </row>
    <row r="219" spans="2:16" ht="42.75" customHeight="1" outlineLevel="1" x14ac:dyDescent="0.2">
      <c r="B219" s="178" t="s">
        <v>1087</v>
      </c>
      <c r="C219" s="178" t="s">
        <v>1004</v>
      </c>
      <c r="D219" s="178" t="s">
        <v>1088</v>
      </c>
      <c r="E219" s="178">
        <v>2023</v>
      </c>
      <c r="F219" s="178" t="s">
        <v>1079</v>
      </c>
      <c r="G219" s="178"/>
      <c r="H219" s="95" t="s">
        <v>3</v>
      </c>
      <c r="I219" s="27">
        <f t="shared" si="57"/>
        <v>13</v>
      </c>
      <c r="J219" s="87"/>
      <c r="K219" s="87"/>
      <c r="L219" s="87"/>
      <c r="M219" s="87">
        <v>13</v>
      </c>
      <c r="N219" s="87"/>
      <c r="O219" s="87"/>
      <c r="P219" s="178"/>
    </row>
    <row r="220" spans="2:16" outlineLevel="1" x14ac:dyDescent="0.2">
      <c r="B220" s="178"/>
      <c r="C220" s="143"/>
      <c r="D220" s="178"/>
      <c r="E220" s="178"/>
      <c r="F220" s="178"/>
      <c r="G220" s="178"/>
      <c r="H220" s="95" t="s">
        <v>4</v>
      </c>
      <c r="I220" s="27">
        <f t="shared" si="57"/>
        <v>0</v>
      </c>
      <c r="J220" s="87"/>
      <c r="K220" s="87"/>
      <c r="L220" s="87"/>
      <c r="M220" s="87"/>
      <c r="N220" s="87"/>
      <c r="O220" s="87"/>
      <c r="P220" s="178"/>
    </row>
    <row r="221" spans="2:16" outlineLevel="1" x14ac:dyDescent="0.2">
      <c r="B221" s="178"/>
      <c r="C221" s="143"/>
      <c r="D221" s="178"/>
      <c r="E221" s="178"/>
      <c r="F221" s="178"/>
      <c r="G221" s="178"/>
      <c r="H221" s="95" t="s">
        <v>6</v>
      </c>
      <c r="I221" s="27">
        <f t="shared" si="57"/>
        <v>13</v>
      </c>
      <c r="J221" s="87"/>
      <c r="K221" s="87"/>
      <c r="L221" s="87"/>
      <c r="M221" s="87">
        <v>13</v>
      </c>
      <c r="N221" s="87"/>
      <c r="O221" s="87"/>
      <c r="P221" s="178"/>
    </row>
    <row r="222" spans="2:16" outlineLevel="1" x14ac:dyDescent="0.2">
      <c r="B222" s="178"/>
      <c r="C222" s="143"/>
      <c r="D222" s="178"/>
      <c r="E222" s="178"/>
      <c r="F222" s="178"/>
      <c r="G222" s="178"/>
      <c r="H222" s="95" t="s">
        <v>5</v>
      </c>
      <c r="I222" s="27">
        <f t="shared" si="57"/>
        <v>0</v>
      </c>
      <c r="J222" s="87"/>
      <c r="K222" s="87"/>
      <c r="L222" s="87"/>
      <c r="M222" s="87"/>
      <c r="N222" s="87"/>
      <c r="O222" s="87"/>
      <c r="P222" s="178"/>
    </row>
    <row r="223" spans="2:16" ht="42.75" customHeight="1" outlineLevel="1" x14ac:dyDescent="0.2">
      <c r="B223" s="178" t="s">
        <v>1089</v>
      </c>
      <c r="C223" s="178" t="s">
        <v>1004</v>
      </c>
      <c r="D223" s="178" t="s">
        <v>1090</v>
      </c>
      <c r="E223" s="178">
        <v>2024</v>
      </c>
      <c r="F223" s="178" t="s">
        <v>1079</v>
      </c>
      <c r="G223" s="178"/>
      <c r="H223" s="95" t="s">
        <v>3</v>
      </c>
      <c r="I223" s="27">
        <f t="shared" si="57"/>
        <v>13</v>
      </c>
      <c r="J223" s="87"/>
      <c r="K223" s="87"/>
      <c r="L223" s="87"/>
      <c r="M223" s="87"/>
      <c r="N223" s="87">
        <v>13</v>
      </c>
      <c r="O223" s="87"/>
      <c r="P223" s="178"/>
    </row>
    <row r="224" spans="2:16" outlineLevel="1" x14ac:dyDescent="0.2">
      <c r="B224" s="178"/>
      <c r="C224" s="143"/>
      <c r="D224" s="178"/>
      <c r="E224" s="178"/>
      <c r="F224" s="178"/>
      <c r="G224" s="178"/>
      <c r="H224" s="95" t="s">
        <v>4</v>
      </c>
      <c r="I224" s="27">
        <f t="shared" si="57"/>
        <v>0</v>
      </c>
      <c r="J224" s="87"/>
      <c r="K224" s="87"/>
      <c r="L224" s="87"/>
      <c r="M224" s="87"/>
      <c r="N224" s="87"/>
      <c r="O224" s="87"/>
      <c r="P224" s="178"/>
    </row>
    <row r="225" spans="2:17" outlineLevel="1" x14ac:dyDescent="0.2">
      <c r="B225" s="178"/>
      <c r="C225" s="143"/>
      <c r="D225" s="178"/>
      <c r="E225" s="178"/>
      <c r="F225" s="178"/>
      <c r="G225" s="178"/>
      <c r="H225" s="95" t="s">
        <v>6</v>
      </c>
      <c r="I225" s="27">
        <f t="shared" si="57"/>
        <v>13</v>
      </c>
      <c r="J225" s="87"/>
      <c r="K225" s="87"/>
      <c r="L225" s="87"/>
      <c r="M225" s="87"/>
      <c r="N225" s="87">
        <v>13</v>
      </c>
      <c r="O225" s="87"/>
      <c r="P225" s="178"/>
    </row>
    <row r="226" spans="2:17" outlineLevel="1" x14ac:dyDescent="0.2">
      <c r="B226" s="178"/>
      <c r="C226" s="143"/>
      <c r="D226" s="178"/>
      <c r="E226" s="178"/>
      <c r="F226" s="178"/>
      <c r="G226" s="178"/>
      <c r="H226" s="95" t="s">
        <v>5</v>
      </c>
      <c r="I226" s="27">
        <f t="shared" si="57"/>
        <v>0</v>
      </c>
      <c r="J226" s="87"/>
      <c r="K226" s="87"/>
      <c r="L226" s="87"/>
      <c r="M226" s="87"/>
      <c r="N226" s="87"/>
      <c r="O226" s="87"/>
      <c r="P226" s="178"/>
    </row>
    <row r="227" spans="2:17" ht="42.75" customHeight="1" outlineLevel="1" x14ac:dyDescent="0.2">
      <c r="B227" s="178" t="s">
        <v>1091</v>
      </c>
      <c r="C227" s="178" t="s">
        <v>1004</v>
      </c>
      <c r="D227" s="178" t="s">
        <v>39</v>
      </c>
      <c r="E227" s="178">
        <v>2021</v>
      </c>
      <c r="F227" s="178"/>
      <c r="G227" s="178"/>
      <c r="H227" s="95" t="s">
        <v>3</v>
      </c>
      <c r="I227" s="27">
        <f t="shared" si="57"/>
        <v>34</v>
      </c>
      <c r="J227" s="87"/>
      <c r="K227" s="87">
        <v>34</v>
      </c>
      <c r="L227" s="87"/>
      <c r="M227" s="87"/>
      <c r="N227" s="87"/>
      <c r="O227" s="87"/>
      <c r="P227" s="178"/>
    </row>
    <row r="228" spans="2:17" outlineLevel="1" x14ac:dyDescent="0.2">
      <c r="B228" s="178"/>
      <c r="C228" s="143"/>
      <c r="D228" s="178"/>
      <c r="E228" s="178"/>
      <c r="F228" s="178"/>
      <c r="G228" s="178"/>
      <c r="H228" s="95" t="s">
        <v>4</v>
      </c>
      <c r="I228" s="27">
        <f t="shared" si="57"/>
        <v>0</v>
      </c>
      <c r="J228" s="87"/>
      <c r="K228" s="87"/>
      <c r="L228" s="87"/>
      <c r="M228" s="87"/>
      <c r="N228" s="87"/>
      <c r="O228" s="87"/>
      <c r="P228" s="178"/>
    </row>
    <row r="229" spans="2:17" outlineLevel="1" x14ac:dyDescent="0.2">
      <c r="B229" s="178"/>
      <c r="C229" s="143"/>
      <c r="D229" s="178"/>
      <c r="E229" s="178"/>
      <c r="F229" s="178"/>
      <c r="G229" s="178"/>
      <c r="H229" s="95" t="s">
        <v>6</v>
      </c>
      <c r="I229" s="27">
        <f t="shared" si="57"/>
        <v>34</v>
      </c>
      <c r="J229" s="87"/>
      <c r="K229" s="87">
        <v>34</v>
      </c>
      <c r="L229" s="87"/>
      <c r="M229" s="87"/>
      <c r="N229" s="87"/>
      <c r="O229" s="87"/>
      <c r="P229" s="178"/>
    </row>
    <row r="230" spans="2:17" outlineLevel="1" x14ac:dyDescent="0.2">
      <c r="B230" s="178"/>
      <c r="C230" s="143"/>
      <c r="D230" s="178"/>
      <c r="E230" s="178"/>
      <c r="F230" s="178"/>
      <c r="G230" s="178"/>
      <c r="H230" s="95" t="s">
        <v>5</v>
      </c>
      <c r="I230" s="27">
        <f t="shared" si="57"/>
        <v>0</v>
      </c>
      <c r="J230" s="87"/>
      <c r="K230" s="87"/>
      <c r="L230" s="87"/>
      <c r="M230" s="87"/>
      <c r="N230" s="87"/>
      <c r="O230" s="87"/>
      <c r="P230" s="178"/>
    </row>
    <row r="231" spans="2:17" ht="42.75" customHeight="1" outlineLevel="1" x14ac:dyDescent="0.2">
      <c r="B231" s="178" t="s">
        <v>1877</v>
      </c>
      <c r="C231" s="178"/>
      <c r="D231" s="178" t="s">
        <v>39</v>
      </c>
      <c r="E231" s="178">
        <v>2020</v>
      </c>
      <c r="F231" s="178"/>
      <c r="G231" s="178" t="s">
        <v>138</v>
      </c>
      <c r="H231" s="95" t="s">
        <v>3</v>
      </c>
      <c r="I231" s="27">
        <f t="shared" si="57"/>
        <v>0.09</v>
      </c>
      <c r="J231" s="87">
        <f>SUM(J232:J234)</f>
        <v>0.09</v>
      </c>
      <c r="K231" s="87"/>
      <c r="L231" s="87"/>
      <c r="M231" s="87"/>
      <c r="N231" s="87"/>
      <c r="O231" s="87"/>
      <c r="P231" s="178"/>
    </row>
    <row r="232" spans="2:17" outlineLevel="1" x14ac:dyDescent="0.2">
      <c r="B232" s="178"/>
      <c r="C232" s="143"/>
      <c r="D232" s="178"/>
      <c r="E232" s="178"/>
      <c r="F232" s="178"/>
      <c r="G232" s="178"/>
      <c r="H232" s="95" t="s">
        <v>4</v>
      </c>
      <c r="I232" s="27">
        <f t="shared" si="57"/>
        <v>0</v>
      </c>
      <c r="J232" s="87"/>
      <c r="K232" s="87"/>
      <c r="L232" s="87"/>
      <c r="M232" s="87"/>
      <c r="N232" s="87"/>
      <c r="O232" s="87"/>
      <c r="P232" s="178"/>
    </row>
    <row r="233" spans="2:17" outlineLevel="1" x14ac:dyDescent="0.2">
      <c r="B233" s="178"/>
      <c r="C233" s="143"/>
      <c r="D233" s="178"/>
      <c r="E233" s="178"/>
      <c r="F233" s="178"/>
      <c r="G233" s="178"/>
      <c r="H233" s="95" t="s">
        <v>6</v>
      </c>
      <c r="I233" s="27">
        <f t="shared" si="57"/>
        <v>0.09</v>
      </c>
      <c r="J233" s="87">
        <v>0.09</v>
      </c>
      <c r="K233" s="87"/>
      <c r="L233" s="87"/>
      <c r="M233" s="87"/>
      <c r="N233" s="87"/>
      <c r="O233" s="87"/>
      <c r="P233" s="178"/>
    </row>
    <row r="234" spans="2:17" outlineLevel="1" x14ac:dyDescent="0.2">
      <c r="B234" s="178"/>
      <c r="C234" s="143"/>
      <c r="D234" s="178"/>
      <c r="E234" s="178"/>
      <c r="F234" s="178"/>
      <c r="G234" s="178"/>
      <c r="H234" s="95" t="s">
        <v>5</v>
      </c>
      <c r="I234" s="27">
        <f t="shared" si="57"/>
        <v>0</v>
      </c>
      <c r="J234" s="87"/>
      <c r="K234" s="87"/>
      <c r="L234" s="87"/>
      <c r="M234" s="87"/>
      <c r="N234" s="87"/>
      <c r="O234" s="87"/>
      <c r="P234" s="178"/>
    </row>
    <row r="235" spans="2:17" ht="42.75" customHeight="1" outlineLevel="1" x14ac:dyDescent="0.2">
      <c r="B235" s="178" t="s">
        <v>1092</v>
      </c>
      <c r="C235" s="178" t="s">
        <v>1004</v>
      </c>
      <c r="D235" s="178" t="s">
        <v>39</v>
      </c>
      <c r="E235" s="178">
        <v>2021</v>
      </c>
      <c r="F235" s="178"/>
      <c r="G235" s="178"/>
      <c r="H235" s="95" t="s">
        <v>3</v>
      </c>
      <c r="I235" s="27">
        <f t="shared" si="57"/>
        <v>10</v>
      </c>
      <c r="J235" s="87"/>
      <c r="K235" s="87">
        <v>10</v>
      </c>
      <c r="L235" s="87"/>
      <c r="M235" s="87"/>
      <c r="N235" s="87"/>
      <c r="O235" s="87"/>
      <c r="P235" s="178"/>
    </row>
    <row r="236" spans="2:17" outlineLevel="1" x14ac:dyDescent="0.2">
      <c r="B236" s="178"/>
      <c r="C236" s="143"/>
      <c r="D236" s="178"/>
      <c r="E236" s="178"/>
      <c r="F236" s="178"/>
      <c r="G236" s="178"/>
      <c r="H236" s="95" t="s">
        <v>4</v>
      </c>
      <c r="I236" s="27">
        <f t="shared" si="57"/>
        <v>10</v>
      </c>
      <c r="J236" s="87"/>
      <c r="K236" s="87">
        <v>10</v>
      </c>
      <c r="L236" s="87"/>
      <c r="M236" s="87"/>
      <c r="N236" s="87"/>
      <c r="O236" s="87"/>
      <c r="P236" s="178"/>
    </row>
    <row r="237" spans="2:17" outlineLevel="1" x14ac:dyDescent="0.2">
      <c r="B237" s="178"/>
      <c r="C237" s="143"/>
      <c r="D237" s="178"/>
      <c r="E237" s="178"/>
      <c r="F237" s="178"/>
      <c r="G237" s="178"/>
      <c r="H237" s="95" t="s">
        <v>6</v>
      </c>
      <c r="I237" s="27">
        <f t="shared" si="57"/>
        <v>0</v>
      </c>
      <c r="J237" s="87"/>
      <c r="K237" s="87"/>
      <c r="L237" s="87"/>
      <c r="M237" s="87"/>
      <c r="N237" s="87"/>
      <c r="O237" s="87"/>
      <c r="P237" s="178"/>
    </row>
    <row r="238" spans="2:17" outlineLevel="1" x14ac:dyDescent="0.2">
      <c r="B238" s="178"/>
      <c r="C238" s="143"/>
      <c r="D238" s="178"/>
      <c r="E238" s="178"/>
      <c r="F238" s="178"/>
      <c r="G238" s="178"/>
      <c r="H238" s="95" t="s">
        <v>5</v>
      </c>
      <c r="I238" s="27">
        <f t="shared" si="57"/>
        <v>0</v>
      </c>
      <c r="J238" s="87"/>
      <c r="K238" s="87"/>
      <c r="L238" s="87"/>
      <c r="M238" s="87"/>
      <c r="N238" s="87"/>
      <c r="O238" s="87"/>
      <c r="P238" s="178"/>
    </row>
    <row r="239" spans="2:17" ht="42.75" x14ac:dyDescent="0.2">
      <c r="B239" s="128" t="s">
        <v>46</v>
      </c>
      <c r="C239" s="128" t="s">
        <v>38</v>
      </c>
      <c r="D239" s="128" t="s">
        <v>38</v>
      </c>
      <c r="E239" s="128" t="s">
        <v>38</v>
      </c>
      <c r="F239" s="128" t="s">
        <v>38</v>
      </c>
      <c r="G239" s="128" t="s">
        <v>38</v>
      </c>
      <c r="H239" s="95" t="s">
        <v>3</v>
      </c>
      <c r="I239" s="14">
        <f t="shared" ref="I239:O239" si="61">SUMIF($H$187:$H$238,"Объем*",I$187:I$238)</f>
        <v>190.79</v>
      </c>
      <c r="J239" s="14">
        <f t="shared" si="61"/>
        <v>16.09</v>
      </c>
      <c r="K239" s="14">
        <f t="shared" si="61"/>
        <v>75.7</v>
      </c>
      <c r="L239" s="14">
        <f t="shared" si="61"/>
        <v>43</v>
      </c>
      <c r="M239" s="14">
        <f t="shared" si="61"/>
        <v>43</v>
      </c>
      <c r="N239" s="14">
        <f t="shared" si="61"/>
        <v>13</v>
      </c>
      <c r="O239" s="14">
        <f t="shared" si="61"/>
        <v>0</v>
      </c>
      <c r="P239" s="128"/>
      <c r="Q239" s="7"/>
    </row>
    <row r="240" spans="2:17" ht="15.75" x14ac:dyDescent="0.2">
      <c r="B240" s="129"/>
      <c r="C240" s="129"/>
      <c r="D240" s="129"/>
      <c r="E240" s="129"/>
      <c r="F240" s="129"/>
      <c r="G240" s="129"/>
      <c r="H240" s="95" t="s">
        <v>4</v>
      </c>
      <c r="I240" s="14">
        <f t="shared" ref="I240:O240" si="62">SUMIF($H$187:$H$238,"фед*",I$187:I$238)</f>
        <v>48.7</v>
      </c>
      <c r="J240" s="14">
        <f t="shared" si="62"/>
        <v>14.4</v>
      </c>
      <c r="K240" s="14">
        <f t="shared" si="62"/>
        <v>10</v>
      </c>
      <c r="L240" s="14">
        <f t="shared" si="62"/>
        <v>24.3</v>
      </c>
      <c r="M240" s="14">
        <f t="shared" si="62"/>
        <v>0</v>
      </c>
      <c r="N240" s="14">
        <f t="shared" si="62"/>
        <v>0</v>
      </c>
      <c r="O240" s="14">
        <f t="shared" si="62"/>
        <v>0</v>
      </c>
      <c r="P240" s="129"/>
    </row>
    <row r="241" spans="2:16" ht="15.75" x14ac:dyDescent="0.2">
      <c r="B241" s="129"/>
      <c r="C241" s="129"/>
      <c r="D241" s="129"/>
      <c r="E241" s="129"/>
      <c r="F241" s="129"/>
      <c r="G241" s="129"/>
      <c r="H241" s="95" t="s">
        <v>6</v>
      </c>
      <c r="I241" s="14">
        <f t="shared" ref="I241:O241" si="63">SUMIF($H$187:$H$238,"конс*",I$187:I$238)</f>
        <v>142.09</v>
      </c>
      <c r="J241" s="14">
        <f t="shared" si="63"/>
        <v>1.6900000000000002</v>
      </c>
      <c r="K241" s="14">
        <f t="shared" si="63"/>
        <v>65.7</v>
      </c>
      <c r="L241" s="14">
        <f t="shared" si="63"/>
        <v>18.7</v>
      </c>
      <c r="M241" s="14">
        <f t="shared" si="63"/>
        <v>43</v>
      </c>
      <c r="N241" s="14">
        <f t="shared" si="63"/>
        <v>13</v>
      </c>
      <c r="O241" s="14">
        <f t="shared" si="63"/>
        <v>0</v>
      </c>
      <c r="P241" s="129"/>
    </row>
    <row r="242" spans="2:16" ht="15.75" x14ac:dyDescent="0.2">
      <c r="B242" s="130"/>
      <c r="C242" s="130"/>
      <c r="D242" s="130"/>
      <c r="E242" s="130"/>
      <c r="F242" s="130"/>
      <c r="G242" s="130"/>
      <c r="H242" s="95" t="s">
        <v>5</v>
      </c>
      <c r="I242" s="14">
        <f t="shared" ref="I242:O242" si="64">SUMIF($H$187:$H$238,"вне*",I$187:I$238)</f>
        <v>0</v>
      </c>
      <c r="J242" s="14">
        <f t="shared" si="64"/>
        <v>0</v>
      </c>
      <c r="K242" s="14">
        <f t="shared" si="64"/>
        <v>0</v>
      </c>
      <c r="L242" s="14">
        <f t="shared" si="64"/>
        <v>0</v>
      </c>
      <c r="M242" s="14">
        <f t="shared" si="64"/>
        <v>0</v>
      </c>
      <c r="N242" s="14">
        <f t="shared" si="64"/>
        <v>0</v>
      </c>
      <c r="O242" s="14">
        <f t="shared" si="64"/>
        <v>0</v>
      </c>
      <c r="P242" s="130"/>
    </row>
    <row r="243" spans="2:16" ht="25.5" customHeight="1" x14ac:dyDescent="0.2">
      <c r="B243" s="111" t="s">
        <v>223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3"/>
    </row>
    <row r="244" spans="2:16" ht="41.25" customHeight="1" outlineLevel="1" x14ac:dyDescent="0.2">
      <c r="B244" s="178" t="s">
        <v>1093</v>
      </c>
      <c r="C244" s="178" t="s">
        <v>1004</v>
      </c>
      <c r="D244" s="178" t="s">
        <v>1094</v>
      </c>
      <c r="E244" s="178">
        <v>2022</v>
      </c>
      <c r="F244" s="178" t="s">
        <v>1026</v>
      </c>
      <c r="G244" s="178" t="s">
        <v>1095</v>
      </c>
      <c r="H244" s="95" t="s">
        <v>3</v>
      </c>
      <c r="I244" s="27">
        <f t="shared" ref="I244:I259" si="65">SUM(J244:O244)</f>
        <v>29.8</v>
      </c>
      <c r="J244" s="94">
        <f t="shared" ref="J244:O244" si="66">J245+J246+J247</f>
        <v>0</v>
      </c>
      <c r="K244" s="94">
        <f t="shared" si="66"/>
        <v>0</v>
      </c>
      <c r="L244" s="94">
        <f t="shared" si="66"/>
        <v>29.8</v>
      </c>
      <c r="M244" s="94">
        <f t="shared" si="66"/>
        <v>0</v>
      </c>
      <c r="N244" s="94">
        <f t="shared" si="66"/>
        <v>0</v>
      </c>
      <c r="O244" s="94">
        <f t="shared" si="66"/>
        <v>0</v>
      </c>
      <c r="P244" s="178"/>
    </row>
    <row r="245" spans="2:16" ht="17.25" customHeight="1" outlineLevel="1" x14ac:dyDescent="0.2">
      <c r="B245" s="178"/>
      <c r="C245" s="143"/>
      <c r="D245" s="178"/>
      <c r="E245" s="178"/>
      <c r="F245" s="178"/>
      <c r="G245" s="178"/>
      <c r="H245" s="95" t="s">
        <v>4</v>
      </c>
      <c r="I245" s="27">
        <f t="shared" si="65"/>
        <v>29.5</v>
      </c>
      <c r="J245" s="87"/>
      <c r="K245" s="87"/>
      <c r="L245" s="87">
        <v>29.5</v>
      </c>
      <c r="M245" s="87"/>
      <c r="N245" s="87"/>
      <c r="O245" s="87"/>
      <c r="P245" s="178"/>
    </row>
    <row r="246" spans="2:16" ht="17.25" customHeight="1" outlineLevel="1" x14ac:dyDescent="0.2">
      <c r="B246" s="178"/>
      <c r="C246" s="143"/>
      <c r="D246" s="178"/>
      <c r="E246" s="178"/>
      <c r="F246" s="178"/>
      <c r="G246" s="178"/>
      <c r="H246" s="95" t="s">
        <v>6</v>
      </c>
      <c r="I246" s="27">
        <f t="shared" si="65"/>
        <v>0.3</v>
      </c>
      <c r="J246" s="87"/>
      <c r="K246" s="87"/>
      <c r="L246" s="87">
        <v>0.3</v>
      </c>
      <c r="M246" s="87"/>
      <c r="N246" s="87"/>
      <c r="O246" s="87"/>
      <c r="P246" s="178"/>
    </row>
    <row r="247" spans="2:16" ht="17.25" customHeight="1" outlineLevel="1" x14ac:dyDescent="0.2">
      <c r="B247" s="178"/>
      <c r="C247" s="143"/>
      <c r="D247" s="178"/>
      <c r="E247" s="178"/>
      <c r="F247" s="178"/>
      <c r="G247" s="178"/>
      <c r="H247" s="95" t="s">
        <v>5</v>
      </c>
      <c r="I247" s="27">
        <f t="shared" si="65"/>
        <v>0</v>
      </c>
      <c r="J247" s="87"/>
      <c r="K247" s="87"/>
      <c r="L247" s="87"/>
      <c r="M247" s="87"/>
      <c r="N247" s="87"/>
      <c r="O247" s="87"/>
      <c r="P247" s="178"/>
    </row>
    <row r="248" spans="2:16" ht="41.25" customHeight="1" outlineLevel="1" x14ac:dyDescent="0.2">
      <c r="B248" s="178" t="s">
        <v>1096</v>
      </c>
      <c r="C248" s="178" t="s">
        <v>1004</v>
      </c>
      <c r="D248" s="178" t="s">
        <v>1097</v>
      </c>
      <c r="E248" s="178">
        <v>2021</v>
      </c>
      <c r="F248" s="178" t="s">
        <v>1026</v>
      </c>
      <c r="G248" s="178" t="s">
        <v>138</v>
      </c>
      <c r="H248" s="95" t="s">
        <v>3</v>
      </c>
      <c r="I248" s="27">
        <f t="shared" si="65"/>
        <v>19.8</v>
      </c>
      <c r="J248" s="94">
        <f t="shared" ref="J248:O248" si="67">J249+J250+J251</f>
        <v>0</v>
      </c>
      <c r="K248" s="94">
        <f t="shared" si="67"/>
        <v>19.8</v>
      </c>
      <c r="L248" s="94">
        <f t="shared" si="67"/>
        <v>0</v>
      </c>
      <c r="M248" s="94">
        <f t="shared" si="67"/>
        <v>0</v>
      </c>
      <c r="N248" s="94">
        <f t="shared" si="67"/>
        <v>0</v>
      </c>
      <c r="O248" s="94">
        <f t="shared" si="67"/>
        <v>0</v>
      </c>
      <c r="P248" s="178">
        <v>725</v>
      </c>
    </row>
    <row r="249" spans="2:16" ht="17.25" customHeight="1" outlineLevel="1" x14ac:dyDescent="0.2">
      <c r="B249" s="178"/>
      <c r="C249" s="143"/>
      <c r="D249" s="178"/>
      <c r="E249" s="178"/>
      <c r="F249" s="178"/>
      <c r="G249" s="178"/>
      <c r="H249" s="95" t="s">
        <v>4</v>
      </c>
      <c r="I249" s="27">
        <f t="shared" si="65"/>
        <v>19.5</v>
      </c>
      <c r="J249" s="87"/>
      <c r="K249" s="87">
        <v>19.5</v>
      </c>
      <c r="L249" s="87"/>
      <c r="M249" s="87"/>
      <c r="N249" s="87"/>
      <c r="O249" s="87"/>
      <c r="P249" s="178"/>
    </row>
    <row r="250" spans="2:16" ht="17.25" customHeight="1" outlineLevel="1" x14ac:dyDescent="0.2">
      <c r="B250" s="178"/>
      <c r="C250" s="143"/>
      <c r="D250" s="178"/>
      <c r="E250" s="178"/>
      <c r="F250" s="178"/>
      <c r="G250" s="178"/>
      <c r="H250" s="95" t="s">
        <v>6</v>
      </c>
      <c r="I250" s="27">
        <f t="shared" si="65"/>
        <v>0.3</v>
      </c>
      <c r="J250" s="87"/>
      <c r="K250" s="87">
        <v>0.3</v>
      </c>
      <c r="L250" s="87"/>
      <c r="M250" s="87"/>
      <c r="N250" s="87"/>
      <c r="O250" s="87"/>
      <c r="P250" s="178"/>
    </row>
    <row r="251" spans="2:16" ht="17.25" customHeight="1" outlineLevel="1" x14ac:dyDescent="0.2">
      <c r="B251" s="178"/>
      <c r="C251" s="143"/>
      <c r="D251" s="178"/>
      <c r="E251" s="178"/>
      <c r="F251" s="178"/>
      <c r="G251" s="178"/>
      <c r="H251" s="95" t="s">
        <v>5</v>
      </c>
      <c r="I251" s="27">
        <f t="shared" si="65"/>
        <v>0</v>
      </c>
      <c r="J251" s="87"/>
      <c r="K251" s="87"/>
      <c r="L251" s="87"/>
      <c r="M251" s="87"/>
      <c r="N251" s="87"/>
      <c r="O251" s="87"/>
      <c r="P251" s="178"/>
    </row>
    <row r="252" spans="2:16" ht="41.25" customHeight="1" outlineLevel="1" x14ac:dyDescent="0.2">
      <c r="B252" s="178" t="s">
        <v>1098</v>
      </c>
      <c r="C252" s="178" t="s">
        <v>1004</v>
      </c>
      <c r="D252" s="178" t="s">
        <v>1099</v>
      </c>
      <c r="E252" s="178">
        <v>2024</v>
      </c>
      <c r="F252" s="178" t="s">
        <v>1026</v>
      </c>
      <c r="G252" s="178" t="s">
        <v>138</v>
      </c>
      <c r="H252" s="95" t="s">
        <v>3</v>
      </c>
      <c r="I252" s="27">
        <f t="shared" si="65"/>
        <v>29.8</v>
      </c>
      <c r="J252" s="94">
        <f t="shared" ref="J252:O252" si="68">J253+J254+J255</f>
        <v>0</v>
      </c>
      <c r="K252" s="94">
        <f t="shared" si="68"/>
        <v>0</v>
      </c>
      <c r="L252" s="94">
        <f t="shared" si="68"/>
        <v>0</v>
      </c>
      <c r="M252" s="94">
        <f t="shared" si="68"/>
        <v>0</v>
      </c>
      <c r="N252" s="94">
        <f t="shared" si="68"/>
        <v>29.8</v>
      </c>
      <c r="O252" s="94">
        <f t="shared" si="68"/>
        <v>0</v>
      </c>
      <c r="P252" s="178">
        <v>996</v>
      </c>
    </row>
    <row r="253" spans="2:16" ht="17.25" customHeight="1" outlineLevel="1" x14ac:dyDescent="0.2">
      <c r="B253" s="178"/>
      <c r="C253" s="143"/>
      <c r="D253" s="178"/>
      <c r="E253" s="178"/>
      <c r="F253" s="178"/>
      <c r="G253" s="178"/>
      <c r="H253" s="95" t="s">
        <v>4</v>
      </c>
      <c r="I253" s="27">
        <f t="shared" si="65"/>
        <v>29.5</v>
      </c>
      <c r="J253" s="87"/>
      <c r="K253" s="87"/>
      <c r="L253" s="87"/>
      <c r="M253" s="87"/>
      <c r="N253" s="87">
        <v>29.5</v>
      </c>
      <c r="O253" s="87"/>
      <c r="P253" s="178"/>
    </row>
    <row r="254" spans="2:16" ht="17.25" customHeight="1" outlineLevel="1" x14ac:dyDescent="0.2">
      <c r="B254" s="178"/>
      <c r="C254" s="143"/>
      <c r="D254" s="178"/>
      <c r="E254" s="178"/>
      <c r="F254" s="178"/>
      <c r="G254" s="178"/>
      <c r="H254" s="95" t="s">
        <v>6</v>
      </c>
      <c r="I254" s="27">
        <f t="shared" si="65"/>
        <v>0.3</v>
      </c>
      <c r="J254" s="87"/>
      <c r="K254" s="87"/>
      <c r="L254" s="87"/>
      <c r="M254" s="87"/>
      <c r="N254" s="87">
        <v>0.3</v>
      </c>
      <c r="O254" s="87"/>
      <c r="P254" s="178"/>
    </row>
    <row r="255" spans="2:16" ht="17.25" customHeight="1" outlineLevel="1" x14ac:dyDescent="0.2">
      <c r="B255" s="178"/>
      <c r="C255" s="143"/>
      <c r="D255" s="178"/>
      <c r="E255" s="178"/>
      <c r="F255" s="178"/>
      <c r="G255" s="178"/>
      <c r="H255" s="95" t="s">
        <v>5</v>
      </c>
      <c r="I255" s="27">
        <f t="shared" si="65"/>
        <v>0</v>
      </c>
      <c r="J255" s="87"/>
      <c r="K255" s="87"/>
      <c r="L255" s="87"/>
      <c r="M255" s="87"/>
      <c r="N255" s="87"/>
      <c r="O255" s="87"/>
      <c r="P255" s="178"/>
    </row>
    <row r="256" spans="2:16" ht="41.25" customHeight="1" outlineLevel="1" x14ac:dyDescent="0.2">
      <c r="B256" s="178" t="s">
        <v>1100</v>
      </c>
      <c r="C256" s="178" t="s">
        <v>1004</v>
      </c>
      <c r="D256" s="178" t="s">
        <v>1101</v>
      </c>
      <c r="E256" s="178">
        <v>2025</v>
      </c>
      <c r="F256" s="178" t="s">
        <v>1026</v>
      </c>
      <c r="G256" s="178"/>
      <c r="H256" s="95" t="s">
        <v>3</v>
      </c>
      <c r="I256" s="27">
        <f t="shared" si="65"/>
        <v>29.8</v>
      </c>
      <c r="J256" s="94">
        <f t="shared" ref="J256:O256" si="69">J257+J258+J259</f>
        <v>0</v>
      </c>
      <c r="K256" s="94">
        <f t="shared" si="69"/>
        <v>0</v>
      </c>
      <c r="L256" s="94">
        <f t="shared" si="69"/>
        <v>0</v>
      </c>
      <c r="M256" s="94">
        <f t="shared" si="69"/>
        <v>0</v>
      </c>
      <c r="N256" s="94">
        <f t="shared" si="69"/>
        <v>0</v>
      </c>
      <c r="O256" s="94">
        <f t="shared" si="69"/>
        <v>29.8</v>
      </c>
      <c r="P256" s="178">
        <v>270</v>
      </c>
    </row>
    <row r="257" spans="2:17" ht="17.25" customHeight="1" outlineLevel="1" x14ac:dyDescent="0.2">
      <c r="B257" s="178"/>
      <c r="C257" s="143"/>
      <c r="D257" s="178"/>
      <c r="E257" s="178"/>
      <c r="F257" s="178"/>
      <c r="G257" s="178"/>
      <c r="H257" s="95" t="s">
        <v>4</v>
      </c>
      <c r="I257" s="27">
        <f t="shared" si="65"/>
        <v>29.5</v>
      </c>
      <c r="J257" s="87"/>
      <c r="K257" s="87"/>
      <c r="L257" s="87"/>
      <c r="M257" s="87"/>
      <c r="N257" s="87"/>
      <c r="O257" s="87">
        <v>29.5</v>
      </c>
      <c r="P257" s="178"/>
    </row>
    <row r="258" spans="2:17" ht="17.25" customHeight="1" outlineLevel="1" x14ac:dyDescent="0.2">
      <c r="B258" s="178"/>
      <c r="C258" s="143"/>
      <c r="D258" s="178"/>
      <c r="E258" s="178"/>
      <c r="F258" s="178"/>
      <c r="G258" s="178"/>
      <c r="H258" s="95" t="s">
        <v>6</v>
      </c>
      <c r="I258" s="27">
        <f t="shared" si="65"/>
        <v>0.3</v>
      </c>
      <c r="J258" s="87"/>
      <c r="K258" s="87"/>
      <c r="L258" s="87"/>
      <c r="M258" s="87"/>
      <c r="N258" s="87"/>
      <c r="O258" s="87">
        <v>0.3</v>
      </c>
      <c r="P258" s="178"/>
    </row>
    <row r="259" spans="2:17" ht="17.25" customHeight="1" outlineLevel="1" x14ac:dyDescent="0.2">
      <c r="B259" s="178"/>
      <c r="C259" s="143"/>
      <c r="D259" s="178"/>
      <c r="E259" s="178"/>
      <c r="F259" s="178"/>
      <c r="G259" s="178"/>
      <c r="H259" s="95" t="s">
        <v>5</v>
      </c>
      <c r="I259" s="27">
        <f t="shared" si="65"/>
        <v>0</v>
      </c>
      <c r="J259" s="87"/>
      <c r="K259" s="87"/>
      <c r="L259" s="87"/>
      <c r="M259" s="87"/>
      <c r="N259" s="87"/>
      <c r="O259" s="87"/>
      <c r="P259" s="178"/>
    </row>
    <row r="260" spans="2:17" ht="42.75" x14ac:dyDescent="0.2">
      <c r="B260" s="128" t="s">
        <v>288</v>
      </c>
      <c r="C260" s="128" t="s">
        <v>38</v>
      </c>
      <c r="D260" s="128" t="s">
        <v>38</v>
      </c>
      <c r="E260" s="128" t="s">
        <v>38</v>
      </c>
      <c r="F260" s="128" t="s">
        <v>38</v>
      </c>
      <c r="G260" s="128" t="s">
        <v>38</v>
      </c>
      <c r="H260" s="95" t="s">
        <v>3</v>
      </c>
      <c r="I260" s="14">
        <f t="shared" ref="I260:O260" si="70">SUMIF($H$244:$H$259,"Объем*",I$244:I$259)</f>
        <v>109.2</v>
      </c>
      <c r="J260" s="14">
        <f t="shared" si="70"/>
        <v>0</v>
      </c>
      <c r="K260" s="14">
        <f t="shared" si="70"/>
        <v>19.8</v>
      </c>
      <c r="L260" s="14">
        <f t="shared" si="70"/>
        <v>29.8</v>
      </c>
      <c r="M260" s="14">
        <f t="shared" si="70"/>
        <v>0</v>
      </c>
      <c r="N260" s="14">
        <f t="shared" si="70"/>
        <v>29.8</v>
      </c>
      <c r="O260" s="14">
        <f t="shared" si="70"/>
        <v>29.8</v>
      </c>
      <c r="P260" s="128"/>
      <c r="Q260" s="7"/>
    </row>
    <row r="261" spans="2:17" ht="15.75" x14ac:dyDescent="0.2">
      <c r="B261" s="129"/>
      <c r="C261" s="129"/>
      <c r="D261" s="129"/>
      <c r="E261" s="129"/>
      <c r="F261" s="129"/>
      <c r="G261" s="129"/>
      <c r="H261" s="95" t="s">
        <v>4</v>
      </c>
      <c r="I261" s="14">
        <f t="shared" ref="I261:O261" si="71">SUMIF($H$244:$H$259,"фед*",I$244:I$259)</f>
        <v>108</v>
      </c>
      <c r="J261" s="14">
        <f t="shared" si="71"/>
        <v>0</v>
      </c>
      <c r="K261" s="14">
        <f t="shared" si="71"/>
        <v>19.5</v>
      </c>
      <c r="L261" s="14">
        <f t="shared" si="71"/>
        <v>29.5</v>
      </c>
      <c r="M261" s="14">
        <f t="shared" si="71"/>
        <v>0</v>
      </c>
      <c r="N261" s="14">
        <f t="shared" si="71"/>
        <v>29.5</v>
      </c>
      <c r="O261" s="14">
        <f t="shared" si="71"/>
        <v>29.5</v>
      </c>
      <c r="P261" s="129"/>
    </row>
    <row r="262" spans="2:17" ht="15.75" x14ac:dyDescent="0.2">
      <c r="B262" s="129"/>
      <c r="C262" s="129"/>
      <c r="D262" s="129"/>
      <c r="E262" s="129"/>
      <c r="F262" s="129"/>
      <c r="G262" s="129"/>
      <c r="H262" s="95" t="s">
        <v>6</v>
      </c>
      <c r="I262" s="14">
        <f t="shared" ref="I262:O262" si="72">SUMIF($H$244:$H$259,"конс*",I$244:I$259)</f>
        <v>1.2</v>
      </c>
      <c r="J262" s="14">
        <f t="shared" si="72"/>
        <v>0</v>
      </c>
      <c r="K262" s="14">
        <f t="shared" si="72"/>
        <v>0.3</v>
      </c>
      <c r="L262" s="14">
        <f t="shared" si="72"/>
        <v>0.3</v>
      </c>
      <c r="M262" s="14">
        <f t="shared" si="72"/>
        <v>0</v>
      </c>
      <c r="N262" s="14">
        <f t="shared" si="72"/>
        <v>0.3</v>
      </c>
      <c r="O262" s="14">
        <f t="shared" si="72"/>
        <v>0.3</v>
      </c>
      <c r="P262" s="129"/>
    </row>
    <row r="263" spans="2:17" ht="15.75" x14ac:dyDescent="0.2">
      <c r="B263" s="130"/>
      <c r="C263" s="130"/>
      <c r="D263" s="130"/>
      <c r="E263" s="130"/>
      <c r="F263" s="130"/>
      <c r="G263" s="130"/>
      <c r="H263" s="95" t="s">
        <v>5</v>
      </c>
      <c r="I263" s="14">
        <f t="shared" ref="I263:O263" si="73">SUMIF($H$244:$H$259,"вне*",I$244:I$259)</f>
        <v>0</v>
      </c>
      <c r="J263" s="14">
        <f t="shared" si="73"/>
        <v>0</v>
      </c>
      <c r="K263" s="14">
        <f t="shared" si="73"/>
        <v>0</v>
      </c>
      <c r="L263" s="14">
        <f t="shared" si="73"/>
        <v>0</v>
      </c>
      <c r="M263" s="14">
        <f t="shared" si="73"/>
        <v>0</v>
      </c>
      <c r="N263" s="14">
        <f t="shared" si="73"/>
        <v>0</v>
      </c>
      <c r="O263" s="14">
        <f t="shared" si="73"/>
        <v>0</v>
      </c>
      <c r="P263" s="130"/>
    </row>
    <row r="264" spans="2:17" ht="25.5" customHeight="1" x14ac:dyDescent="0.2">
      <c r="B264" s="111" t="s">
        <v>289</v>
      </c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3"/>
    </row>
    <row r="265" spans="2:17" ht="42.75" outlineLevel="1" x14ac:dyDescent="0.2">
      <c r="B265" s="178" t="s">
        <v>1102</v>
      </c>
      <c r="C265" s="178"/>
      <c r="D265" s="178" t="s">
        <v>1103</v>
      </c>
      <c r="E265" s="178">
        <v>2020</v>
      </c>
      <c r="F265" s="178" t="s">
        <v>1026</v>
      </c>
      <c r="G265" s="178" t="s">
        <v>138</v>
      </c>
      <c r="H265" s="95" t="s">
        <v>3</v>
      </c>
      <c r="I265" s="27">
        <f t="shared" ref="I265:I288" si="74">SUM(J265:O265)</f>
        <v>16</v>
      </c>
      <c r="J265" s="94">
        <f t="shared" ref="J265:O265" si="75">J266+J267+J268</f>
        <v>16</v>
      </c>
      <c r="K265" s="94">
        <f t="shared" si="75"/>
        <v>0</v>
      </c>
      <c r="L265" s="94">
        <f t="shared" si="75"/>
        <v>0</v>
      </c>
      <c r="M265" s="94">
        <f t="shared" si="75"/>
        <v>0</v>
      </c>
      <c r="N265" s="94">
        <f t="shared" si="75"/>
        <v>0</v>
      </c>
      <c r="O265" s="94">
        <f t="shared" si="75"/>
        <v>0</v>
      </c>
      <c r="P265" s="178"/>
    </row>
    <row r="266" spans="2:17" outlineLevel="1" x14ac:dyDescent="0.2">
      <c r="B266" s="178"/>
      <c r="C266" s="143"/>
      <c r="D266" s="178"/>
      <c r="E266" s="178"/>
      <c r="F266" s="178"/>
      <c r="G266" s="178"/>
      <c r="H266" s="95" t="s">
        <v>4</v>
      </c>
      <c r="I266" s="27">
        <f t="shared" si="74"/>
        <v>0</v>
      </c>
      <c r="J266" s="87"/>
      <c r="K266" s="87"/>
      <c r="L266" s="87"/>
      <c r="M266" s="87"/>
      <c r="N266" s="87"/>
      <c r="O266" s="87"/>
      <c r="P266" s="178"/>
    </row>
    <row r="267" spans="2:17" outlineLevel="1" x14ac:dyDescent="0.2">
      <c r="B267" s="178"/>
      <c r="C267" s="143"/>
      <c r="D267" s="178"/>
      <c r="E267" s="178"/>
      <c r="F267" s="178"/>
      <c r="G267" s="178"/>
      <c r="H267" s="95" t="s">
        <v>6</v>
      </c>
      <c r="I267" s="27">
        <f t="shared" si="74"/>
        <v>16</v>
      </c>
      <c r="J267" s="87">
        <v>16</v>
      </c>
      <c r="K267" s="87"/>
      <c r="L267" s="87"/>
      <c r="M267" s="87"/>
      <c r="N267" s="87"/>
      <c r="O267" s="87"/>
      <c r="P267" s="178"/>
    </row>
    <row r="268" spans="2:17" outlineLevel="1" x14ac:dyDescent="0.2">
      <c r="B268" s="178"/>
      <c r="C268" s="143"/>
      <c r="D268" s="178"/>
      <c r="E268" s="178"/>
      <c r="F268" s="178"/>
      <c r="G268" s="178"/>
      <c r="H268" s="95" t="s">
        <v>5</v>
      </c>
      <c r="I268" s="27">
        <f t="shared" si="74"/>
        <v>0</v>
      </c>
      <c r="J268" s="87"/>
      <c r="K268" s="87"/>
      <c r="L268" s="87"/>
      <c r="M268" s="87"/>
      <c r="N268" s="87"/>
      <c r="O268" s="87"/>
      <c r="P268" s="178"/>
    </row>
    <row r="269" spans="2:17" ht="42.75" outlineLevel="1" x14ac:dyDescent="0.2">
      <c r="B269" s="178" t="s">
        <v>1104</v>
      </c>
      <c r="C269" s="178"/>
      <c r="D269" s="178" t="s">
        <v>1105</v>
      </c>
      <c r="E269" s="178">
        <v>2023</v>
      </c>
      <c r="F269" s="178"/>
      <c r="G269" s="178"/>
      <c r="H269" s="95" t="s">
        <v>3</v>
      </c>
      <c r="I269" s="27">
        <f t="shared" si="74"/>
        <v>26</v>
      </c>
      <c r="J269" s="94">
        <f t="shared" ref="J269:O269" si="76">J270+J271+J272</f>
        <v>0</v>
      </c>
      <c r="K269" s="94">
        <f t="shared" si="76"/>
        <v>0</v>
      </c>
      <c r="L269" s="94">
        <f t="shared" si="76"/>
        <v>0</v>
      </c>
      <c r="M269" s="94">
        <f t="shared" si="76"/>
        <v>26</v>
      </c>
      <c r="N269" s="94">
        <f t="shared" si="76"/>
        <v>0</v>
      </c>
      <c r="O269" s="94">
        <f t="shared" si="76"/>
        <v>0</v>
      </c>
      <c r="P269" s="178"/>
    </row>
    <row r="270" spans="2:17" outlineLevel="1" x14ac:dyDescent="0.2">
      <c r="B270" s="178"/>
      <c r="C270" s="143"/>
      <c r="D270" s="178"/>
      <c r="E270" s="178"/>
      <c r="F270" s="178"/>
      <c r="G270" s="178"/>
      <c r="H270" s="95" t="s">
        <v>4</v>
      </c>
      <c r="I270" s="27">
        <f t="shared" si="74"/>
        <v>0</v>
      </c>
      <c r="J270" s="87"/>
      <c r="K270" s="87"/>
      <c r="L270" s="87"/>
      <c r="M270" s="87"/>
      <c r="N270" s="87"/>
      <c r="O270" s="87"/>
      <c r="P270" s="178"/>
    </row>
    <row r="271" spans="2:17" outlineLevel="1" x14ac:dyDescent="0.2">
      <c r="B271" s="178"/>
      <c r="C271" s="143"/>
      <c r="D271" s="178"/>
      <c r="E271" s="178"/>
      <c r="F271" s="178"/>
      <c r="G271" s="178"/>
      <c r="H271" s="95" t="s">
        <v>6</v>
      </c>
      <c r="I271" s="27">
        <f t="shared" si="74"/>
        <v>26</v>
      </c>
      <c r="J271" s="87"/>
      <c r="K271" s="87"/>
      <c r="L271" s="87"/>
      <c r="M271" s="87">
        <v>26</v>
      </c>
      <c r="N271" s="87"/>
      <c r="O271" s="87"/>
      <c r="P271" s="178"/>
    </row>
    <row r="272" spans="2:17" outlineLevel="1" x14ac:dyDescent="0.2">
      <c r="B272" s="178"/>
      <c r="C272" s="143"/>
      <c r="D272" s="178"/>
      <c r="E272" s="178"/>
      <c r="F272" s="178"/>
      <c r="G272" s="178"/>
      <c r="H272" s="95" t="s">
        <v>5</v>
      </c>
      <c r="I272" s="27">
        <f t="shared" si="74"/>
        <v>0</v>
      </c>
      <c r="J272" s="87"/>
      <c r="K272" s="87"/>
      <c r="L272" s="87"/>
      <c r="M272" s="87"/>
      <c r="N272" s="87"/>
      <c r="O272" s="87"/>
      <c r="P272" s="178"/>
    </row>
    <row r="273" spans="2:16" ht="42.75" outlineLevel="1" x14ac:dyDescent="0.2">
      <c r="B273" s="178" t="s">
        <v>1106</v>
      </c>
      <c r="C273" s="178"/>
      <c r="D273" s="178" t="s">
        <v>1107</v>
      </c>
      <c r="E273" s="178">
        <v>2024</v>
      </c>
      <c r="F273" s="178"/>
      <c r="G273" s="178"/>
      <c r="H273" s="95" t="s">
        <v>3</v>
      </c>
      <c r="I273" s="27">
        <f t="shared" si="74"/>
        <v>26</v>
      </c>
      <c r="J273" s="94">
        <f t="shared" ref="J273:O273" si="77">J274+J275+J276</f>
        <v>0</v>
      </c>
      <c r="K273" s="94">
        <f t="shared" si="77"/>
        <v>0</v>
      </c>
      <c r="L273" s="94">
        <f t="shared" si="77"/>
        <v>0</v>
      </c>
      <c r="M273" s="94">
        <f t="shared" si="77"/>
        <v>0</v>
      </c>
      <c r="N273" s="94">
        <f t="shared" si="77"/>
        <v>26</v>
      </c>
      <c r="O273" s="94">
        <f t="shared" si="77"/>
        <v>0</v>
      </c>
      <c r="P273" s="178"/>
    </row>
    <row r="274" spans="2:16" outlineLevel="1" x14ac:dyDescent="0.2">
      <c r="B274" s="178"/>
      <c r="C274" s="143"/>
      <c r="D274" s="178"/>
      <c r="E274" s="178"/>
      <c r="F274" s="178"/>
      <c r="G274" s="178"/>
      <c r="H274" s="95" t="s">
        <v>4</v>
      </c>
      <c r="I274" s="27">
        <f t="shared" si="74"/>
        <v>0</v>
      </c>
      <c r="J274" s="87"/>
      <c r="K274" s="87"/>
      <c r="L274" s="87"/>
      <c r="M274" s="87"/>
      <c r="N274" s="87"/>
      <c r="O274" s="87"/>
      <c r="P274" s="178"/>
    </row>
    <row r="275" spans="2:16" outlineLevel="1" x14ac:dyDescent="0.2">
      <c r="B275" s="178"/>
      <c r="C275" s="143"/>
      <c r="D275" s="178"/>
      <c r="E275" s="178"/>
      <c r="F275" s="178"/>
      <c r="G275" s="178"/>
      <c r="H275" s="95" t="s">
        <v>6</v>
      </c>
      <c r="I275" s="27">
        <f t="shared" si="74"/>
        <v>26</v>
      </c>
      <c r="J275" s="87"/>
      <c r="K275" s="87"/>
      <c r="L275" s="87"/>
      <c r="M275" s="87"/>
      <c r="N275" s="87">
        <v>26</v>
      </c>
      <c r="O275" s="87"/>
      <c r="P275" s="178"/>
    </row>
    <row r="276" spans="2:16" outlineLevel="1" x14ac:dyDescent="0.2">
      <c r="B276" s="178"/>
      <c r="C276" s="143"/>
      <c r="D276" s="178"/>
      <c r="E276" s="178"/>
      <c r="F276" s="178"/>
      <c r="G276" s="178"/>
      <c r="H276" s="95" t="s">
        <v>5</v>
      </c>
      <c r="I276" s="27">
        <f t="shared" si="74"/>
        <v>0</v>
      </c>
      <c r="J276" s="87"/>
      <c r="K276" s="87"/>
      <c r="L276" s="87"/>
      <c r="M276" s="87"/>
      <c r="N276" s="87"/>
      <c r="O276" s="87"/>
      <c r="P276" s="178"/>
    </row>
    <row r="277" spans="2:16" ht="42.75" outlineLevel="1" x14ac:dyDescent="0.2">
      <c r="B277" s="178" t="s">
        <v>1108</v>
      </c>
      <c r="C277" s="178"/>
      <c r="D277" s="178" t="s">
        <v>1109</v>
      </c>
      <c r="E277" s="178">
        <v>2025</v>
      </c>
      <c r="F277" s="178"/>
      <c r="G277" s="178"/>
      <c r="H277" s="95" t="s">
        <v>3</v>
      </c>
      <c r="I277" s="27">
        <f t="shared" si="74"/>
        <v>120</v>
      </c>
      <c r="J277" s="94">
        <f t="shared" ref="J277:O277" si="78">J278+J279+J280</f>
        <v>0</v>
      </c>
      <c r="K277" s="94">
        <f t="shared" si="78"/>
        <v>0</v>
      </c>
      <c r="L277" s="94">
        <f t="shared" si="78"/>
        <v>0</v>
      </c>
      <c r="M277" s="94">
        <f t="shared" si="78"/>
        <v>0</v>
      </c>
      <c r="N277" s="94">
        <f t="shared" si="78"/>
        <v>0</v>
      </c>
      <c r="O277" s="94">
        <f t="shared" si="78"/>
        <v>120</v>
      </c>
      <c r="P277" s="178"/>
    </row>
    <row r="278" spans="2:16" outlineLevel="1" x14ac:dyDescent="0.2">
      <c r="B278" s="178"/>
      <c r="C278" s="143"/>
      <c r="D278" s="178"/>
      <c r="E278" s="178"/>
      <c r="F278" s="178"/>
      <c r="G278" s="178"/>
      <c r="H278" s="95" t="s">
        <v>4</v>
      </c>
      <c r="I278" s="27">
        <f t="shared" si="74"/>
        <v>0</v>
      </c>
      <c r="J278" s="87"/>
      <c r="K278" s="87"/>
      <c r="L278" s="87"/>
      <c r="M278" s="87"/>
      <c r="N278" s="87"/>
      <c r="O278" s="87"/>
      <c r="P278" s="178"/>
    </row>
    <row r="279" spans="2:16" outlineLevel="1" x14ac:dyDescent="0.2">
      <c r="B279" s="178"/>
      <c r="C279" s="143"/>
      <c r="D279" s="178"/>
      <c r="E279" s="178"/>
      <c r="F279" s="178"/>
      <c r="G279" s="178"/>
      <c r="H279" s="95" t="s">
        <v>6</v>
      </c>
      <c r="I279" s="27">
        <f t="shared" si="74"/>
        <v>120</v>
      </c>
      <c r="J279" s="87"/>
      <c r="K279" s="87"/>
      <c r="L279" s="87"/>
      <c r="M279" s="87"/>
      <c r="N279" s="87"/>
      <c r="O279" s="87">
        <v>120</v>
      </c>
      <c r="P279" s="178"/>
    </row>
    <row r="280" spans="2:16" outlineLevel="1" x14ac:dyDescent="0.2">
      <c r="B280" s="178"/>
      <c r="C280" s="143"/>
      <c r="D280" s="178"/>
      <c r="E280" s="178"/>
      <c r="F280" s="178"/>
      <c r="G280" s="178"/>
      <c r="H280" s="95" t="s">
        <v>5</v>
      </c>
      <c r="I280" s="27">
        <f t="shared" si="74"/>
        <v>0</v>
      </c>
      <c r="J280" s="87"/>
      <c r="K280" s="87"/>
      <c r="L280" s="87"/>
      <c r="M280" s="87"/>
      <c r="N280" s="87"/>
      <c r="O280" s="87"/>
      <c r="P280" s="178"/>
    </row>
    <row r="281" spans="2:16" ht="42.75" outlineLevel="1" x14ac:dyDescent="0.2">
      <c r="B281" s="178" t="s">
        <v>1110</v>
      </c>
      <c r="C281" s="178"/>
      <c r="D281" s="178" t="s">
        <v>1111</v>
      </c>
      <c r="E281" s="178">
        <v>2023</v>
      </c>
      <c r="F281" s="178"/>
      <c r="G281" s="178"/>
      <c r="H281" s="95" t="s">
        <v>3</v>
      </c>
      <c r="I281" s="27">
        <f t="shared" si="74"/>
        <v>18</v>
      </c>
      <c r="J281" s="94">
        <f t="shared" ref="J281:O281" si="79">J282+J283+J284</f>
        <v>0</v>
      </c>
      <c r="K281" s="94">
        <f t="shared" si="79"/>
        <v>0</v>
      </c>
      <c r="L281" s="94">
        <f t="shared" si="79"/>
        <v>0</v>
      </c>
      <c r="M281" s="94">
        <f t="shared" si="79"/>
        <v>18</v>
      </c>
      <c r="N281" s="94">
        <f t="shared" si="79"/>
        <v>0</v>
      </c>
      <c r="O281" s="94">
        <f t="shared" si="79"/>
        <v>0</v>
      </c>
      <c r="P281" s="178"/>
    </row>
    <row r="282" spans="2:16" outlineLevel="1" x14ac:dyDescent="0.2">
      <c r="B282" s="178"/>
      <c r="C282" s="143"/>
      <c r="D282" s="178"/>
      <c r="E282" s="178"/>
      <c r="F282" s="178"/>
      <c r="G282" s="178"/>
      <c r="H282" s="95" t="s">
        <v>4</v>
      </c>
      <c r="I282" s="27">
        <f t="shared" si="74"/>
        <v>0</v>
      </c>
      <c r="J282" s="87"/>
      <c r="K282" s="87"/>
      <c r="L282" s="87"/>
      <c r="M282" s="87"/>
      <c r="N282" s="87"/>
      <c r="O282" s="87"/>
      <c r="P282" s="178"/>
    </row>
    <row r="283" spans="2:16" outlineLevel="1" x14ac:dyDescent="0.2">
      <c r="B283" s="178"/>
      <c r="C283" s="143"/>
      <c r="D283" s="178"/>
      <c r="E283" s="178"/>
      <c r="F283" s="178"/>
      <c r="G283" s="178"/>
      <c r="H283" s="95" t="s">
        <v>6</v>
      </c>
      <c r="I283" s="27">
        <f t="shared" si="74"/>
        <v>18</v>
      </c>
      <c r="J283" s="87"/>
      <c r="K283" s="87"/>
      <c r="L283" s="87"/>
      <c r="M283" s="87">
        <v>18</v>
      </c>
      <c r="N283" s="87"/>
      <c r="O283" s="87"/>
      <c r="P283" s="178"/>
    </row>
    <row r="284" spans="2:16" outlineLevel="1" x14ac:dyDescent="0.2">
      <c r="B284" s="178"/>
      <c r="C284" s="143"/>
      <c r="D284" s="178"/>
      <c r="E284" s="178"/>
      <c r="F284" s="178"/>
      <c r="G284" s="178"/>
      <c r="H284" s="95" t="s">
        <v>5</v>
      </c>
      <c r="I284" s="27">
        <f t="shared" si="74"/>
        <v>0</v>
      </c>
      <c r="J284" s="87"/>
      <c r="K284" s="87"/>
      <c r="L284" s="87"/>
      <c r="M284" s="87"/>
      <c r="N284" s="87"/>
      <c r="O284" s="87"/>
      <c r="P284" s="178"/>
    </row>
    <row r="285" spans="2:16" ht="42.75" outlineLevel="1" x14ac:dyDescent="0.2">
      <c r="B285" s="178" t="s">
        <v>1112</v>
      </c>
      <c r="C285" s="178"/>
      <c r="D285" s="178" t="s">
        <v>1113</v>
      </c>
      <c r="E285" s="178">
        <v>2024</v>
      </c>
      <c r="F285" s="178"/>
      <c r="G285" s="178"/>
      <c r="H285" s="95" t="s">
        <v>3</v>
      </c>
      <c r="I285" s="27">
        <f t="shared" si="74"/>
        <v>18</v>
      </c>
      <c r="J285" s="94">
        <f t="shared" ref="J285:O285" si="80">J286+J287+J288</f>
        <v>0</v>
      </c>
      <c r="K285" s="94">
        <f t="shared" si="80"/>
        <v>0</v>
      </c>
      <c r="L285" s="94">
        <f t="shared" si="80"/>
        <v>0</v>
      </c>
      <c r="M285" s="94">
        <f t="shared" si="80"/>
        <v>0</v>
      </c>
      <c r="N285" s="94">
        <f t="shared" si="80"/>
        <v>18</v>
      </c>
      <c r="O285" s="94">
        <f t="shared" si="80"/>
        <v>0</v>
      </c>
      <c r="P285" s="178"/>
    </row>
    <row r="286" spans="2:16" outlineLevel="1" x14ac:dyDescent="0.2">
      <c r="B286" s="178"/>
      <c r="C286" s="143"/>
      <c r="D286" s="178"/>
      <c r="E286" s="178"/>
      <c r="F286" s="178"/>
      <c r="G286" s="178"/>
      <c r="H286" s="95" t="s">
        <v>4</v>
      </c>
      <c r="I286" s="27">
        <f t="shared" si="74"/>
        <v>0</v>
      </c>
      <c r="J286" s="87"/>
      <c r="K286" s="87"/>
      <c r="L286" s="87"/>
      <c r="M286" s="87"/>
      <c r="N286" s="87"/>
      <c r="O286" s="87"/>
      <c r="P286" s="178"/>
    </row>
    <row r="287" spans="2:16" outlineLevel="1" x14ac:dyDescent="0.2">
      <c r="B287" s="178"/>
      <c r="C287" s="143"/>
      <c r="D287" s="178"/>
      <c r="E287" s="178"/>
      <c r="F287" s="178"/>
      <c r="G287" s="178"/>
      <c r="H287" s="95" t="s">
        <v>6</v>
      </c>
      <c r="I287" s="27">
        <f t="shared" si="74"/>
        <v>18</v>
      </c>
      <c r="J287" s="87"/>
      <c r="K287" s="87"/>
      <c r="L287" s="87"/>
      <c r="M287" s="87"/>
      <c r="N287" s="87">
        <v>18</v>
      </c>
      <c r="O287" s="87"/>
      <c r="P287" s="178"/>
    </row>
    <row r="288" spans="2:16" outlineLevel="1" x14ac:dyDescent="0.2">
      <c r="B288" s="178"/>
      <c r="C288" s="143"/>
      <c r="D288" s="178"/>
      <c r="E288" s="178"/>
      <c r="F288" s="178"/>
      <c r="G288" s="178"/>
      <c r="H288" s="95" t="s">
        <v>5</v>
      </c>
      <c r="I288" s="27">
        <f t="shared" si="74"/>
        <v>0</v>
      </c>
      <c r="J288" s="87"/>
      <c r="K288" s="87"/>
      <c r="L288" s="87"/>
      <c r="M288" s="87"/>
      <c r="N288" s="87"/>
      <c r="O288" s="87"/>
      <c r="P288" s="178"/>
    </row>
    <row r="289" spans="2:17" ht="42.75" x14ac:dyDescent="0.2">
      <c r="B289" s="128" t="s">
        <v>320</v>
      </c>
      <c r="C289" s="128" t="s">
        <v>38</v>
      </c>
      <c r="D289" s="128" t="s">
        <v>38</v>
      </c>
      <c r="E289" s="128" t="s">
        <v>38</v>
      </c>
      <c r="F289" s="128" t="s">
        <v>38</v>
      </c>
      <c r="G289" s="128" t="s">
        <v>38</v>
      </c>
      <c r="H289" s="95" t="s">
        <v>3</v>
      </c>
      <c r="I289" s="14">
        <f t="shared" ref="I289:O289" si="81">SUMIF($H$265:$H$288,"Объем*",I$265:I$288)</f>
        <v>224</v>
      </c>
      <c r="J289" s="14">
        <f t="shared" si="81"/>
        <v>16</v>
      </c>
      <c r="K289" s="14">
        <f t="shared" si="81"/>
        <v>0</v>
      </c>
      <c r="L289" s="14">
        <f t="shared" si="81"/>
        <v>0</v>
      </c>
      <c r="M289" s="14">
        <f t="shared" si="81"/>
        <v>44</v>
      </c>
      <c r="N289" s="14">
        <f t="shared" si="81"/>
        <v>44</v>
      </c>
      <c r="O289" s="14">
        <f t="shared" si="81"/>
        <v>120</v>
      </c>
      <c r="P289" s="128">
        <f>P265</f>
        <v>0</v>
      </c>
      <c r="Q289" s="7"/>
    </row>
    <row r="290" spans="2:17" ht="15.75" x14ac:dyDescent="0.2">
      <c r="B290" s="129"/>
      <c r="C290" s="129"/>
      <c r="D290" s="129"/>
      <c r="E290" s="129"/>
      <c r="F290" s="129"/>
      <c r="G290" s="129"/>
      <c r="H290" s="95" t="s">
        <v>4</v>
      </c>
      <c r="I290" s="14">
        <f t="shared" ref="I290:O290" si="82">SUMIF($H$265:$H$288,"фед*",I$265:I$288)</f>
        <v>0</v>
      </c>
      <c r="J290" s="14">
        <f t="shared" si="82"/>
        <v>0</v>
      </c>
      <c r="K290" s="14">
        <f t="shared" si="82"/>
        <v>0</v>
      </c>
      <c r="L290" s="14">
        <f t="shared" si="82"/>
        <v>0</v>
      </c>
      <c r="M290" s="14">
        <f t="shared" si="82"/>
        <v>0</v>
      </c>
      <c r="N290" s="14">
        <f t="shared" si="82"/>
        <v>0</v>
      </c>
      <c r="O290" s="14">
        <f t="shared" si="82"/>
        <v>0</v>
      </c>
      <c r="P290" s="129"/>
    </row>
    <row r="291" spans="2:17" ht="15.75" x14ac:dyDescent="0.2">
      <c r="B291" s="129"/>
      <c r="C291" s="129"/>
      <c r="D291" s="129"/>
      <c r="E291" s="129"/>
      <c r="F291" s="129"/>
      <c r="G291" s="129"/>
      <c r="H291" s="95" t="s">
        <v>6</v>
      </c>
      <c r="I291" s="14">
        <f t="shared" ref="I291:O291" si="83">SUMIF($H$265:$H$288,"конс*",I$265:I$288)</f>
        <v>224</v>
      </c>
      <c r="J291" s="14">
        <f t="shared" si="83"/>
        <v>16</v>
      </c>
      <c r="K291" s="14">
        <f t="shared" si="83"/>
        <v>0</v>
      </c>
      <c r="L291" s="14">
        <f t="shared" si="83"/>
        <v>0</v>
      </c>
      <c r="M291" s="14">
        <f t="shared" si="83"/>
        <v>44</v>
      </c>
      <c r="N291" s="14">
        <f t="shared" si="83"/>
        <v>44</v>
      </c>
      <c r="O291" s="14">
        <f t="shared" si="83"/>
        <v>120</v>
      </c>
      <c r="P291" s="129"/>
    </row>
    <row r="292" spans="2:17" ht="15.75" x14ac:dyDescent="0.2">
      <c r="B292" s="130"/>
      <c r="C292" s="130"/>
      <c r="D292" s="130"/>
      <c r="E292" s="130"/>
      <c r="F292" s="130"/>
      <c r="G292" s="130"/>
      <c r="H292" s="95" t="s">
        <v>5</v>
      </c>
      <c r="I292" s="14">
        <f t="shared" ref="I292:O292" si="84">SUMIF($H$265:$H$288,"вне*",I$265:I$288)</f>
        <v>0</v>
      </c>
      <c r="J292" s="14">
        <f t="shared" si="84"/>
        <v>0</v>
      </c>
      <c r="K292" s="14">
        <f t="shared" si="84"/>
        <v>0</v>
      </c>
      <c r="L292" s="14">
        <f t="shared" si="84"/>
        <v>0</v>
      </c>
      <c r="M292" s="14">
        <f t="shared" si="84"/>
        <v>0</v>
      </c>
      <c r="N292" s="14">
        <f t="shared" si="84"/>
        <v>0</v>
      </c>
      <c r="O292" s="14">
        <f t="shared" si="84"/>
        <v>0</v>
      </c>
      <c r="P292" s="130"/>
    </row>
    <row r="293" spans="2:17" ht="25.5" customHeight="1" x14ac:dyDescent="0.2">
      <c r="B293" s="111" t="s">
        <v>321</v>
      </c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3"/>
    </row>
    <row r="294" spans="2:17" ht="42.75" outlineLevel="1" x14ac:dyDescent="0.2">
      <c r="B294" s="178" t="s">
        <v>1114</v>
      </c>
      <c r="C294" s="178"/>
      <c r="D294" s="178" t="s">
        <v>321</v>
      </c>
      <c r="E294" s="178" t="s">
        <v>34</v>
      </c>
      <c r="F294" s="178"/>
      <c r="G294" s="178" t="s">
        <v>107</v>
      </c>
      <c r="H294" s="95" t="s">
        <v>3</v>
      </c>
      <c r="I294" s="94">
        <f>SUM(J294:O294)</f>
        <v>252.5</v>
      </c>
      <c r="J294" s="94">
        <f t="shared" ref="J294:O294" si="85">J295+J296+J297</f>
        <v>0</v>
      </c>
      <c r="K294" s="94">
        <f t="shared" si="85"/>
        <v>2.5</v>
      </c>
      <c r="L294" s="94">
        <f t="shared" si="85"/>
        <v>250</v>
      </c>
      <c r="M294" s="94">
        <f t="shared" si="85"/>
        <v>0</v>
      </c>
      <c r="N294" s="94">
        <f t="shared" si="85"/>
        <v>0</v>
      </c>
      <c r="O294" s="94">
        <f t="shared" si="85"/>
        <v>0</v>
      </c>
      <c r="P294" s="178">
        <v>5000</v>
      </c>
    </row>
    <row r="295" spans="2:17" outlineLevel="1" x14ac:dyDescent="0.2">
      <c r="B295" s="178"/>
      <c r="C295" s="143"/>
      <c r="D295" s="178"/>
      <c r="E295" s="178"/>
      <c r="F295" s="178"/>
      <c r="G295" s="178"/>
      <c r="H295" s="95" t="s">
        <v>4</v>
      </c>
      <c r="I295" s="94">
        <f t="shared" ref="I295:I313" si="86">SUM(J295:O295)</f>
        <v>0</v>
      </c>
      <c r="J295" s="94"/>
      <c r="K295" s="94"/>
      <c r="L295" s="94"/>
      <c r="M295" s="94"/>
      <c r="N295" s="94"/>
      <c r="O295" s="94"/>
      <c r="P295" s="178"/>
    </row>
    <row r="296" spans="2:17" outlineLevel="1" x14ac:dyDescent="0.2">
      <c r="B296" s="178"/>
      <c r="C296" s="143"/>
      <c r="D296" s="178"/>
      <c r="E296" s="178"/>
      <c r="F296" s="178"/>
      <c r="G296" s="178"/>
      <c r="H296" s="95" t="s">
        <v>6</v>
      </c>
      <c r="I296" s="94">
        <f t="shared" si="86"/>
        <v>252.5</v>
      </c>
      <c r="J296" s="94"/>
      <c r="K296" s="94">
        <v>2.5</v>
      </c>
      <c r="L296" s="94">
        <v>250</v>
      </c>
      <c r="M296" s="94"/>
      <c r="N296" s="94"/>
      <c r="O296" s="94"/>
      <c r="P296" s="178"/>
    </row>
    <row r="297" spans="2:17" outlineLevel="1" x14ac:dyDescent="0.2">
      <c r="B297" s="178"/>
      <c r="C297" s="143"/>
      <c r="D297" s="178"/>
      <c r="E297" s="178"/>
      <c r="F297" s="178"/>
      <c r="G297" s="178"/>
      <c r="H297" s="95" t="s">
        <v>5</v>
      </c>
      <c r="I297" s="94">
        <f t="shared" si="86"/>
        <v>0</v>
      </c>
      <c r="J297" s="94"/>
      <c r="K297" s="94"/>
      <c r="L297" s="94"/>
      <c r="M297" s="94"/>
      <c r="N297" s="94"/>
      <c r="O297" s="94"/>
      <c r="P297" s="178"/>
    </row>
    <row r="298" spans="2:17" ht="42.75" outlineLevel="1" x14ac:dyDescent="0.2">
      <c r="B298" s="178" t="s">
        <v>1115</v>
      </c>
      <c r="C298" s="178"/>
      <c r="D298" s="178" t="s">
        <v>321</v>
      </c>
      <c r="E298" s="178">
        <v>2020</v>
      </c>
      <c r="F298" s="178"/>
      <c r="G298" s="178" t="s">
        <v>101</v>
      </c>
      <c r="H298" s="95" t="s">
        <v>3</v>
      </c>
      <c r="I298" s="94">
        <f t="shared" si="86"/>
        <v>1.5</v>
      </c>
      <c r="J298" s="94">
        <f>J299+J300+J301</f>
        <v>1.5</v>
      </c>
      <c r="K298" s="94">
        <f>K299+K300+K301</f>
        <v>0</v>
      </c>
      <c r="L298" s="94">
        <f>L299+L300+L301</f>
        <v>0</v>
      </c>
      <c r="M298" s="94">
        <v>0</v>
      </c>
      <c r="N298" s="94">
        <f>N299+N300+N301</f>
        <v>0</v>
      </c>
      <c r="O298" s="94">
        <f>O299+O300+O301</f>
        <v>0</v>
      </c>
      <c r="P298" s="178">
        <v>300</v>
      </c>
    </row>
    <row r="299" spans="2:17" outlineLevel="1" x14ac:dyDescent="0.2">
      <c r="B299" s="178"/>
      <c r="C299" s="143"/>
      <c r="D299" s="178"/>
      <c r="E299" s="178"/>
      <c r="F299" s="178"/>
      <c r="G299" s="178"/>
      <c r="H299" s="95" t="s">
        <v>4</v>
      </c>
      <c r="I299" s="94">
        <f t="shared" si="86"/>
        <v>0</v>
      </c>
      <c r="J299" s="94"/>
      <c r="K299" s="94"/>
      <c r="L299" s="94"/>
      <c r="M299" s="94"/>
      <c r="N299" s="94"/>
      <c r="O299" s="94"/>
      <c r="P299" s="178"/>
    </row>
    <row r="300" spans="2:17" outlineLevel="1" x14ac:dyDescent="0.2">
      <c r="B300" s="178"/>
      <c r="C300" s="143"/>
      <c r="D300" s="178"/>
      <c r="E300" s="178"/>
      <c r="F300" s="178"/>
      <c r="G300" s="178"/>
      <c r="H300" s="95" t="s">
        <v>6</v>
      </c>
      <c r="I300" s="94">
        <f t="shared" si="86"/>
        <v>1.5</v>
      </c>
      <c r="J300" s="94">
        <v>1.5</v>
      </c>
      <c r="K300" s="94"/>
      <c r="L300" s="94"/>
      <c r="M300" s="94"/>
      <c r="N300" s="94"/>
      <c r="O300" s="94"/>
      <c r="P300" s="178"/>
    </row>
    <row r="301" spans="2:17" outlineLevel="1" x14ac:dyDescent="0.2">
      <c r="B301" s="178"/>
      <c r="C301" s="143"/>
      <c r="D301" s="178"/>
      <c r="E301" s="178"/>
      <c r="F301" s="178"/>
      <c r="G301" s="178"/>
      <c r="H301" s="95" t="s">
        <v>5</v>
      </c>
      <c r="I301" s="94">
        <f t="shared" si="86"/>
        <v>0</v>
      </c>
      <c r="J301" s="94"/>
      <c r="K301" s="94"/>
      <c r="L301" s="94"/>
      <c r="M301" s="94"/>
      <c r="N301" s="94"/>
      <c r="O301" s="94"/>
      <c r="P301" s="178"/>
    </row>
    <row r="302" spans="2:17" ht="42.75" outlineLevel="1" x14ac:dyDescent="0.2">
      <c r="B302" s="178" t="s">
        <v>1116</v>
      </c>
      <c r="C302" s="178"/>
      <c r="D302" s="178" t="s">
        <v>321</v>
      </c>
      <c r="E302" s="178">
        <v>2020</v>
      </c>
      <c r="F302" s="178"/>
      <c r="G302" s="178" t="s">
        <v>101</v>
      </c>
      <c r="H302" s="95" t="s">
        <v>3</v>
      </c>
      <c r="I302" s="94">
        <f t="shared" si="86"/>
        <v>2.6</v>
      </c>
      <c r="J302" s="94">
        <f>J303+J304+J305</f>
        <v>2.6</v>
      </c>
      <c r="K302" s="94">
        <f>K303+K304+K305</f>
        <v>0</v>
      </c>
      <c r="L302" s="94">
        <v>0</v>
      </c>
      <c r="M302" s="94">
        <f>M303+M304+M305</f>
        <v>0</v>
      </c>
      <c r="N302" s="94">
        <f>N303+N304+N305</f>
        <v>0</v>
      </c>
      <c r="O302" s="94">
        <f>O303+O304+O305</f>
        <v>0</v>
      </c>
      <c r="P302" s="178">
        <v>700</v>
      </c>
    </row>
    <row r="303" spans="2:17" outlineLevel="1" x14ac:dyDescent="0.2">
      <c r="B303" s="178"/>
      <c r="C303" s="143"/>
      <c r="D303" s="178"/>
      <c r="E303" s="178"/>
      <c r="F303" s="178"/>
      <c r="G303" s="178"/>
      <c r="H303" s="95" t="s">
        <v>4</v>
      </c>
      <c r="I303" s="94">
        <f t="shared" si="86"/>
        <v>0</v>
      </c>
      <c r="J303" s="94"/>
      <c r="K303" s="94"/>
      <c r="L303" s="94"/>
      <c r="M303" s="94"/>
      <c r="N303" s="94"/>
      <c r="O303" s="94"/>
      <c r="P303" s="178"/>
    </row>
    <row r="304" spans="2:17" outlineLevel="1" x14ac:dyDescent="0.2">
      <c r="B304" s="178"/>
      <c r="C304" s="143"/>
      <c r="D304" s="178"/>
      <c r="E304" s="178"/>
      <c r="F304" s="178"/>
      <c r="G304" s="178"/>
      <c r="H304" s="95" t="s">
        <v>6</v>
      </c>
      <c r="I304" s="94">
        <f t="shared" si="86"/>
        <v>2.6</v>
      </c>
      <c r="J304" s="94">
        <v>2.6</v>
      </c>
      <c r="K304" s="94"/>
      <c r="L304" s="94"/>
      <c r="M304" s="94"/>
      <c r="N304" s="94"/>
      <c r="O304" s="94"/>
      <c r="P304" s="178"/>
    </row>
    <row r="305" spans="2:17" outlineLevel="1" x14ac:dyDescent="0.2">
      <c r="B305" s="178"/>
      <c r="C305" s="143"/>
      <c r="D305" s="178"/>
      <c r="E305" s="178"/>
      <c r="F305" s="178"/>
      <c r="G305" s="178"/>
      <c r="H305" s="95" t="s">
        <v>5</v>
      </c>
      <c r="I305" s="94">
        <f t="shared" si="86"/>
        <v>0</v>
      </c>
      <c r="J305" s="94"/>
      <c r="K305" s="94"/>
      <c r="L305" s="94"/>
      <c r="M305" s="94"/>
      <c r="N305" s="94"/>
      <c r="O305" s="94"/>
      <c r="P305" s="178"/>
    </row>
    <row r="306" spans="2:17" ht="42.75" outlineLevel="1" x14ac:dyDescent="0.2">
      <c r="B306" s="178" t="s">
        <v>1117</v>
      </c>
      <c r="C306" s="178"/>
      <c r="D306" s="178" t="s">
        <v>321</v>
      </c>
      <c r="E306" s="178">
        <v>2020</v>
      </c>
      <c r="F306" s="178"/>
      <c r="G306" s="178" t="s">
        <v>107</v>
      </c>
      <c r="H306" s="95" t="s">
        <v>3</v>
      </c>
      <c r="I306" s="94">
        <f t="shared" si="86"/>
        <v>3.8</v>
      </c>
      <c r="J306" s="94">
        <f>J307+J308+J309</f>
        <v>3.8</v>
      </c>
      <c r="K306" s="94">
        <f>K307+K308+K309</f>
        <v>0</v>
      </c>
      <c r="L306" s="94">
        <f>L307+L308+L309</f>
        <v>0</v>
      </c>
      <c r="M306" s="94">
        <v>0</v>
      </c>
      <c r="N306" s="94">
        <f>N307+N308+N309</f>
        <v>0</v>
      </c>
      <c r="O306" s="94">
        <f>O307+O308+O309</f>
        <v>0</v>
      </c>
      <c r="P306" s="178">
        <v>5000</v>
      </c>
    </row>
    <row r="307" spans="2:17" outlineLevel="1" x14ac:dyDescent="0.2">
      <c r="B307" s="178"/>
      <c r="C307" s="143"/>
      <c r="D307" s="178"/>
      <c r="E307" s="178"/>
      <c r="F307" s="178"/>
      <c r="G307" s="178"/>
      <c r="H307" s="95" t="s">
        <v>4</v>
      </c>
      <c r="I307" s="94">
        <f t="shared" si="86"/>
        <v>2.6</v>
      </c>
      <c r="J307" s="94">
        <v>2.6</v>
      </c>
      <c r="K307" s="94"/>
      <c r="L307" s="94"/>
      <c r="M307" s="94"/>
      <c r="N307" s="94"/>
      <c r="O307" s="94"/>
      <c r="P307" s="178"/>
    </row>
    <row r="308" spans="2:17" outlineLevel="1" x14ac:dyDescent="0.2">
      <c r="B308" s="178"/>
      <c r="C308" s="143"/>
      <c r="D308" s="178"/>
      <c r="E308" s="178"/>
      <c r="F308" s="178"/>
      <c r="G308" s="178"/>
      <c r="H308" s="95" t="s">
        <v>6</v>
      </c>
      <c r="I308" s="94">
        <f t="shared" si="86"/>
        <v>1.2</v>
      </c>
      <c r="J308" s="94">
        <v>1.2</v>
      </c>
      <c r="K308" s="94"/>
      <c r="L308" s="94"/>
      <c r="M308" s="94"/>
      <c r="N308" s="94"/>
      <c r="O308" s="94"/>
      <c r="P308" s="178"/>
    </row>
    <row r="309" spans="2:17" outlineLevel="1" x14ac:dyDescent="0.2">
      <c r="B309" s="178"/>
      <c r="C309" s="143"/>
      <c r="D309" s="178"/>
      <c r="E309" s="178"/>
      <c r="F309" s="178"/>
      <c r="G309" s="178"/>
      <c r="H309" s="95" t="s">
        <v>5</v>
      </c>
      <c r="I309" s="94">
        <f t="shared" si="86"/>
        <v>0</v>
      </c>
      <c r="J309" s="94"/>
      <c r="K309" s="94"/>
      <c r="L309" s="94"/>
      <c r="M309" s="94"/>
      <c r="N309" s="94"/>
      <c r="O309" s="94"/>
      <c r="P309" s="178"/>
    </row>
    <row r="310" spans="2:17" ht="42.75" outlineLevel="1" x14ac:dyDescent="0.2">
      <c r="B310" s="178" t="s">
        <v>1118</v>
      </c>
      <c r="C310" s="178"/>
      <c r="D310" s="178" t="s">
        <v>321</v>
      </c>
      <c r="E310" s="178" t="s">
        <v>209</v>
      </c>
      <c r="F310" s="178"/>
      <c r="G310" s="178" t="s">
        <v>101</v>
      </c>
      <c r="H310" s="95" t="s">
        <v>3</v>
      </c>
      <c r="I310" s="94">
        <f t="shared" si="86"/>
        <v>20</v>
      </c>
      <c r="J310" s="94">
        <f>J311+J312+J313</f>
        <v>0</v>
      </c>
      <c r="K310" s="94">
        <f>K311+K312+K313</f>
        <v>0</v>
      </c>
      <c r="L310" s="94">
        <v>0</v>
      </c>
      <c r="M310" s="94">
        <f>M311+M312+M313</f>
        <v>20</v>
      </c>
      <c r="N310" s="94">
        <f>N311+N312+N313</f>
        <v>0</v>
      </c>
      <c r="O310" s="94">
        <f>O311+O312+O313</f>
        <v>0</v>
      </c>
      <c r="P310" s="178">
        <v>484</v>
      </c>
    </row>
    <row r="311" spans="2:17" outlineLevel="1" x14ac:dyDescent="0.2">
      <c r="B311" s="178"/>
      <c r="C311" s="143"/>
      <c r="D311" s="178"/>
      <c r="E311" s="178"/>
      <c r="F311" s="178"/>
      <c r="G311" s="178"/>
      <c r="H311" s="95" t="s">
        <v>4</v>
      </c>
      <c r="I311" s="94">
        <f t="shared" si="86"/>
        <v>0</v>
      </c>
      <c r="J311" s="94"/>
      <c r="K311" s="94"/>
      <c r="L311" s="94"/>
      <c r="M311" s="94"/>
      <c r="N311" s="94"/>
      <c r="O311" s="94"/>
      <c r="P311" s="178"/>
    </row>
    <row r="312" spans="2:17" outlineLevel="1" x14ac:dyDescent="0.2">
      <c r="B312" s="178"/>
      <c r="C312" s="143"/>
      <c r="D312" s="178"/>
      <c r="E312" s="178"/>
      <c r="F312" s="178"/>
      <c r="G312" s="178"/>
      <c r="H312" s="95" t="s">
        <v>6</v>
      </c>
      <c r="I312" s="94">
        <f t="shared" si="86"/>
        <v>20</v>
      </c>
      <c r="J312" s="94"/>
      <c r="K312" s="94"/>
      <c r="L312" s="94"/>
      <c r="M312" s="94">
        <v>20</v>
      </c>
      <c r="N312" s="94"/>
      <c r="O312" s="94"/>
      <c r="P312" s="178"/>
    </row>
    <row r="313" spans="2:17" outlineLevel="1" x14ac:dyDescent="0.2">
      <c r="B313" s="178"/>
      <c r="C313" s="143"/>
      <c r="D313" s="178"/>
      <c r="E313" s="178"/>
      <c r="F313" s="178"/>
      <c r="G313" s="178"/>
      <c r="H313" s="95" t="s">
        <v>5</v>
      </c>
      <c r="I313" s="94">
        <f t="shared" si="86"/>
        <v>0</v>
      </c>
      <c r="J313" s="94"/>
      <c r="K313" s="94"/>
      <c r="L313" s="94"/>
      <c r="M313" s="94"/>
      <c r="N313" s="94"/>
      <c r="O313" s="94"/>
      <c r="P313" s="178"/>
    </row>
    <row r="314" spans="2:17" ht="42.75" x14ac:dyDescent="0.2">
      <c r="B314" s="128" t="s">
        <v>337</v>
      </c>
      <c r="C314" s="128" t="s">
        <v>38</v>
      </c>
      <c r="D314" s="128" t="s">
        <v>38</v>
      </c>
      <c r="E314" s="128" t="s">
        <v>38</v>
      </c>
      <c r="F314" s="128" t="s">
        <v>38</v>
      </c>
      <c r="G314" s="128" t="s">
        <v>38</v>
      </c>
      <c r="H314" s="95" t="s">
        <v>3</v>
      </c>
      <c r="I314" s="14">
        <f t="shared" ref="I314:O314" si="87">SUMIF($H$294:$H$313,"Объем*",I$294:I$313)</f>
        <v>280.40000000000003</v>
      </c>
      <c r="J314" s="14">
        <f t="shared" si="87"/>
        <v>7.8999999999999995</v>
      </c>
      <c r="K314" s="14">
        <f t="shared" si="87"/>
        <v>2.5</v>
      </c>
      <c r="L314" s="14">
        <f t="shared" si="87"/>
        <v>250</v>
      </c>
      <c r="M314" s="14">
        <f t="shared" si="87"/>
        <v>20</v>
      </c>
      <c r="N314" s="14">
        <f t="shared" si="87"/>
        <v>0</v>
      </c>
      <c r="O314" s="14">
        <f t="shared" si="87"/>
        <v>0</v>
      </c>
      <c r="P314" s="128"/>
      <c r="Q314" s="7"/>
    </row>
    <row r="315" spans="2:17" ht="15.75" x14ac:dyDescent="0.2">
      <c r="B315" s="129"/>
      <c r="C315" s="129"/>
      <c r="D315" s="129"/>
      <c r="E315" s="129"/>
      <c r="F315" s="129"/>
      <c r="G315" s="129"/>
      <c r="H315" s="95" t="s">
        <v>4</v>
      </c>
      <c r="I315" s="14">
        <f t="shared" ref="I315:O315" si="88">SUMIF($H$294:$H$313,"фед*",I$294:I$313)</f>
        <v>2.6</v>
      </c>
      <c r="J315" s="14">
        <f t="shared" si="88"/>
        <v>2.6</v>
      </c>
      <c r="K315" s="14">
        <f t="shared" si="88"/>
        <v>0</v>
      </c>
      <c r="L315" s="14">
        <f t="shared" si="88"/>
        <v>0</v>
      </c>
      <c r="M315" s="14">
        <f t="shared" si="88"/>
        <v>0</v>
      </c>
      <c r="N315" s="14">
        <f t="shared" si="88"/>
        <v>0</v>
      </c>
      <c r="O315" s="14">
        <f t="shared" si="88"/>
        <v>0</v>
      </c>
      <c r="P315" s="129"/>
    </row>
    <row r="316" spans="2:17" ht="15.75" x14ac:dyDescent="0.2">
      <c r="B316" s="129"/>
      <c r="C316" s="129"/>
      <c r="D316" s="129"/>
      <c r="E316" s="129"/>
      <c r="F316" s="129"/>
      <c r="G316" s="129"/>
      <c r="H316" s="95" t="s">
        <v>6</v>
      </c>
      <c r="I316" s="14">
        <f t="shared" ref="I316:O316" si="89">SUMIF($H$294:$H$313,"конс*",I$294:I$313)</f>
        <v>277.8</v>
      </c>
      <c r="J316" s="14">
        <f t="shared" si="89"/>
        <v>5.3</v>
      </c>
      <c r="K316" s="14">
        <f t="shared" si="89"/>
        <v>2.5</v>
      </c>
      <c r="L316" s="14">
        <f t="shared" si="89"/>
        <v>250</v>
      </c>
      <c r="M316" s="14">
        <f t="shared" si="89"/>
        <v>20</v>
      </c>
      <c r="N316" s="14">
        <f t="shared" si="89"/>
        <v>0</v>
      </c>
      <c r="O316" s="14">
        <f t="shared" si="89"/>
        <v>0</v>
      </c>
      <c r="P316" s="129"/>
    </row>
    <row r="317" spans="2:17" ht="15.75" x14ac:dyDescent="0.2">
      <c r="B317" s="130"/>
      <c r="C317" s="130"/>
      <c r="D317" s="130"/>
      <c r="E317" s="130"/>
      <c r="F317" s="130"/>
      <c r="G317" s="130"/>
      <c r="H317" s="95" t="s">
        <v>5</v>
      </c>
      <c r="I317" s="14">
        <f t="shared" ref="I317:O317" si="90">SUMIF($H$294:$H$313,"вне*",I$294:I$313)</f>
        <v>0</v>
      </c>
      <c r="J317" s="14">
        <f t="shared" si="90"/>
        <v>0</v>
      </c>
      <c r="K317" s="14">
        <f t="shared" si="90"/>
        <v>0</v>
      </c>
      <c r="L317" s="14">
        <f t="shared" si="90"/>
        <v>0</v>
      </c>
      <c r="M317" s="14">
        <f t="shared" si="90"/>
        <v>0</v>
      </c>
      <c r="N317" s="14">
        <f t="shared" si="90"/>
        <v>0</v>
      </c>
      <c r="O317" s="14">
        <f t="shared" si="90"/>
        <v>0</v>
      </c>
      <c r="P317" s="130"/>
    </row>
    <row r="318" spans="2:17" ht="25.5" customHeight="1" x14ac:dyDescent="0.2">
      <c r="B318" s="111" t="s">
        <v>344</v>
      </c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3"/>
    </row>
    <row r="319" spans="2:17" ht="42" customHeight="1" outlineLevel="1" x14ac:dyDescent="0.2">
      <c r="B319" s="178" t="s">
        <v>1119</v>
      </c>
      <c r="C319" s="178"/>
      <c r="D319" s="178" t="s">
        <v>1120</v>
      </c>
      <c r="E319" s="178">
        <v>2022</v>
      </c>
      <c r="F319" s="178"/>
      <c r="G319" s="178" t="s">
        <v>138</v>
      </c>
      <c r="H319" s="95" t="s">
        <v>3</v>
      </c>
      <c r="I319" s="94">
        <f>SUM(J319:O319)</f>
        <v>40</v>
      </c>
      <c r="J319" s="94">
        <f t="shared" ref="J319:O319" si="91">J320+J321+J322</f>
        <v>0</v>
      </c>
      <c r="K319" s="94">
        <f t="shared" si="91"/>
        <v>0</v>
      </c>
      <c r="L319" s="94">
        <f t="shared" si="91"/>
        <v>40</v>
      </c>
      <c r="M319" s="94">
        <f t="shared" si="91"/>
        <v>0</v>
      </c>
      <c r="N319" s="94">
        <f t="shared" si="91"/>
        <v>0</v>
      </c>
      <c r="O319" s="94">
        <f t="shared" si="91"/>
        <v>0</v>
      </c>
      <c r="P319" s="178"/>
    </row>
    <row r="320" spans="2:17" ht="17.25" customHeight="1" outlineLevel="1" x14ac:dyDescent="0.2">
      <c r="B320" s="178"/>
      <c r="C320" s="143"/>
      <c r="D320" s="178"/>
      <c r="E320" s="178"/>
      <c r="F320" s="178"/>
      <c r="G320" s="178"/>
      <c r="H320" s="95" t="s">
        <v>4</v>
      </c>
      <c r="I320" s="94">
        <f>SUM(J320:O320)</f>
        <v>39.6</v>
      </c>
      <c r="J320" s="87"/>
      <c r="K320" s="87"/>
      <c r="L320" s="87">
        <v>39.6</v>
      </c>
      <c r="M320" s="87"/>
      <c r="N320" s="87"/>
      <c r="O320" s="87"/>
      <c r="P320" s="178"/>
    </row>
    <row r="321" spans="2:17" ht="17.25" customHeight="1" outlineLevel="1" x14ac:dyDescent="0.2">
      <c r="B321" s="178"/>
      <c r="C321" s="143"/>
      <c r="D321" s="178"/>
      <c r="E321" s="178"/>
      <c r="F321" s="178"/>
      <c r="G321" s="178"/>
      <c r="H321" s="95" t="s">
        <v>6</v>
      </c>
      <c r="I321" s="94">
        <f>SUM(J321:O321)</f>
        <v>0.4</v>
      </c>
      <c r="J321" s="87"/>
      <c r="K321" s="87"/>
      <c r="L321" s="87">
        <v>0.4</v>
      </c>
      <c r="M321" s="87"/>
      <c r="N321" s="87"/>
      <c r="O321" s="87"/>
      <c r="P321" s="178"/>
    </row>
    <row r="322" spans="2:17" ht="17.25" customHeight="1" outlineLevel="1" x14ac:dyDescent="0.2">
      <c r="B322" s="178"/>
      <c r="C322" s="143"/>
      <c r="D322" s="178"/>
      <c r="E322" s="178"/>
      <c r="F322" s="178"/>
      <c r="G322" s="178"/>
      <c r="H322" s="95" t="s">
        <v>5</v>
      </c>
      <c r="I322" s="87"/>
      <c r="J322" s="87"/>
      <c r="K322" s="87"/>
      <c r="L322" s="87"/>
      <c r="M322" s="87"/>
      <c r="N322" s="87"/>
      <c r="O322" s="87"/>
      <c r="P322" s="178"/>
    </row>
    <row r="323" spans="2:17" ht="42" customHeight="1" outlineLevel="1" x14ac:dyDescent="0.2">
      <c r="B323" s="178" t="s">
        <v>1121</v>
      </c>
      <c r="C323" s="178"/>
      <c r="D323" s="178" t="s">
        <v>1120</v>
      </c>
      <c r="E323" s="178" t="s">
        <v>61</v>
      </c>
      <c r="F323" s="178" t="s">
        <v>1122</v>
      </c>
      <c r="G323" s="178" t="s">
        <v>115</v>
      </c>
      <c r="H323" s="95" t="s">
        <v>3</v>
      </c>
      <c r="I323" s="94">
        <f>SUM(J323:O323)</f>
        <v>140</v>
      </c>
      <c r="J323" s="94">
        <f t="shared" ref="J323:O323" si="92">J324+J325+J326</f>
        <v>0</v>
      </c>
      <c r="K323" s="94">
        <f t="shared" si="92"/>
        <v>0</v>
      </c>
      <c r="L323" s="94">
        <f t="shared" si="92"/>
        <v>29</v>
      </c>
      <c r="M323" s="94">
        <f t="shared" si="92"/>
        <v>111</v>
      </c>
      <c r="N323" s="94">
        <f t="shared" si="92"/>
        <v>0</v>
      </c>
      <c r="O323" s="94">
        <f t="shared" si="92"/>
        <v>0</v>
      </c>
      <c r="P323" s="178">
        <v>21562</v>
      </c>
    </row>
    <row r="324" spans="2:17" ht="17.25" customHeight="1" outlineLevel="1" x14ac:dyDescent="0.2">
      <c r="B324" s="178"/>
      <c r="C324" s="143"/>
      <c r="D324" s="178"/>
      <c r="E324" s="178"/>
      <c r="F324" s="178"/>
      <c r="G324" s="178"/>
      <c r="H324" s="95" t="s">
        <v>4</v>
      </c>
      <c r="I324" s="94">
        <f>SUM(J324:O324)</f>
        <v>138.6</v>
      </c>
      <c r="J324" s="87"/>
      <c r="K324" s="87"/>
      <c r="L324" s="87">
        <v>28.71</v>
      </c>
      <c r="M324" s="87">
        <v>109.89</v>
      </c>
      <c r="N324" s="87"/>
      <c r="O324" s="87"/>
      <c r="P324" s="178"/>
    </row>
    <row r="325" spans="2:17" ht="17.25" customHeight="1" outlineLevel="1" x14ac:dyDescent="0.2">
      <c r="B325" s="178"/>
      <c r="C325" s="143"/>
      <c r="D325" s="178"/>
      <c r="E325" s="178"/>
      <c r="F325" s="178"/>
      <c r="G325" s="178"/>
      <c r="H325" s="95" t="s">
        <v>6</v>
      </c>
      <c r="I325" s="94">
        <f>SUM(J325:O325)</f>
        <v>1.4000000000000001</v>
      </c>
      <c r="J325" s="87"/>
      <c r="K325" s="87"/>
      <c r="L325" s="87">
        <v>0.28999999999999998</v>
      </c>
      <c r="M325" s="87">
        <v>1.1100000000000001</v>
      </c>
      <c r="N325" s="87"/>
      <c r="O325" s="87"/>
      <c r="P325" s="178"/>
    </row>
    <row r="326" spans="2:17" ht="17.25" customHeight="1" outlineLevel="1" x14ac:dyDescent="0.2">
      <c r="B326" s="178"/>
      <c r="C326" s="143"/>
      <c r="D326" s="178"/>
      <c r="E326" s="178"/>
      <c r="F326" s="178"/>
      <c r="G326" s="178"/>
      <c r="H326" s="95" t="s">
        <v>5</v>
      </c>
      <c r="I326" s="87"/>
      <c r="J326" s="87"/>
      <c r="K326" s="87"/>
      <c r="L326" s="87"/>
      <c r="M326" s="87"/>
      <c r="N326" s="87"/>
      <c r="O326" s="87"/>
      <c r="P326" s="178"/>
    </row>
    <row r="327" spans="2:17" ht="42.75" x14ac:dyDescent="0.2">
      <c r="B327" s="128" t="s">
        <v>349</v>
      </c>
      <c r="C327" s="128" t="s">
        <v>38</v>
      </c>
      <c r="D327" s="128" t="s">
        <v>38</v>
      </c>
      <c r="E327" s="128" t="s">
        <v>38</v>
      </c>
      <c r="F327" s="128" t="s">
        <v>38</v>
      </c>
      <c r="G327" s="128" t="s">
        <v>38</v>
      </c>
      <c r="H327" s="95" t="s">
        <v>3</v>
      </c>
      <c r="I327" s="14">
        <f t="shared" ref="I327:O327" si="93">SUMIF($H$319:$H$326,"Объем*",I$319:I$326)</f>
        <v>180</v>
      </c>
      <c r="J327" s="14">
        <f t="shared" si="93"/>
        <v>0</v>
      </c>
      <c r="K327" s="14">
        <f t="shared" si="93"/>
        <v>0</v>
      </c>
      <c r="L327" s="14">
        <f t="shared" si="93"/>
        <v>69</v>
      </c>
      <c r="M327" s="14">
        <f t="shared" si="93"/>
        <v>111</v>
      </c>
      <c r="N327" s="14">
        <f t="shared" si="93"/>
        <v>0</v>
      </c>
      <c r="O327" s="14">
        <f t="shared" si="93"/>
        <v>0</v>
      </c>
      <c r="P327" s="128"/>
      <c r="Q327" s="7"/>
    </row>
    <row r="328" spans="2:17" ht="15.75" x14ac:dyDescent="0.2">
      <c r="B328" s="129"/>
      <c r="C328" s="129"/>
      <c r="D328" s="129"/>
      <c r="E328" s="129"/>
      <c r="F328" s="129"/>
      <c r="G328" s="129"/>
      <c r="H328" s="95" t="s">
        <v>4</v>
      </c>
      <c r="I328" s="14">
        <f t="shared" ref="I328:O328" si="94">SUMIF($H$319:$H$326,"фед*",I$319:I$326)</f>
        <v>178.2</v>
      </c>
      <c r="J328" s="14">
        <f t="shared" si="94"/>
        <v>0</v>
      </c>
      <c r="K328" s="14">
        <f t="shared" si="94"/>
        <v>0</v>
      </c>
      <c r="L328" s="14">
        <f t="shared" si="94"/>
        <v>68.31</v>
      </c>
      <c r="M328" s="14">
        <f t="shared" si="94"/>
        <v>109.89</v>
      </c>
      <c r="N328" s="14">
        <f t="shared" si="94"/>
        <v>0</v>
      </c>
      <c r="O328" s="14">
        <f t="shared" si="94"/>
        <v>0</v>
      </c>
      <c r="P328" s="129"/>
    </row>
    <row r="329" spans="2:17" ht="15.75" x14ac:dyDescent="0.2">
      <c r="B329" s="129"/>
      <c r="C329" s="129"/>
      <c r="D329" s="129"/>
      <c r="E329" s="129"/>
      <c r="F329" s="129"/>
      <c r="G329" s="129"/>
      <c r="H329" s="95" t="s">
        <v>6</v>
      </c>
      <c r="I329" s="14">
        <f t="shared" ref="I329:O329" si="95">SUMIF($H$319:$H$326,"конс*",I$319:I$326)</f>
        <v>1.8000000000000003</v>
      </c>
      <c r="J329" s="14">
        <f t="shared" si="95"/>
        <v>0</v>
      </c>
      <c r="K329" s="14">
        <f t="shared" si="95"/>
        <v>0</v>
      </c>
      <c r="L329" s="14">
        <f t="shared" si="95"/>
        <v>0.69</v>
      </c>
      <c r="M329" s="14">
        <f t="shared" si="95"/>
        <v>1.1100000000000001</v>
      </c>
      <c r="N329" s="14">
        <f t="shared" si="95"/>
        <v>0</v>
      </c>
      <c r="O329" s="14">
        <f t="shared" si="95"/>
        <v>0</v>
      </c>
      <c r="P329" s="129"/>
    </row>
    <row r="330" spans="2:17" ht="15.75" x14ac:dyDescent="0.2">
      <c r="B330" s="130"/>
      <c r="C330" s="130"/>
      <c r="D330" s="130"/>
      <c r="E330" s="130"/>
      <c r="F330" s="130"/>
      <c r="G330" s="130"/>
      <c r="H330" s="95" t="s">
        <v>5</v>
      </c>
      <c r="I330" s="14">
        <f t="shared" ref="I330:O330" si="96">SUMIF($H$319:$H$326,"вне*",I$319:I$326)</f>
        <v>0</v>
      </c>
      <c r="J330" s="14">
        <f t="shared" si="96"/>
        <v>0</v>
      </c>
      <c r="K330" s="14">
        <f t="shared" si="96"/>
        <v>0</v>
      </c>
      <c r="L330" s="14">
        <f t="shared" si="96"/>
        <v>0</v>
      </c>
      <c r="M330" s="14">
        <f t="shared" si="96"/>
        <v>0</v>
      </c>
      <c r="N330" s="14">
        <f t="shared" si="96"/>
        <v>0</v>
      </c>
      <c r="O330" s="14">
        <f t="shared" si="96"/>
        <v>0</v>
      </c>
      <c r="P330" s="130"/>
    </row>
    <row r="331" spans="2:17" ht="25.5" customHeight="1" x14ac:dyDescent="0.2">
      <c r="B331" s="111" t="s">
        <v>350</v>
      </c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3"/>
    </row>
    <row r="332" spans="2:17" ht="42.75" outlineLevel="1" x14ac:dyDescent="0.2">
      <c r="B332" s="178" t="s">
        <v>1123</v>
      </c>
      <c r="C332" s="178" t="s">
        <v>1004</v>
      </c>
      <c r="D332" s="178" t="s">
        <v>1124</v>
      </c>
      <c r="E332" s="178" t="s">
        <v>61</v>
      </c>
      <c r="F332" s="178" t="s">
        <v>1047</v>
      </c>
      <c r="G332" s="178" t="s">
        <v>566</v>
      </c>
      <c r="H332" s="95" t="s">
        <v>3</v>
      </c>
      <c r="I332" s="94">
        <f t="shared" ref="I332:I339" si="97">SUM(J332:O332)</f>
        <v>350</v>
      </c>
      <c r="J332" s="94">
        <f t="shared" ref="J332:O332" si="98">J333+J334+J335</f>
        <v>0</v>
      </c>
      <c r="K332" s="94">
        <f t="shared" si="98"/>
        <v>0</v>
      </c>
      <c r="L332" s="94">
        <f t="shared" si="98"/>
        <v>200</v>
      </c>
      <c r="M332" s="94">
        <f t="shared" si="98"/>
        <v>150</v>
      </c>
      <c r="N332" s="94">
        <f t="shared" si="98"/>
        <v>0</v>
      </c>
      <c r="O332" s="94">
        <f t="shared" si="98"/>
        <v>0</v>
      </c>
      <c r="P332" s="178"/>
    </row>
    <row r="333" spans="2:17" outlineLevel="1" x14ac:dyDescent="0.2">
      <c r="B333" s="178"/>
      <c r="C333" s="143"/>
      <c r="D333" s="178"/>
      <c r="E333" s="178"/>
      <c r="F333" s="178"/>
      <c r="G333" s="178"/>
      <c r="H333" s="95" t="s">
        <v>4</v>
      </c>
      <c r="I333" s="94">
        <f t="shared" si="97"/>
        <v>300</v>
      </c>
      <c r="J333" s="87"/>
      <c r="K333" s="87"/>
      <c r="L333" s="87">
        <v>170</v>
      </c>
      <c r="M333" s="87">
        <v>130</v>
      </c>
      <c r="N333" s="87"/>
      <c r="O333" s="87"/>
      <c r="P333" s="178"/>
    </row>
    <row r="334" spans="2:17" outlineLevel="1" x14ac:dyDescent="0.2">
      <c r="B334" s="178"/>
      <c r="C334" s="143"/>
      <c r="D334" s="178"/>
      <c r="E334" s="178"/>
      <c r="F334" s="178"/>
      <c r="G334" s="178"/>
      <c r="H334" s="95" t="s">
        <v>6</v>
      </c>
      <c r="I334" s="94">
        <f t="shared" si="97"/>
        <v>50</v>
      </c>
      <c r="J334" s="87"/>
      <c r="K334" s="87"/>
      <c r="L334" s="87">
        <v>30</v>
      </c>
      <c r="M334" s="87">
        <v>20</v>
      </c>
      <c r="N334" s="87"/>
      <c r="O334" s="87"/>
      <c r="P334" s="178"/>
    </row>
    <row r="335" spans="2:17" outlineLevel="1" x14ac:dyDescent="0.2">
      <c r="B335" s="178"/>
      <c r="C335" s="143"/>
      <c r="D335" s="178"/>
      <c r="E335" s="178"/>
      <c r="F335" s="178"/>
      <c r="G335" s="178"/>
      <c r="H335" s="95" t="s">
        <v>5</v>
      </c>
      <c r="I335" s="94">
        <f t="shared" si="97"/>
        <v>0</v>
      </c>
      <c r="J335" s="87"/>
      <c r="K335" s="87"/>
      <c r="L335" s="87"/>
      <c r="M335" s="87"/>
      <c r="N335" s="87"/>
      <c r="O335" s="87"/>
      <c r="P335" s="178"/>
    </row>
    <row r="336" spans="2:17" ht="42.75" outlineLevel="1" x14ac:dyDescent="0.2">
      <c r="B336" s="178" t="s">
        <v>1125</v>
      </c>
      <c r="C336" s="178" t="s">
        <v>1126</v>
      </c>
      <c r="D336" s="178" t="s">
        <v>785</v>
      </c>
      <c r="E336" s="178">
        <v>2021</v>
      </c>
      <c r="F336" s="178" t="s">
        <v>1052</v>
      </c>
      <c r="G336" s="178" t="s">
        <v>1127</v>
      </c>
      <c r="H336" s="95" t="s">
        <v>3</v>
      </c>
      <c r="I336" s="94">
        <f t="shared" si="97"/>
        <v>31</v>
      </c>
      <c r="J336" s="94">
        <f t="shared" ref="J336:O336" si="99">J337+J338+J339</f>
        <v>0</v>
      </c>
      <c r="K336" s="94">
        <f t="shared" si="99"/>
        <v>31</v>
      </c>
      <c r="L336" s="94">
        <f t="shared" si="99"/>
        <v>0</v>
      </c>
      <c r="M336" s="94">
        <f t="shared" si="99"/>
        <v>0</v>
      </c>
      <c r="N336" s="94">
        <f t="shared" si="99"/>
        <v>0</v>
      </c>
      <c r="O336" s="94">
        <f t="shared" si="99"/>
        <v>0</v>
      </c>
      <c r="P336" s="178"/>
    </row>
    <row r="337" spans="2:17" outlineLevel="1" x14ac:dyDescent="0.2">
      <c r="B337" s="178"/>
      <c r="C337" s="143"/>
      <c r="D337" s="178"/>
      <c r="E337" s="178"/>
      <c r="F337" s="178"/>
      <c r="G337" s="178"/>
      <c r="H337" s="95" t="s">
        <v>4</v>
      </c>
      <c r="I337" s="94">
        <f t="shared" si="97"/>
        <v>30.7</v>
      </c>
      <c r="J337" s="87"/>
      <c r="K337" s="87">
        <v>30.7</v>
      </c>
      <c r="L337" s="87"/>
      <c r="M337" s="87"/>
      <c r="N337" s="87"/>
      <c r="O337" s="87"/>
      <c r="P337" s="178"/>
    </row>
    <row r="338" spans="2:17" outlineLevel="1" x14ac:dyDescent="0.2">
      <c r="B338" s="178"/>
      <c r="C338" s="143"/>
      <c r="D338" s="178"/>
      <c r="E338" s="178"/>
      <c r="F338" s="178"/>
      <c r="G338" s="178"/>
      <c r="H338" s="95" t="s">
        <v>6</v>
      </c>
      <c r="I338" s="94">
        <f t="shared" si="97"/>
        <v>0.3</v>
      </c>
      <c r="J338" s="87"/>
      <c r="K338" s="87">
        <v>0.3</v>
      </c>
      <c r="L338" s="87"/>
      <c r="M338" s="87"/>
      <c r="N338" s="87"/>
      <c r="O338" s="87"/>
      <c r="P338" s="178"/>
    </row>
    <row r="339" spans="2:17" outlineLevel="1" x14ac:dyDescent="0.2">
      <c r="B339" s="178"/>
      <c r="C339" s="143"/>
      <c r="D339" s="178"/>
      <c r="E339" s="178"/>
      <c r="F339" s="178"/>
      <c r="G339" s="178"/>
      <c r="H339" s="95" t="s">
        <v>5</v>
      </c>
      <c r="I339" s="94">
        <f t="shared" si="97"/>
        <v>0</v>
      </c>
      <c r="J339" s="87"/>
      <c r="K339" s="87"/>
      <c r="L339" s="87"/>
      <c r="M339" s="87"/>
      <c r="N339" s="87"/>
      <c r="O339" s="87"/>
      <c r="P339" s="178"/>
    </row>
    <row r="340" spans="2:17" ht="42.75" x14ac:dyDescent="0.2">
      <c r="B340" s="128" t="s">
        <v>357</v>
      </c>
      <c r="C340" s="128" t="s">
        <v>38</v>
      </c>
      <c r="D340" s="128" t="s">
        <v>38</v>
      </c>
      <c r="E340" s="128" t="s">
        <v>38</v>
      </c>
      <c r="F340" s="128" t="s">
        <v>38</v>
      </c>
      <c r="G340" s="128" t="s">
        <v>38</v>
      </c>
      <c r="H340" s="95" t="s">
        <v>3</v>
      </c>
      <c r="I340" s="14">
        <f t="shared" ref="I340:O340" si="100">SUMIF($H$332:$H$339,"Объем*",I$332:I$339)</f>
        <v>381</v>
      </c>
      <c r="J340" s="14">
        <f t="shared" si="100"/>
        <v>0</v>
      </c>
      <c r="K340" s="14">
        <f t="shared" si="100"/>
        <v>31</v>
      </c>
      <c r="L340" s="14">
        <f t="shared" si="100"/>
        <v>200</v>
      </c>
      <c r="M340" s="14">
        <f t="shared" si="100"/>
        <v>150</v>
      </c>
      <c r="N340" s="14">
        <f t="shared" si="100"/>
        <v>0</v>
      </c>
      <c r="O340" s="14">
        <f t="shared" si="100"/>
        <v>0</v>
      </c>
      <c r="P340" s="128"/>
      <c r="Q340" s="7"/>
    </row>
    <row r="341" spans="2:17" ht="15.75" x14ac:dyDescent="0.2">
      <c r="B341" s="129"/>
      <c r="C341" s="129"/>
      <c r="D341" s="129"/>
      <c r="E341" s="129"/>
      <c r="F341" s="129"/>
      <c r="G341" s="129"/>
      <c r="H341" s="95" t="s">
        <v>4</v>
      </c>
      <c r="I341" s="14">
        <f t="shared" ref="I341:O341" si="101">SUMIF($H$332:$H$339,"фед*",I$332:I$339)</f>
        <v>330.7</v>
      </c>
      <c r="J341" s="14">
        <f t="shared" si="101"/>
        <v>0</v>
      </c>
      <c r="K341" s="14">
        <f t="shared" si="101"/>
        <v>30.7</v>
      </c>
      <c r="L341" s="14">
        <f t="shared" si="101"/>
        <v>170</v>
      </c>
      <c r="M341" s="14">
        <f t="shared" si="101"/>
        <v>130</v>
      </c>
      <c r="N341" s="14">
        <f t="shared" si="101"/>
        <v>0</v>
      </c>
      <c r="O341" s="14">
        <f t="shared" si="101"/>
        <v>0</v>
      </c>
      <c r="P341" s="129"/>
    </row>
    <row r="342" spans="2:17" ht="15.75" x14ac:dyDescent="0.2">
      <c r="B342" s="129"/>
      <c r="C342" s="129"/>
      <c r="D342" s="129"/>
      <c r="E342" s="129"/>
      <c r="F342" s="129"/>
      <c r="G342" s="129"/>
      <c r="H342" s="95" t="s">
        <v>6</v>
      </c>
      <c r="I342" s="14">
        <f t="shared" ref="I342:O342" si="102">SUMIF($H$332:$H$339,"конс*",I$332:I$339)</f>
        <v>50.3</v>
      </c>
      <c r="J342" s="14">
        <f t="shared" si="102"/>
        <v>0</v>
      </c>
      <c r="K342" s="14">
        <f t="shared" si="102"/>
        <v>0.3</v>
      </c>
      <c r="L342" s="14">
        <f t="shared" si="102"/>
        <v>30</v>
      </c>
      <c r="M342" s="14">
        <f t="shared" si="102"/>
        <v>20</v>
      </c>
      <c r="N342" s="14">
        <f t="shared" si="102"/>
        <v>0</v>
      </c>
      <c r="O342" s="14">
        <f t="shared" si="102"/>
        <v>0</v>
      </c>
      <c r="P342" s="129"/>
    </row>
    <row r="343" spans="2:17" ht="15.75" x14ac:dyDescent="0.2">
      <c r="B343" s="130"/>
      <c r="C343" s="130"/>
      <c r="D343" s="130"/>
      <c r="E343" s="130"/>
      <c r="F343" s="130"/>
      <c r="G343" s="130"/>
      <c r="H343" s="95" t="s">
        <v>5</v>
      </c>
      <c r="I343" s="14">
        <f t="shared" ref="I343:O343" si="103">SUMIF($H$332:$H$339,"вне*",I$332:I$339)</f>
        <v>0</v>
      </c>
      <c r="J343" s="14">
        <f t="shared" si="103"/>
        <v>0</v>
      </c>
      <c r="K343" s="14">
        <f t="shared" si="103"/>
        <v>0</v>
      </c>
      <c r="L343" s="14">
        <f t="shared" si="103"/>
        <v>0</v>
      </c>
      <c r="M343" s="14">
        <f t="shared" si="103"/>
        <v>0</v>
      </c>
      <c r="N343" s="14">
        <f t="shared" si="103"/>
        <v>0</v>
      </c>
      <c r="O343" s="14">
        <f t="shared" si="103"/>
        <v>0</v>
      </c>
      <c r="P343" s="130"/>
    </row>
    <row r="344" spans="2:17" ht="25.5" customHeight="1" x14ac:dyDescent="0.2">
      <c r="B344" s="111" t="s">
        <v>47</v>
      </c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3"/>
    </row>
    <row r="345" spans="2:17" ht="42.75" customHeight="1" outlineLevel="1" x14ac:dyDescent="0.2">
      <c r="B345" s="117" t="s">
        <v>1128</v>
      </c>
      <c r="C345" s="128"/>
      <c r="D345" s="150" t="s">
        <v>1129</v>
      </c>
      <c r="E345" s="117">
        <v>2022</v>
      </c>
      <c r="F345" s="117" t="s">
        <v>1130</v>
      </c>
      <c r="G345" s="139" t="s">
        <v>1131</v>
      </c>
      <c r="H345" s="95" t="s">
        <v>3</v>
      </c>
      <c r="I345" s="94">
        <f>SUM(J345:O345)</f>
        <v>47.5</v>
      </c>
      <c r="J345" s="94">
        <f t="shared" ref="J345:O345" si="104">J346+J347+J348</f>
        <v>0</v>
      </c>
      <c r="K345" s="94">
        <f t="shared" si="104"/>
        <v>0</v>
      </c>
      <c r="L345" s="94">
        <f t="shared" si="104"/>
        <v>47.5</v>
      </c>
      <c r="M345" s="94">
        <f t="shared" si="104"/>
        <v>0</v>
      </c>
      <c r="N345" s="94">
        <f t="shared" si="104"/>
        <v>0</v>
      </c>
      <c r="O345" s="94">
        <f t="shared" si="104"/>
        <v>0</v>
      </c>
      <c r="P345" s="178">
        <v>824</v>
      </c>
    </row>
    <row r="346" spans="2:17" ht="17.25" customHeight="1" outlineLevel="1" x14ac:dyDescent="0.2">
      <c r="B346" s="118"/>
      <c r="C346" s="129"/>
      <c r="D346" s="151"/>
      <c r="E346" s="118"/>
      <c r="F346" s="118"/>
      <c r="G346" s="140"/>
      <c r="H346" s="95" t="s">
        <v>4</v>
      </c>
      <c r="I346" s="94">
        <f>SUM(J346:O346)</f>
        <v>45.6</v>
      </c>
      <c r="J346" s="94"/>
      <c r="K346" s="94"/>
      <c r="L346" s="87">
        <v>45.6</v>
      </c>
      <c r="M346" s="94"/>
      <c r="N346" s="94"/>
      <c r="O346" s="94"/>
      <c r="P346" s="178"/>
    </row>
    <row r="347" spans="2:17" ht="17.25" customHeight="1" outlineLevel="1" x14ac:dyDescent="0.2">
      <c r="B347" s="118"/>
      <c r="C347" s="129"/>
      <c r="D347" s="151"/>
      <c r="E347" s="118"/>
      <c r="F347" s="118"/>
      <c r="G347" s="140"/>
      <c r="H347" s="95" t="s">
        <v>6</v>
      </c>
      <c r="I347" s="94">
        <f>SUM(J347:O347)</f>
        <v>1.9</v>
      </c>
      <c r="J347" s="94"/>
      <c r="K347" s="94"/>
      <c r="L347" s="87">
        <v>1.9</v>
      </c>
      <c r="M347" s="94"/>
      <c r="N347" s="94"/>
      <c r="O347" s="94"/>
      <c r="P347" s="178"/>
    </row>
    <row r="348" spans="2:17" ht="17.25" customHeight="1" outlineLevel="1" x14ac:dyDescent="0.2">
      <c r="B348" s="119"/>
      <c r="C348" s="130"/>
      <c r="D348" s="152"/>
      <c r="E348" s="119"/>
      <c r="F348" s="119"/>
      <c r="G348" s="141"/>
      <c r="H348" s="95" t="s">
        <v>5</v>
      </c>
      <c r="I348" s="94"/>
      <c r="J348" s="87"/>
      <c r="K348" s="87"/>
      <c r="L348" s="87"/>
      <c r="M348" s="87"/>
      <c r="N348" s="87"/>
      <c r="O348" s="87"/>
      <c r="P348" s="178"/>
    </row>
    <row r="349" spans="2:17" ht="42.75" customHeight="1" outlineLevel="1" x14ac:dyDescent="0.2">
      <c r="B349" s="117" t="s">
        <v>1132</v>
      </c>
      <c r="C349" s="128"/>
      <c r="D349" s="150" t="s">
        <v>1133</v>
      </c>
      <c r="E349" s="117">
        <v>2023</v>
      </c>
      <c r="F349" s="117" t="s">
        <v>998</v>
      </c>
      <c r="G349" s="139" t="s">
        <v>1134</v>
      </c>
      <c r="H349" s="95" t="s">
        <v>3</v>
      </c>
      <c r="I349" s="94">
        <f>SUM(J349:O349)</f>
        <v>26.96</v>
      </c>
      <c r="J349" s="94">
        <f t="shared" ref="J349:O349" si="105">J350+J351+J352</f>
        <v>0</v>
      </c>
      <c r="K349" s="94">
        <f t="shared" si="105"/>
        <v>0</v>
      </c>
      <c r="L349" s="94">
        <f t="shared" si="105"/>
        <v>0</v>
      </c>
      <c r="M349" s="94">
        <f t="shared" si="105"/>
        <v>26.96</v>
      </c>
      <c r="N349" s="94">
        <f t="shared" si="105"/>
        <v>0</v>
      </c>
      <c r="O349" s="94">
        <f t="shared" si="105"/>
        <v>0</v>
      </c>
      <c r="P349" s="178">
        <v>1359</v>
      </c>
    </row>
    <row r="350" spans="2:17" ht="17.25" customHeight="1" outlineLevel="1" x14ac:dyDescent="0.2">
      <c r="B350" s="118"/>
      <c r="C350" s="129"/>
      <c r="D350" s="151"/>
      <c r="E350" s="118"/>
      <c r="F350" s="118"/>
      <c r="G350" s="140"/>
      <c r="H350" s="95" t="s">
        <v>4</v>
      </c>
      <c r="I350" s="94">
        <f>SUM(J350:O350)</f>
        <v>25.89</v>
      </c>
      <c r="J350" s="94"/>
      <c r="K350" s="94"/>
      <c r="L350" s="87"/>
      <c r="M350" s="94">
        <v>25.89</v>
      </c>
      <c r="N350" s="94"/>
      <c r="O350" s="94"/>
      <c r="P350" s="178"/>
    </row>
    <row r="351" spans="2:17" ht="17.25" customHeight="1" outlineLevel="1" x14ac:dyDescent="0.2">
      <c r="B351" s="118"/>
      <c r="C351" s="129"/>
      <c r="D351" s="151"/>
      <c r="E351" s="118"/>
      <c r="F351" s="118"/>
      <c r="G351" s="140"/>
      <c r="H351" s="95" t="s">
        <v>6</v>
      </c>
      <c r="I351" s="94">
        <f>SUM(J351:O351)</f>
        <v>1.07</v>
      </c>
      <c r="J351" s="94"/>
      <c r="K351" s="94"/>
      <c r="L351" s="87"/>
      <c r="M351" s="94">
        <v>1.07</v>
      </c>
      <c r="N351" s="94"/>
      <c r="O351" s="94"/>
      <c r="P351" s="178"/>
    </row>
    <row r="352" spans="2:17" ht="17.25" customHeight="1" outlineLevel="1" x14ac:dyDescent="0.2">
      <c r="B352" s="119"/>
      <c r="C352" s="130"/>
      <c r="D352" s="152"/>
      <c r="E352" s="119"/>
      <c r="F352" s="119"/>
      <c r="G352" s="141"/>
      <c r="H352" s="95" t="s">
        <v>5</v>
      </c>
      <c r="I352" s="94"/>
      <c r="J352" s="87"/>
      <c r="K352" s="87"/>
      <c r="L352" s="87"/>
      <c r="M352" s="87"/>
      <c r="N352" s="87"/>
      <c r="O352" s="87"/>
      <c r="P352" s="178"/>
    </row>
    <row r="353" spans="2:16" ht="42.75" customHeight="1" outlineLevel="1" x14ac:dyDescent="0.2">
      <c r="B353" s="117" t="s">
        <v>1135</v>
      </c>
      <c r="C353" s="128"/>
      <c r="D353" s="150" t="s">
        <v>1136</v>
      </c>
      <c r="E353" s="117">
        <v>2020</v>
      </c>
      <c r="F353" s="117"/>
      <c r="G353" s="139" t="s">
        <v>107</v>
      </c>
      <c r="H353" s="95" t="s">
        <v>3</v>
      </c>
      <c r="I353" s="94">
        <f>SUM(J353:O353)</f>
        <v>1</v>
      </c>
      <c r="J353" s="94">
        <f t="shared" ref="J353:O353" si="106">J354+J355+J356</f>
        <v>1</v>
      </c>
      <c r="K353" s="94">
        <f t="shared" si="106"/>
        <v>0</v>
      </c>
      <c r="L353" s="94">
        <f t="shared" si="106"/>
        <v>0</v>
      </c>
      <c r="M353" s="94">
        <f t="shared" si="106"/>
        <v>0</v>
      </c>
      <c r="N353" s="94">
        <f t="shared" si="106"/>
        <v>0</v>
      </c>
      <c r="O353" s="94">
        <f t="shared" si="106"/>
        <v>0</v>
      </c>
      <c r="P353" s="178">
        <v>363</v>
      </c>
    </row>
    <row r="354" spans="2:16" ht="17.25" customHeight="1" outlineLevel="1" x14ac:dyDescent="0.2">
      <c r="B354" s="118"/>
      <c r="C354" s="129"/>
      <c r="D354" s="151"/>
      <c r="E354" s="118"/>
      <c r="F354" s="118"/>
      <c r="G354" s="140"/>
      <c r="H354" s="95" t="s">
        <v>4</v>
      </c>
      <c r="I354" s="94">
        <f>SUM(J354:O354)</f>
        <v>0.9</v>
      </c>
      <c r="J354" s="94">
        <v>0.9</v>
      </c>
      <c r="K354" s="94"/>
      <c r="L354" s="87"/>
      <c r="M354" s="94"/>
      <c r="N354" s="94"/>
      <c r="O354" s="94"/>
      <c r="P354" s="178"/>
    </row>
    <row r="355" spans="2:16" ht="17.25" customHeight="1" outlineLevel="1" x14ac:dyDescent="0.2">
      <c r="B355" s="118"/>
      <c r="C355" s="129"/>
      <c r="D355" s="151"/>
      <c r="E355" s="118"/>
      <c r="F355" s="118"/>
      <c r="G355" s="140"/>
      <c r="H355" s="95" t="s">
        <v>6</v>
      </c>
      <c r="I355" s="94">
        <f>SUM(J355:O355)</f>
        <v>0.1</v>
      </c>
      <c r="J355" s="94">
        <v>0.1</v>
      </c>
      <c r="K355" s="94"/>
      <c r="L355" s="87"/>
      <c r="M355" s="94"/>
      <c r="N355" s="94"/>
      <c r="O355" s="94"/>
      <c r="P355" s="178"/>
    </row>
    <row r="356" spans="2:16" ht="17.25" customHeight="1" outlineLevel="1" x14ac:dyDescent="0.2">
      <c r="B356" s="119"/>
      <c r="C356" s="130"/>
      <c r="D356" s="152"/>
      <c r="E356" s="119"/>
      <c r="F356" s="119"/>
      <c r="G356" s="141"/>
      <c r="H356" s="95" t="s">
        <v>5</v>
      </c>
      <c r="I356" s="94"/>
      <c r="J356" s="87"/>
      <c r="K356" s="87"/>
      <c r="L356" s="87"/>
      <c r="M356" s="87"/>
      <c r="N356" s="87"/>
      <c r="O356" s="87"/>
      <c r="P356" s="178"/>
    </row>
    <row r="357" spans="2:16" ht="42.75" customHeight="1" outlineLevel="1" x14ac:dyDescent="0.2">
      <c r="B357" s="117" t="s">
        <v>1137</v>
      </c>
      <c r="C357" s="128"/>
      <c r="D357" s="150" t="s">
        <v>1136</v>
      </c>
      <c r="E357" s="117">
        <v>2021</v>
      </c>
      <c r="F357" s="117"/>
      <c r="G357" s="139" t="s">
        <v>107</v>
      </c>
      <c r="H357" s="95" t="s">
        <v>3</v>
      </c>
      <c r="I357" s="94">
        <f>SUM(J357:O357)</f>
        <v>3.5</v>
      </c>
      <c r="J357" s="94">
        <f t="shared" ref="J357:O357" si="107">J358+J359+J360</f>
        <v>0</v>
      </c>
      <c r="K357" s="94">
        <f t="shared" si="107"/>
        <v>3.5</v>
      </c>
      <c r="L357" s="94">
        <f t="shared" si="107"/>
        <v>0</v>
      </c>
      <c r="M357" s="94">
        <f t="shared" si="107"/>
        <v>0</v>
      </c>
      <c r="N357" s="94">
        <f t="shared" si="107"/>
        <v>0</v>
      </c>
      <c r="O357" s="94">
        <f t="shared" si="107"/>
        <v>0</v>
      </c>
      <c r="P357" s="178">
        <v>363</v>
      </c>
    </row>
    <row r="358" spans="2:16" ht="17.25" customHeight="1" outlineLevel="1" x14ac:dyDescent="0.2">
      <c r="B358" s="118"/>
      <c r="C358" s="129"/>
      <c r="D358" s="151"/>
      <c r="E358" s="118"/>
      <c r="F358" s="118"/>
      <c r="G358" s="140"/>
      <c r="H358" s="95" t="s">
        <v>4</v>
      </c>
      <c r="I358" s="94">
        <f>SUM(J358:O358)</f>
        <v>3.15</v>
      </c>
      <c r="J358" s="94"/>
      <c r="K358" s="94">
        <v>3.15</v>
      </c>
      <c r="L358" s="87"/>
      <c r="M358" s="94"/>
      <c r="N358" s="94"/>
      <c r="O358" s="94"/>
      <c r="P358" s="178"/>
    </row>
    <row r="359" spans="2:16" ht="17.25" customHeight="1" outlineLevel="1" x14ac:dyDescent="0.2">
      <c r="B359" s="118"/>
      <c r="C359" s="129"/>
      <c r="D359" s="151"/>
      <c r="E359" s="118"/>
      <c r="F359" s="118"/>
      <c r="G359" s="140"/>
      <c r="H359" s="95" t="s">
        <v>6</v>
      </c>
      <c r="I359" s="94">
        <f>SUM(J359:O359)</f>
        <v>0.35</v>
      </c>
      <c r="J359" s="94"/>
      <c r="K359" s="94">
        <v>0.35</v>
      </c>
      <c r="L359" s="87"/>
      <c r="M359" s="94"/>
      <c r="N359" s="94"/>
      <c r="O359" s="94"/>
      <c r="P359" s="178"/>
    </row>
    <row r="360" spans="2:16" ht="17.25" customHeight="1" outlineLevel="1" x14ac:dyDescent="0.2">
      <c r="B360" s="119"/>
      <c r="C360" s="130"/>
      <c r="D360" s="152"/>
      <c r="E360" s="119"/>
      <c r="F360" s="119"/>
      <c r="G360" s="141"/>
      <c r="H360" s="95" t="s">
        <v>5</v>
      </c>
      <c r="I360" s="94"/>
      <c r="J360" s="87"/>
      <c r="K360" s="87"/>
      <c r="L360" s="87"/>
      <c r="M360" s="87"/>
      <c r="N360" s="87"/>
      <c r="O360" s="87"/>
      <c r="P360" s="178"/>
    </row>
    <row r="361" spans="2:16" ht="42.75" customHeight="1" outlineLevel="1" x14ac:dyDescent="0.2">
      <c r="B361" s="117" t="s">
        <v>1138</v>
      </c>
      <c r="C361" s="128"/>
      <c r="D361" s="150" t="s">
        <v>1139</v>
      </c>
      <c r="E361" s="117">
        <v>2020</v>
      </c>
      <c r="F361" s="117"/>
      <c r="G361" s="139" t="s">
        <v>107</v>
      </c>
      <c r="H361" s="95" t="s">
        <v>3</v>
      </c>
      <c r="I361" s="94">
        <f>SUM(J361:O361)</f>
        <v>1</v>
      </c>
      <c r="J361" s="94">
        <v>1</v>
      </c>
      <c r="K361" s="94">
        <f t="shared" ref="K361:O361" si="108">K362+K363+K364</f>
        <v>0</v>
      </c>
      <c r="L361" s="94">
        <f t="shared" si="108"/>
        <v>0</v>
      </c>
      <c r="M361" s="94">
        <f t="shared" si="108"/>
        <v>0</v>
      </c>
      <c r="N361" s="94">
        <f t="shared" si="108"/>
        <v>0</v>
      </c>
      <c r="O361" s="94">
        <f t="shared" si="108"/>
        <v>0</v>
      </c>
      <c r="P361" s="178">
        <v>350</v>
      </c>
    </row>
    <row r="362" spans="2:16" ht="17.25" customHeight="1" outlineLevel="1" x14ac:dyDescent="0.2">
      <c r="B362" s="118"/>
      <c r="C362" s="129"/>
      <c r="D362" s="151"/>
      <c r="E362" s="118"/>
      <c r="F362" s="118"/>
      <c r="G362" s="140"/>
      <c r="H362" s="95" t="s">
        <v>4</v>
      </c>
      <c r="I362" s="94">
        <f>SUM(J362:O362)</f>
        <v>0.9</v>
      </c>
      <c r="J362" s="94">
        <v>0.9</v>
      </c>
      <c r="K362" s="94"/>
      <c r="L362" s="87"/>
      <c r="M362" s="94"/>
      <c r="N362" s="94"/>
      <c r="O362" s="94"/>
      <c r="P362" s="178"/>
    </row>
    <row r="363" spans="2:16" ht="17.25" customHeight="1" outlineLevel="1" x14ac:dyDescent="0.2">
      <c r="B363" s="118"/>
      <c r="C363" s="129"/>
      <c r="D363" s="151"/>
      <c r="E363" s="118"/>
      <c r="F363" s="118"/>
      <c r="G363" s="140"/>
      <c r="H363" s="95" t="s">
        <v>6</v>
      </c>
      <c r="I363" s="94">
        <f>SUM(J363:O363)</f>
        <v>0.1</v>
      </c>
      <c r="J363" s="94">
        <v>0.1</v>
      </c>
      <c r="K363" s="94"/>
      <c r="L363" s="87"/>
      <c r="M363" s="94"/>
      <c r="N363" s="94"/>
      <c r="O363" s="94"/>
      <c r="P363" s="178"/>
    </row>
    <row r="364" spans="2:16" ht="17.25" customHeight="1" outlineLevel="1" x14ac:dyDescent="0.2">
      <c r="B364" s="119"/>
      <c r="C364" s="130"/>
      <c r="D364" s="152"/>
      <c r="E364" s="119"/>
      <c r="F364" s="119"/>
      <c r="G364" s="141"/>
      <c r="H364" s="95" t="s">
        <v>5</v>
      </c>
      <c r="I364" s="94"/>
      <c r="J364" s="87"/>
      <c r="K364" s="87"/>
      <c r="L364" s="87"/>
      <c r="M364" s="87"/>
      <c r="N364" s="87"/>
      <c r="O364" s="87"/>
      <c r="P364" s="178"/>
    </row>
    <row r="365" spans="2:16" ht="42.75" customHeight="1" outlineLevel="1" x14ac:dyDescent="0.2">
      <c r="B365" s="117" t="s">
        <v>1140</v>
      </c>
      <c r="C365" s="128"/>
      <c r="D365" s="150" t="s">
        <v>1139</v>
      </c>
      <c r="E365" s="117">
        <v>2021</v>
      </c>
      <c r="F365" s="117"/>
      <c r="G365" s="139" t="s">
        <v>107</v>
      </c>
      <c r="H365" s="95" t="s">
        <v>3</v>
      </c>
      <c r="I365" s="94">
        <f>SUM(J365:O365)</f>
        <v>10</v>
      </c>
      <c r="J365" s="94">
        <f t="shared" ref="J365:O365" si="109">J366+J367+J368</f>
        <v>0</v>
      </c>
      <c r="K365" s="94">
        <v>10</v>
      </c>
      <c r="L365" s="94">
        <f t="shared" si="109"/>
        <v>0</v>
      </c>
      <c r="M365" s="94">
        <f t="shared" si="109"/>
        <v>0</v>
      </c>
      <c r="N365" s="94">
        <f t="shared" si="109"/>
        <v>0</v>
      </c>
      <c r="O365" s="94">
        <f t="shared" si="109"/>
        <v>0</v>
      </c>
      <c r="P365" s="178">
        <v>350</v>
      </c>
    </row>
    <row r="366" spans="2:16" ht="17.25" customHeight="1" outlineLevel="1" x14ac:dyDescent="0.2">
      <c r="B366" s="118"/>
      <c r="C366" s="129"/>
      <c r="D366" s="151"/>
      <c r="E366" s="118"/>
      <c r="F366" s="118"/>
      <c r="G366" s="140"/>
      <c r="H366" s="95" t="s">
        <v>4</v>
      </c>
      <c r="I366" s="94">
        <f>SUM(J366:O366)</f>
        <v>9</v>
      </c>
      <c r="J366" s="94"/>
      <c r="K366" s="94">
        <v>9</v>
      </c>
      <c r="L366" s="87"/>
      <c r="M366" s="94"/>
      <c r="N366" s="94"/>
      <c r="O366" s="94"/>
      <c r="P366" s="178"/>
    </row>
    <row r="367" spans="2:16" ht="17.25" customHeight="1" outlineLevel="1" x14ac:dyDescent="0.2">
      <c r="B367" s="118"/>
      <c r="C367" s="129"/>
      <c r="D367" s="151"/>
      <c r="E367" s="118"/>
      <c r="F367" s="118"/>
      <c r="G367" s="140"/>
      <c r="H367" s="95" t="s">
        <v>6</v>
      </c>
      <c r="I367" s="94">
        <f>SUM(J367:O367)</f>
        <v>1</v>
      </c>
      <c r="J367" s="94"/>
      <c r="K367" s="94">
        <v>1</v>
      </c>
      <c r="L367" s="87"/>
      <c r="M367" s="94"/>
      <c r="N367" s="94"/>
      <c r="O367" s="94"/>
      <c r="P367" s="178"/>
    </row>
    <row r="368" spans="2:16" ht="17.25" customHeight="1" outlineLevel="1" x14ac:dyDescent="0.2">
      <c r="B368" s="119"/>
      <c r="C368" s="130"/>
      <c r="D368" s="152"/>
      <c r="E368" s="119"/>
      <c r="F368" s="119"/>
      <c r="G368" s="141"/>
      <c r="H368" s="95" t="s">
        <v>5</v>
      </c>
      <c r="I368" s="94"/>
      <c r="J368" s="87"/>
      <c r="K368" s="87"/>
      <c r="L368" s="87"/>
      <c r="M368" s="87"/>
      <c r="N368" s="87"/>
      <c r="O368" s="87"/>
      <c r="P368" s="178"/>
    </row>
    <row r="369" spans="2:17" ht="42.75" x14ac:dyDescent="0.2">
      <c r="B369" s="128" t="s">
        <v>57</v>
      </c>
      <c r="C369" s="128" t="s">
        <v>38</v>
      </c>
      <c r="D369" s="128" t="s">
        <v>38</v>
      </c>
      <c r="E369" s="128" t="s">
        <v>38</v>
      </c>
      <c r="F369" s="128" t="s">
        <v>38</v>
      </c>
      <c r="G369" s="128" t="s">
        <v>38</v>
      </c>
      <c r="H369" s="95" t="s">
        <v>3</v>
      </c>
      <c r="I369" s="14">
        <f t="shared" ref="I369:O369" si="110">SUMIF($H$345:$H$368,"Объем*",I$345:I$368)</f>
        <v>89.960000000000008</v>
      </c>
      <c r="J369" s="14">
        <f t="shared" si="110"/>
        <v>2</v>
      </c>
      <c r="K369" s="14">
        <f t="shared" si="110"/>
        <v>13.5</v>
      </c>
      <c r="L369" s="14">
        <f t="shared" si="110"/>
        <v>47.5</v>
      </c>
      <c r="M369" s="14">
        <f t="shared" si="110"/>
        <v>26.96</v>
      </c>
      <c r="N369" s="14">
        <f t="shared" si="110"/>
        <v>0</v>
      </c>
      <c r="O369" s="14">
        <f t="shared" si="110"/>
        <v>0</v>
      </c>
      <c r="P369" s="128"/>
      <c r="Q369" s="7"/>
    </row>
    <row r="370" spans="2:17" ht="15.75" x14ac:dyDescent="0.2">
      <c r="B370" s="129"/>
      <c r="C370" s="129"/>
      <c r="D370" s="129"/>
      <c r="E370" s="129"/>
      <c r="F370" s="129"/>
      <c r="G370" s="129"/>
      <c r="H370" s="95" t="s">
        <v>4</v>
      </c>
      <c r="I370" s="14">
        <f t="shared" ref="I370:O370" si="111">SUMIF($H$345:$H$368,"фед*",I$345:I$368)</f>
        <v>85.440000000000026</v>
      </c>
      <c r="J370" s="14">
        <f t="shared" si="111"/>
        <v>1.8</v>
      </c>
      <c r="K370" s="14">
        <f t="shared" si="111"/>
        <v>12.15</v>
      </c>
      <c r="L370" s="14">
        <f t="shared" si="111"/>
        <v>45.6</v>
      </c>
      <c r="M370" s="14">
        <f t="shared" si="111"/>
        <v>25.89</v>
      </c>
      <c r="N370" s="14">
        <f t="shared" si="111"/>
        <v>0</v>
      </c>
      <c r="O370" s="14">
        <f t="shared" si="111"/>
        <v>0</v>
      </c>
      <c r="P370" s="129"/>
    </row>
    <row r="371" spans="2:17" ht="15.75" x14ac:dyDescent="0.2">
      <c r="B371" s="129"/>
      <c r="C371" s="129"/>
      <c r="D371" s="129"/>
      <c r="E371" s="129"/>
      <c r="F371" s="129"/>
      <c r="G371" s="129"/>
      <c r="H371" s="95" t="s">
        <v>6</v>
      </c>
      <c r="I371" s="14">
        <f t="shared" ref="I371:O371" si="112">SUMIF($H$345:$H$368,"конс*",I$345:I$368)</f>
        <v>4.5199999999999996</v>
      </c>
      <c r="J371" s="14">
        <f t="shared" si="112"/>
        <v>0.2</v>
      </c>
      <c r="K371" s="14">
        <f t="shared" si="112"/>
        <v>1.35</v>
      </c>
      <c r="L371" s="14">
        <f t="shared" si="112"/>
        <v>1.9</v>
      </c>
      <c r="M371" s="14">
        <f t="shared" si="112"/>
        <v>1.07</v>
      </c>
      <c r="N371" s="14">
        <f t="shared" si="112"/>
        <v>0</v>
      </c>
      <c r="O371" s="14">
        <f t="shared" si="112"/>
        <v>0</v>
      </c>
      <c r="P371" s="129"/>
    </row>
    <row r="372" spans="2:17" ht="15.75" x14ac:dyDescent="0.2">
      <c r="B372" s="130"/>
      <c r="C372" s="130"/>
      <c r="D372" s="130"/>
      <c r="E372" s="130"/>
      <c r="F372" s="130"/>
      <c r="G372" s="130"/>
      <c r="H372" s="95" t="s">
        <v>5</v>
      </c>
      <c r="I372" s="14">
        <f t="shared" ref="I372:O372" si="113">SUMIF($H$345:$H$368,"вне*",I$345:I$368)</f>
        <v>0</v>
      </c>
      <c r="J372" s="14">
        <f t="shared" si="113"/>
        <v>0</v>
      </c>
      <c r="K372" s="14">
        <f t="shared" si="113"/>
        <v>0</v>
      </c>
      <c r="L372" s="14">
        <f t="shared" si="113"/>
        <v>0</v>
      </c>
      <c r="M372" s="14">
        <f t="shared" si="113"/>
        <v>0</v>
      </c>
      <c r="N372" s="14">
        <f t="shared" si="113"/>
        <v>0</v>
      </c>
      <c r="O372" s="14">
        <f t="shared" si="113"/>
        <v>0</v>
      </c>
      <c r="P372" s="130"/>
    </row>
    <row r="373" spans="2:17" ht="25.5" customHeight="1" x14ac:dyDescent="0.2">
      <c r="B373" s="111" t="s">
        <v>409</v>
      </c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3"/>
    </row>
    <row r="374" spans="2:17" ht="42.75" outlineLevel="1" x14ac:dyDescent="0.2">
      <c r="B374" s="178" t="s">
        <v>1141</v>
      </c>
      <c r="C374" s="178"/>
      <c r="D374" s="178" t="s">
        <v>812</v>
      </c>
      <c r="E374" s="178" t="s">
        <v>171</v>
      </c>
      <c r="F374" s="178"/>
      <c r="G374" s="178" t="s">
        <v>107</v>
      </c>
      <c r="H374" s="95" t="s">
        <v>3</v>
      </c>
      <c r="I374" s="94">
        <f>SUM(J374:O374)</f>
        <v>15</v>
      </c>
      <c r="J374" s="94">
        <f t="shared" ref="J374:O374" si="114">J375+J376+J377</f>
        <v>0</v>
      </c>
      <c r="K374" s="94">
        <v>0</v>
      </c>
      <c r="L374" s="94">
        <v>0</v>
      </c>
      <c r="M374" s="94">
        <f t="shared" si="114"/>
        <v>15</v>
      </c>
      <c r="N374" s="94">
        <f t="shared" si="114"/>
        <v>0</v>
      </c>
      <c r="O374" s="94">
        <f t="shared" si="114"/>
        <v>0</v>
      </c>
      <c r="P374" s="178">
        <v>1170</v>
      </c>
    </row>
    <row r="375" spans="2:17" outlineLevel="1" x14ac:dyDescent="0.2">
      <c r="B375" s="178"/>
      <c r="C375" s="143"/>
      <c r="D375" s="178"/>
      <c r="E375" s="178"/>
      <c r="F375" s="178"/>
      <c r="G375" s="178"/>
      <c r="H375" s="95" t="s">
        <v>4</v>
      </c>
      <c r="I375" s="94">
        <f>SUM(J375:O375)</f>
        <v>14.25</v>
      </c>
      <c r="J375" s="94"/>
      <c r="K375" s="94"/>
      <c r="L375" s="94"/>
      <c r="M375" s="94">
        <v>14.25</v>
      </c>
      <c r="N375" s="94"/>
      <c r="O375" s="94"/>
      <c r="P375" s="178"/>
    </row>
    <row r="376" spans="2:17" outlineLevel="1" x14ac:dyDescent="0.2">
      <c r="B376" s="178"/>
      <c r="C376" s="143"/>
      <c r="D376" s="178"/>
      <c r="E376" s="178"/>
      <c r="F376" s="178"/>
      <c r="G376" s="178"/>
      <c r="H376" s="95" t="s">
        <v>6</v>
      </c>
      <c r="I376" s="94">
        <f>SUM(J376:O376)</f>
        <v>0.75</v>
      </c>
      <c r="J376" s="94"/>
      <c r="K376" s="94"/>
      <c r="L376" s="94"/>
      <c r="M376" s="94">
        <v>0.75</v>
      </c>
      <c r="N376" s="94"/>
      <c r="O376" s="94"/>
      <c r="P376" s="178"/>
    </row>
    <row r="377" spans="2:17" outlineLevel="1" x14ac:dyDescent="0.2">
      <c r="B377" s="178"/>
      <c r="C377" s="143"/>
      <c r="D377" s="178"/>
      <c r="E377" s="178"/>
      <c r="F377" s="178"/>
      <c r="G377" s="178"/>
      <c r="H377" s="95" t="s">
        <v>5</v>
      </c>
      <c r="I377" s="94"/>
      <c r="J377" s="94"/>
      <c r="K377" s="94"/>
      <c r="L377" s="94"/>
      <c r="M377" s="94"/>
      <c r="N377" s="94"/>
      <c r="O377" s="94"/>
      <c r="P377" s="178"/>
    </row>
    <row r="378" spans="2:17" ht="42.75" outlineLevel="1" x14ac:dyDescent="0.2">
      <c r="B378" s="178" t="s">
        <v>1142</v>
      </c>
      <c r="C378" s="178"/>
      <c r="D378" s="178" t="s">
        <v>812</v>
      </c>
      <c r="E378" s="178" t="s">
        <v>171</v>
      </c>
      <c r="F378" s="178"/>
      <c r="G378" s="178" t="s">
        <v>107</v>
      </c>
      <c r="H378" s="95" t="s">
        <v>3</v>
      </c>
      <c r="I378" s="94">
        <f>SUM(J378:O378)</f>
        <v>18</v>
      </c>
      <c r="J378" s="94">
        <f t="shared" ref="J378:O378" si="115">J379+J380+J381</f>
        <v>0</v>
      </c>
      <c r="K378" s="94">
        <f t="shared" si="115"/>
        <v>0</v>
      </c>
      <c r="L378" s="94">
        <f t="shared" si="115"/>
        <v>18</v>
      </c>
      <c r="M378" s="94">
        <f t="shared" si="115"/>
        <v>0</v>
      </c>
      <c r="N378" s="94">
        <f t="shared" si="115"/>
        <v>0</v>
      </c>
      <c r="O378" s="94">
        <f t="shared" si="115"/>
        <v>0</v>
      </c>
      <c r="P378" s="178">
        <v>612</v>
      </c>
    </row>
    <row r="379" spans="2:17" outlineLevel="1" x14ac:dyDescent="0.2">
      <c r="B379" s="178"/>
      <c r="C379" s="143"/>
      <c r="D379" s="178"/>
      <c r="E379" s="178"/>
      <c r="F379" s="178"/>
      <c r="G379" s="178"/>
      <c r="H379" s="95" t="s">
        <v>4</v>
      </c>
      <c r="I379" s="94">
        <f>SUM(J379:O379)</f>
        <v>17.100000000000001</v>
      </c>
      <c r="J379" s="94"/>
      <c r="K379" s="94"/>
      <c r="L379" s="94">
        <v>17.100000000000001</v>
      </c>
      <c r="M379" s="94"/>
      <c r="N379" s="94"/>
      <c r="O379" s="94"/>
      <c r="P379" s="178"/>
    </row>
    <row r="380" spans="2:17" outlineLevel="1" x14ac:dyDescent="0.2">
      <c r="B380" s="178"/>
      <c r="C380" s="143"/>
      <c r="D380" s="178"/>
      <c r="E380" s="178"/>
      <c r="F380" s="178"/>
      <c r="G380" s="178"/>
      <c r="H380" s="95" t="s">
        <v>6</v>
      </c>
      <c r="I380" s="94">
        <f>SUM(J380:O380)</f>
        <v>0.9</v>
      </c>
      <c r="J380" s="94"/>
      <c r="K380" s="94"/>
      <c r="L380" s="94">
        <v>0.9</v>
      </c>
      <c r="M380" s="94"/>
      <c r="N380" s="94"/>
      <c r="O380" s="94"/>
      <c r="P380" s="178"/>
    </row>
    <row r="381" spans="2:17" outlineLevel="1" x14ac:dyDescent="0.2">
      <c r="B381" s="178"/>
      <c r="C381" s="143"/>
      <c r="D381" s="178"/>
      <c r="E381" s="178"/>
      <c r="F381" s="178"/>
      <c r="G381" s="178"/>
      <c r="H381" s="95" t="s">
        <v>5</v>
      </c>
      <c r="I381" s="94"/>
      <c r="J381" s="94"/>
      <c r="K381" s="94"/>
      <c r="L381" s="94"/>
      <c r="M381" s="94"/>
      <c r="N381" s="94"/>
      <c r="O381" s="94"/>
      <c r="P381" s="178"/>
    </row>
    <row r="382" spans="2:17" ht="42.75" outlineLevel="1" x14ac:dyDescent="0.2">
      <c r="B382" s="178" t="s">
        <v>1143</v>
      </c>
      <c r="C382" s="178"/>
      <c r="D382" s="178" t="s">
        <v>812</v>
      </c>
      <c r="E382" s="178" t="s">
        <v>171</v>
      </c>
      <c r="F382" s="178"/>
      <c r="G382" s="178" t="s">
        <v>107</v>
      </c>
      <c r="H382" s="95" t="s">
        <v>3</v>
      </c>
      <c r="I382" s="94">
        <f>SUM(J382:O382)</f>
        <v>10</v>
      </c>
      <c r="J382" s="94">
        <f t="shared" ref="J382" si="116">J383+J384+J385</f>
        <v>0</v>
      </c>
      <c r="K382" s="94">
        <v>0</v>
      </c>
      <c r="L382" s="94">
        <v>0</v>
      </c>
      <c r="M382" s="94">
        <f t="shared" ref="M382:O382" si="117">M383+M384+M385</f>
        <v>10</v>
      </c>
      <c r="N382" s="94">
        <f t="shared" si="117"/>
        <v>0</v>
      </c>
      <c r="O382" s="94">
        <f t="shared" si="117"/>
        <v>0</v>
      </c>
      <c r="P382" s="178">
        <v>1194</v>
      </c>
    </row>
    <row r="383" spans="2:17" outlineLevel="1" x14ac:dyDescent="0.2">
      <c r="B383" s="178"/>
      <c r="C383" s="143"/>
      <c r="D383" s="178"/>
      <c r="E383" s="178"/>
      <c r="F383" s="178"/>
      <c r="G383" s="178"/>
      <c r="H383" s="95" t="s">
        <v>4</v>
      </c>
      <c r="I383" s="94">
        <f>SUM(J383:O383)</f>
        <v>9.5</v>
      </c>
      <c r="J383" s="94"/>
      <c r="K383" s="94"/>
      <c r="L383" s="94"/>
      <c r="M383" s="94">
        <v>9.5</v>
      </c>
      <c r="N383" s="94"/>
      <c r="O383" s="94"/>
      <c r="P383" s="178"/>
    </row>
    <row r="384" spans="2:17" outlineLevel="1" x14ac:dyDescent="0.2">
      <c r="B384" s="178"/>
      <c r="C384" s="143"/>
      <c r="D384" s="178"/>
      <c r="E384" s="178"/>
      <c r="F384" s="178"/>
      <c r="G384" s="178"/>
      <c r="H384" s="95" t="s">
        <v>6</v>
      </c>
      <c r="I384" s="94">
        <f>SUM(J384:O384)</f>
        <v>0.5</v>
      </c>
      <c r="J384" s="94"/>
      <c r="K384" s="94"/>
      <c r="L384" s="94"/>
      <c r="M384" s="94">
        <v>0.5</v>
      </c>
      <c r="N384" s="94"/>
      <c r="O384" s="94"/>
      <c r="P384" s="178"/>
    </row>
    <row r="385" spans="2:17" outlineLevel="1" x14ac:dyDescent="0.2">
      <c r="B385" s="178"/>
      <c r="C385" s="143"/>
      <c r="D385" s="178"/>
      <c r="E385" s="178"/>
      <c r="F385" s="178"/>
      <c r="G385" s="178"/>
      <c r="H385" s="95" t="s">
        <v>5</v>
      </c>
      <c r="I385" s="94"/>
      <c r="J385" s="94"/>
      <c r="K385" s="94"/>
      <c r="L385" s="94"/>
      <c r="M385" s="94"/>
      <c r="N385" s="94"/>
      <c r="O385" s="94"/>
      <c r="P385" s="178"/>
    </row>
    <row r="386" spans="2:17" ht="42.75" outlineLevel="1" x14ac:dyDescent="0.2">
      <c r="B386" s="178" t="s">
        <v>1144</v>
      </c>
      <c r="C386" s="178"/>
      <c r="D386" s="178" t="s">
        <v>1145</v>
      </c>
      <c r="E386" s="178">
        <v>2023</v>
      </c>
      <c r="F386" s="178"/>
      <c r="G386" s="178" t="s">
        <v>107</v>
      </c>
      <c r="H386" s="95" t="s">
        <v>3</v>
      </c>
      <c r="I386" s="94">
        <f>SUM(J386:O386)</f>
        <v>35</v>
      </c>
      <c r="J386" s="94">
        <f t="shared" ref="J386:O386" si="118">J387+J388+J389</f>
        <v>0</v>
      </c>
      <c r="K386" s="94">
        <f t="shared" si="118"/>
        <v>35</v>
      </c>
      <c r="L386" s="94">
        <f t="shared" si="118"/>
        <v>0</v>
      </c>
      <c r="M386" s="94">
        <f t="shared" si="118"/>
        <v>0</v>
      </c>
      <c r="N386" s="94">
        <f t="shared" si="118"/>
        <v>0</v>
      </c>
      <c r="O386" s="94">
        <f t="shared" si="118"/>
        <v>0</v>
      </c>
      <c r="P386" s="178">
        <v>1577</v>
      </c>
    </row>
    <row r="387" spans="2:17" outlineLevel="1" x14ac:dyDescent="0.2">
      <c r="B387" s="178"/>
      <c r="C387" s="143"/>
      <c r="D387" s="178"/>
      <c r="E387" s="178"/>
      <c r="F387" s="178"/>
      <c r="G387" s="178"/>
      <c r="H387" s="95" t="s">
        <v>4</v>
      </c>
      <c r="I387" s="94">
        <f>SUM(J387:O387)</f>
        <v>33</v>
      </c>
      <c r="J387" s="94"/>
      <c r="K387" s="94">
        <v>33</v>
      </c>
      <c r="L387" s="94"/>
      <c r="M387" s="94"/>
      <c r="N387" s="94"/>
      <c r="O387" s="94"/>
      <c r="P387" s="178"/>
    </row>
    <row r="388" spans="2:17" outlineLevel="1" x14ac:dyDescent="0.2">
      <c r="B388" s="178"/>
      <c r="C388" s="143"/>
      <c r="D388" s="178"/>
      <c r="E388" s="178"/>
      <c r="F388" s="178"/>
      <c r="G388" s="178"/>
      <c r="H388" s="95" t="s">
        <v>6</v>
      </c>
      <c r="I388" s="94">
        <f>SUM(J388:O388)</f>
        <v>2</v>
      </c>
      <c r="J388" s="94"/>
      <c r="K388" s="94">
        <v>2</v>
      </c>
      <c r="L388" s="94"/>
      <c r="M388" s="94"/>
      <c r="N388" s="94"/>
      <c r="O388" s="94"/>
      <c r="P388" s="178"/>
    </row>
    <row r="389" spans="2:17" outlineLevel="1" x14ac:dyDescent="0.2">
      <c r="B389" s="178"/>
      <c r="C389" s="143"/>
      <c r="D389" s="178"/>
      <c r="E389" s="178"/>
      <c r="F389" s="178"/>
      <c r="G389" s="178"/>
      <c r="H389" s="95" t="s">
        <v>5</v>
      </c>
      <c r="I389" s="94"/>
      <c r="J389" s="94"/>
      <c r="K389" s="94"/>
      <c r="L389" s="94"/>
      <c r="M389" s="94"/>
      <c r="N389" s="94"/>
      <c r="O389" s="94"/>
      <c r="P389" s="178"/>
    </row>
    <row r="390" spans="2:17" ht="42.75" x14ac:dyDescent="0.2">
      <c r="B390" s="128" t="s">
        <v>414</v>
      </c>
      <c r="C390" s="128" t="s">
        <v>38</v>
      </c>
      <c r="D390" s="128" t="s">
        <v>38</v>
      </c>
      <c r="E390" s="128" t="s">
        <v>38</v>
      </c>
      <c r="F390" s="128" t="s">
        <v>38</v>
      </c>
      <c r="G390" s="128" t="s">
        <v>38</v>
      </c>
      <c r="H390" s="95" t="s">
        <v>3</v>
      </c>
      <c r="I390" s="14">
        <f t="shared" ref="I390:O390" si="119">SUMIF($H$374:$H$389,"Объем*",I$374:I$389)</f>
        <v>78</v>
      </c>
      <c r="J390" s="14">
        <f t="shared" si="119"/>
        <v>0</v>
      </c>
      <c r="K390" s="14">
        <f t="shared" si="119"/>
        <v>35</v>
      </c>
      <c r="L390" s="14">
        <f t="shared" si="119"/>
        <v>18</v>
      </c>
      <c r="M390" s="14">
        <f t="shared" si="119"/>
        <v>25</v>
      </c>
      <c r="N390" s="14">
        <f t="shared" si="119"/>
        <v>0</v>
      </c>
      <c r="O390" s="14">
        <f t="shared" si="119"/>
        <v>0</v>
      </c>
      <c r="P390" s="128"/>
      <c r="Q390" s="7"/>
    </row>
    <row r="391" spans="2:17" ht="15.75" x14ac:dyDescent="0.2">
      <c r="B391" s="129"/>
      <c r="C391" s="129"/>
      <c r="D391" s="129"/>
      <c r="E391" s="129"/>
      <c r="F391" s="129"/>
      <c r="G391" s="129"/>
      <c r="H391" s="95" t="s">
        <v>4</v>
      </c>
      <c r="I391" s="14">
        <f t="shared" ref="I391:O391" si="120">SUMIF($H$374:$H$389,"фед*",I$374:I$389)</f>
        <v>73.849999999999994</v>
      </c>
      <c r="J391" s="14">
        <f t="shared" si="120"/>
        <v>0</v>
      </c>
      <c r="K391" s="14">
        <f t="shared" si="120"/>
        <v>33</v>
      </c>
      <c r="L391" s="14">
        <f t="shared" si="120"/>
        <v>17.100000000000001</v>
      </c>
      <c r="M391" s="14">
        <f t="shared" si="120"/>
        <v>23.75</v>
      </c>
      <c r="N391" s="14">
        <f t="shared" si="120"/>
        <v>0</v>
      </c>
      <c r="O391" s="14">
        <f t="shared" si="120"/>
        <v>0</v>
      </c>
      <c r="P391" s="129"/>
    </row>
    <row r="392" spans="2:17" ht="15.75" x14ac:dyDescent="0.2">
      <c r="B392" s="129"/>
      <c r="C392" s="129"/>
      <c r="D392" s="129"/>
      <c r="E392" s="129"/>
      <c r="F392" s="129"/>
      <c r="G392" s="129"/>
      <c r="H392" s="95" t="s">
        <v>6</v>
      </c>
      <c r="I392" s="14">
        <f t="shared" ref="I392:O392" si="121">SUMIF($H$374:$H$389,"конс*",I$374:I$389)</f>
        <v>4.1500000000000004</v>
      </c>
      <c r="J392" s="14">
        <f t="shared" si="121"/>
        <v>0</v>
      </c>
      <c r="K392" s="14">
        <f t="shared" si="121"/>
        <v>2</v>
      </c>
      <c r="L392" s="14">
        <f t="shared" si="121"/>
        <v>0.9</v>
      </c>
      <c r="M392" s="14">
        <f t="shared" si="121"/>
        <v>1.25</v>
      </c>
      <c r="N392" s="14">
        <f t="shared" si="121"/>
        <v>0</v>
      </c>
      <c r="O392" s="14">
        <f t="shared" si="121"/>
        <v>0</v>
      </c>
      <c r="P392" s="129"/>
    </row>
    <row r="393" spans="2:17" ht="15.75" x14ac:dyDescent="0.2">
      <c r="B393" s="130"/>
      <c r="C393" s="130"/>
      <c r="D393" s="130"/>
      <c r="E393" s="130"/>
      <c r="F393" s="130"/>
      <c r="G393" s="130"/>
      <c r="H393" s="95" t="s">
        <v>5</v>
      </c>
      <c r="I393" s="14">
        <f t="shared" ref="I393:O393" si="122">SUMIF($H$374:$H$389,"вне*",I$374:I$389)</f>
        <v>0</v>
      </c>
      <c r="J393" s="14">
        <f t="shared" si="122"/>
        <v>0</v>
      </c>
      <c r="K393" s="14">
        <f t="shared" si="122"/>
        <v>0</v>
      </c>
      <c r="L393" s="14">
        <f t="shared" si="122"/>
        <v>0</v>
      </c>
      <c r="M393" s="14">
        <f t="shared" si="122"/>
        <v>0</v>
      </c>
      <c r="N393" s="14">
        <f t="shared" si="122"/>
        <v>0</v>
      </c>
      <c r="O393" s="14">
        <f t="shared" si="122"/>
        <v>0</v>
      </c>
      <c r="P393" s="130"/>
    </row>
    <row r="394" spans="2:17" ht="25.5" customHeight="1" x14ac:dyDescent="0.2">
      <c r="B394" s="111" t="s">
        <v>58</v>
      </c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3"/>
    </row>
    <row r="395" spans="2:17" ht="42.75" outlineLevel="1" x14ac:dyDescent="0.2">
      <c r="B395" s="117" t="s">
        <v>1146</v>
      </c>
      <c r="C395" s="117" t="s">
        <v>1147</v>
      </c>
      <c r="D395" s="117" t="s">
        <v>418</v>
      </c>
      <c r="E395" s="117" t="s">
        <v>61</v>
      </c>
      <c r="F395" s="117" t="s">
        <v>1148</v>
      </c>
      <c r="G395" s="117" t="s">
        <v>1149</v>
      </c>
      <c r="H395" s="95" t="s">
        <v>3</v>
      </c>
      <c r="I395" s="94">
        <f t="shared" ref="I395:I422" si="123">SUM(J395:O395)</f>
        <v>250</v>
      </c>
      <c r="J395" s="96"/>
      <c r="K395" s="96">
        <v>2</v>
      </c>
      <c r="L395" s="96">
        <v>248</v>
      </c>
      <c r="M395" s="96"/>
      <c r="N395" s="96"/>
      <c r="O395" s="96"/>
      <c r="P395" s="117"/>
      <c r="Q395" s="7"/>
    </row>
    <row r="396" spans="2:17" outlineLevel="1" x14ac:dyDescent="0.2">
      <c r="B396" s="118"/>
      <c r="C396" s="132"/>
      <c r="D396" s="118"/>
      <c r="E396" s="118"/>
      <c r="F396" s="118"/>
      <c r="G396" s="118"/>
      <c r="H396" s="95" t="s">
        <v>4</v>
      </c>
      <c r="I396" s="94">
        <f t="shared" si="123"/>
        <v>100</v>
      </c>
      <c r="J396" s="96"/>
      <c r="K396" s="96"/>
      <c r="L396" s="96">
        <v>100</v>
      </c>
      <c r="M396" s="96"/>
      <c r="N396" s="96"/>
      <c r="O396" s="96"/>
      <c r="P396" s="118"/>
      <c r="Q396" s="7"/>
    </row>
    <row r="397" spans="2:17" outlineLevel="1" x14ac:dyDescent="0.2">
      <c r="B397" s="118"/>
      <c r="C397" s="132"/>
      <c r="D397" s="118"/>
      <c r="E397" s="118"/>
      <c r="F397" s="118"/>
      <c r="G397" s="118"/>
      <c r="H397" s="95" t="s">
        <v>6</v>
      </c>
      <c r="I397" s="94">
        <f t="shared" si="123"/>
        <v>150</v>
      </c>
      <c r="J397" s="96"/>
      <c r="K397" s="96">
        <v>2</v>
      </c>
      <c r="L397" s="96">
        <v>148</v>
      </c>
      <c r="M397" s="96"/>
      <c r="N397" s="96"/>
      <c r="O397" s="96"/>
      <c r="P397" s="118"/>
      <c r="Q397" s="7"/>
    </row>
    <row r="398" spans="2:17" outlineLevel="1" x14ac:dyDescent="0.2">
      <c r="B398" s="119"/>
      <c r="C398" s="133"/>
      <c r="D398" s="119"/>
      <c r="E398" s="119"/>
      <c r="F398" s="119"/>
      <c r="G398" s="119"/>
      <c r="H398" s="95" t="s">
        <v>5</v>
      </c>
      <c r="I398" s="94">
        <f t="shared" si="123"/>
        <v>0</v>
      </c>
      <c r="J398" s="96"/>
      <c r="K398" s="96"/>
      <c r="L398" s="96"/>
      <c r="M398" s="96"/>
      <c r="N398" s="96"/>
      <c r="O398" s="96"/>
      <c r="P398" s="119"/>
      <c r="Q398" s="7"/>
    </row>
    <row r="399" spans="2:17" ht="42.75" outlineLevel="1" x14ac:dyDescent="0.2">
      <c r="B399" s="117" t="s">
        <v>1150</v>
      </c>
      <c r="C399" s="117" t="s">
        <v>1147</v>
      </c>
      <c r="D399" s="117" t="s">
        <v>58</v>
      </c>
      <c r="E399" s="117">
        <v>2020</v>
      </c>
      <c r="F399" s="117"/>
      <c r="G399" s="117" t="s">
        <v>1149</v>
      </c>
      <c r="H399" s="95" t="s">
        <v>3</v>
      </c>
      <c r="I399" s="94">
        <f t="shared" si="123"/>
        <v>10.5</v>
      </c>
      <c r="J399" s="96">
        <v>2.8</v>
      </c>
      <c r="K399" s="96">
        <v>7.7</v>
      </c>
      <c r="L399" s="96"/>
      <c r="M399" s="96"/>
      <c r="N399" s="96"/>
      <c r="O399" s="96"/>
      <c r="P399" s="117"/>
      <c r="Q399" s="7"/>
    </row>
    <row r="400" spans="2:17" outlineLevel="1" x14ac:dyDescent="0.2">
      <c r="B400" s="118"/>
      <c r="C400" s="132"/>
      <c r="D400" s="118"/>
      <c r="E400" s="118"/>
      <c r="F400" s="118"/>
      <c r="G400" s="118"/>
      <c r="H400" s="95" t="s">
        <v>4</v>
      </c>
      <c r="I400" s="94">
        <f t="shared" si="123"/>
        <v>0</v>
      </c>
      <c r="J400" s="96"/>
      <c r="K400" s="96"/>
      <c r="L400" s="96"/>
      <c r="M400" s="96"/>
      <c r="N400" s="96"/>
      <c r="O400" s="96"/>
      <c r="P400" s="118"/>
      <c r="Q400" s="7"/>
    </row>
    <row r="401" spans="2:17" outlineLevel="1" x14ac:dyDescent="0.2">
      <c r="B401" s="118"/>
      <c r="C401" s="132"/>
      <c r="D401" s="118"/>
      <c r="E401" s="118"/>
      <c r="F401" s="118"/>
      <c r="G401" s="118"/>
      <c r="H401" s="95" t="s">
        <v>6</v>
      </c>
      <c r="I401" s="94">
        <f t="shared" si="123"/>
        <v>10.5</v>
      </c>
      <c r="J401" s="96">
        <v>2.8</v>
      </c>
      <c r="K401" s="96">
        <v>7.7</v>
      </c>
      <c r="L401" s="96"/>
      <c r="M401" s="96"/>
      <c r="N401" s="96"/>
      <c r="O401" s="96"/>
      <c r="P401" s="118"/>
      <c r="Q401" s="7"/>
    </row>
    <row r="402" spans="2:17" outlineLevel="1" x14ac:dyDescent="0.2">
      <c r="B402" s="119"/>
      <c r="C402" s="133"/>
      <c r="D402" s="119"/>
      <c r="E402" s="119"/>
      <c r="F402" s="119"/>
      <c r="G402" s="119"/>
      <c r="H402" s="95" t="s">
        <v>5</v>
      </c>
      <c r="I402" s="94">
        <f t="shared" si="123"/>
        <v>0</v>
      </c>
      <c r="J402" s="96"/>
      <c r="K402" s="96"/>
      <c r="L402" s="96"/>
      <c r="M402" s="96"/>
      <c r="N402" s="96"/>
      <c r="O402" s="96"/>
      <c r="P402" s="119"/>
      <c r="Q402" s="7"/>
    </row>
    <row r="403" spans="2:17" ht="42.75" outlineLevel="1" x14ac:dyDescent="0.2">
      <c r="B403" s="117" t="s">
        <v>1151</v>
      </c>
      <c r="C403" s="117" t="s">
        <v>1147</v>
      </c>
      <c r="D403" s="117" t="s">
        <v>58</v>
      </c>
      <c r="E403" s="117">
        <v>2021</v>
      </c>
      <c r="F403" s="117" t="s">
        <v>1026</v>
      </c>
      <c r="G403" s="117" t="s">
        <v>1152</v>
      </c>
      <c r="H403" s="95" t="s">
        <v>3</v>
      </c>
      <c r="I403" s="94">
        <f t="shared" si="123"/>
        <v>16.5</v>
      </c>
      <c r="J403" s="96"/>
      <c r="K403" s="96">
        <v>16.5</v>
      </c>
      <c r="L403" s="96"/>
      <c r="M403" s="96"/>
      <c r="N403" s="96"/>
      <c r="O403" s="96"/>
      <c r="P403" s="117"/>
      <c r="Q403" s="7"/>
    </row>
    <row r="404" spans="2:17" outlineLevel="1" x14ac:dyDescent="0.2">
      <c r="B404" s="118"/>
      <c r="C404" s="132"/>
      <c r="D404" s="118"/>
      <c r="E404" s="118"/>
      <c r="F404" s="118"/>
      <c r="G404" s="118"/>
      <c r="H404" s="95" t="s">
        <v>4</v>
      </c>
      <c r="I404" s="94">
        <f t="shared" si="123"/>
        <v>0</v>
      </c>
      <c r="J404" s="96"/>
      <c r="K404" s="96"/>
      <c r="L404" s="96"/>
      <c r="M404" s="96"/>
      <c r="N404" s="96"/>
      <c r="O404" s="96"/>
      <c r="P404" s="118"/>
      <c r="Q404" s="7"/>
    </row>
    <row r="405" spans="2:17" outlineLevel="1" x14ac:dyDescent="0.2">
      <c r="B405" s="118"/>
      <c r="C405" s="132"/>
      <c r="D405" s="118"/>
      <c r="E405" s="118"/>
      <c r="F405" s="118"/>
      <c r="G405" s="118"/>
      <c r="H405" s="95" t="s">
        <v>6</v>
      </c>
      <c r="I405" s="94">
        <f t="shared" si="123"/>
        <v>16.5</v>
      </c>
      <c r="J405" s="96"/>
      <c r="K405" s="96">
        <v>16.5</v>
      </c>
      <c r="L405" s="96"/>
      <c r="M405" s="96"/>
      <c r="N405" s="96"/>
      <c r="O405" s="96"/>
      <c r="P405" s="118"/>
      <c r="Q405" s="7"/>
    </row>
    <row r="406" spans="2:17" outlineLevel="1" x14ac:dyDescent="0.2">
      <c r="B406" s="119"/>
      <c r="C406" s="133"/>
      <c r="D406" s="119"/>
      <c r="E406" s="119"/>
      <c r="F406" s="119"/>
      <c r="G406" s="119"/>
      <c r="H406" s="95" t="s">
        <v>5</v>
      </c>
      <c r="I406" s="94">
        <f t="shared" si="123"/>
        <v>0</v>
      </c>
      <c r="J406" s="96"/>
      <c r="K406" s="96"/>
      <c r="L406" s="96"/>
      <c r="M406" s="96"/>
      <c r="N406" s="96"/>
      <c r="O406" s="96"/>
      <c r="P406" s="119"/>
      <c r="Q406" s="7"/>
    </row>
    <row r="407" spans="2:17" ht="42.75" customHeight="1" outlineLevel="1" x14ac:dyDescent="0.2">
      <c r="B407" s="117" t="s">
        <v>1153</v>
      </c>
      <c r="C407" s="117" t="s">
        <v>1147</v>
      </c>
      <c r="D407" s="117" t="s">
        <v>58</v>
      </c>
      <c r="E407" s="117">
        <v>2022</v>
      </c>
      <c r="F407" s="117" t="s">
        <v>1026</v>
      </c>
      <c r="G407" s="117" t="s">
        <v>1149</v>
      </c>
      <c r="H407" s="95" t="s">
        <v>3</v>
      </c>
      <c r="I407" s="94">
        <f t="shared" si="123"/>
        <v>17.2</v>
      </c>
      <c r="J407" s="96"/>
      <c r="K407" s="96"/>
      <c r="L407" s="96">
        <v>17.2</v>
      </c>
      <c r="M407" s="96"/>
      <c r="N407" s="96"/>
      <c r="O407" s="96"/>
      <c r="P407" s="117"/>
      <c r="Q407" s="7"/>
    </row>
    <row r="408" spans="2:17" outlineLevel="1" x14ac:dyDescent="0.2">
      <c r="B408" s="118"/>
      <c r="C408" s="132"/>
      <c r="D408" s="118"/>
      <c r="E408" s="118"/>
      <c r="F408" s="118"/>
      <c r="G408" s="118"/>
      <c r="H408" s="95" t="s">
        <v>4</v>
      </c>
      <c r="I408" s="94">
        <f t="shared" si="123"/>
        <v>0</v>
      </c>
      <c r="J408" s="96"/>
      <c r="K408" s="96"/>
      <c r="L408" s="96"/>
      <c r="M408" s="96"/>
      <c r="N408" s="96"/>
      <c r="O408" s="96"/>
      <c r="P408" s="118"/>
      <c r="Q408" s="7"/>
    </row>
    <row r="409" spans="2:17" outlineLevel="1" x14ac:dyDescent="0.2">
      <c r="B409" s="118"/>
      <c r="C409" s="132"/>
      <c r="D409" s="118"/>
      <c r="E409" s="118"/>
      <c r="F409" s="118"/>
      <c r="G409" s="118"/>
      <c r="H409" s="95" t="s">
        <v>6</v>
      </c>
      <c r="I409" s="94">
        <f t="shared" si="123"/>
        <v>17.2</v>
      </c>
      <c r="J409" s="96"/>
      <c r="K409" s="96"/>
      <c r="L409" s="96">
        <v>17.2</v>
      </c>
      <c r="M409" s="96"/>
      <c r="N409" s="96"/>
      <c r="O409" s="96"/>
      <c r="P409" s="118"/>
      <c r="Q409" s="7"/>
    </row>
    <row r="410" spans="2:17" outlineLevel="1" x14ac:dyDescent="0.2">
      <c r="B410" s="119"/>
      <c r="C410" s="133"/>
      <c r="D410" s="119"/>
      <c r="E410" s="119"/>
      <c r="F410" s="119"/>
      <c r="G410" s="119"/>
      <c r="H410" s="95" t="s">
        <v>5</v>
      </c>
      <c r="I410" s="94">
        <f t="shared" si="123"/>
        <v>0</v>
      </c>
      <c r="J410" s="96"/>
      <c r="K410" s="96"/>
      <c r="L410" s="96"/>
      <c r="M410" s="96"/>
      <c r="N410" s="96"/>
      <c r="O410" s="96"/>
      <c r="P410" s="119"/>
      <c r="Q410" s="7"/>
    </row>
    <row r="411" spans="2:17" ht="42.75" outlineLevel="1" x14ac:dyDescent="0.2">
      <c r="B411" s="117" t="s">
        <v>1154</v>
      </c>
      <c r="C411" s="117" t="s">
        <v>1147</v>
      </c>
      <c r="D411" s="117" t="s">
        <v>58</v>
      </c>
      <c r="E411" s="117">
        <v>2023</v>
      </c>
      <c r="F411" s="117" t="s">
        <v>1026</v>
      </c>
      <c r="G411" s="117" t="s">
        <v>1149</v>
      </c>
      <c r="H411" s="95" t="s">
        <v>3</v>
      </c>
      <c r="I411" s="94">
        <f t="shared" si="123"/>
        <v>18</v>
      </c>
      <c r="J411" s="96">
        <f t="shared" ref="J411:O411" si="124">SUM(J412:J414)</f>
        <v>0</v>
      </c>
      <c r="K411" s="96">
        <f t="shared" si="124"/>
        <v>0</v>
      </c>
      <c r="L411" s="96">
        <f t="shared" si="124"/>
        <v>0</v>
      </c>
      <c r="M411" s="96">
        <f t="shared" si="124"/>
        <v>18</v>
      </c>
      <c r="N411" s="96">
        <f t="shared" si="124"/>
        <v>0</v>
      </c>
      <c r="O411" s="96">
        <f t="shared" si="124"/>
        <v>0</v>
      </c>
      <c r="P411" s="117"/>
      <c r="Q411" s="7"/>
    </row>
    <row r="412" spans="2:17" outlineLevel="1" x14ac:dyDescent="0.2">
      <c r="B412" s="118"/>
      <c r="C412" s="132"/>
      <c r="D412" s="118"/>
      <c r="E412" s="118"/>
      <c r="F412" s="118"/>
      <c r="G412" s="118"/>
      <c r="H412" s="95" t="s">
        <v>4</v>
      </c>
      <c r="I412" s="94">
        <f t="shared" si="123"/>
        <v>0</v>
      </c>
      <c r="J412" s="96"/>
      <c r="K412" s="96"/>
      <c r="L412" s="96"/>
      <c r="M412" s="96"/>
      <c r="N412" s="96"/>
      <c r="O412" s="96"/>
      <c r="P412" s="118"/>
      <c r="Q412" s="7"/>
    </row>
    <row r="413" spans="2:17" outlineLevel="1" x14ac:dyDescent="0.2">
      <c r="B413" s="118"/>
      <c r="C413" s="132"/>
      <c r="D413" s="118"/>
      <c r="E413" s="118"/>
      <c r="F413" s="118"/>
      <c r="G413" s="118"/>
      <c r="H413" s="95" t="s">
        <v>6</v>
      </c>
      <c r="I413" s="94">
        <f t="shared" si="123"/>
        <v>18</v>
      </c>
      <c r="J413" s="96"/>
      <c r="K413" s="96"/>
      <c r="L413" s="96"/>
      <c r="M413" s="96">
        <v>18</v>
      </c>
      <c r="N413" s="96"/>
      <c r="O413" s="96"/>
      <c r="P413" s="118"/>
      <c r="Q413" s="7"/>
    </row>
    <row r="414" spans="2:17" outlineLevel="1" x14ac:dyDescent="0.2">
      <c r="B414" s="119"/>
      <c r="C414" s="133"/>
      <c r="D414" s="119"/>
      <c r="E414" s="119"/>
      <c r="F414" s="119"/>
      <c r="G414" s="119"/>
      <c r="H414" s="95" t="s">
        <v>5</v>
      </c>
      <c r="I414" s="94">
        <f t="shared" si="123"/>
        <v>0</v>
      </c>
      <c r="J414" s="96"/>
      <c r="K414" s="96"/>
      <c r="L414" s="96"/>
      <c r="M414" s="96"/>
      <c r="N414" s="96"/>
      <c r="O414" s="96"/>
      <c r="P414" s="119"/>
      <c r="Q414" s="7"/>
    </row>
    <row r="415" spans="2:17" ht="42.75" customHeight="1" outlineLevel="1" x14ac:dyDescent="0.2">
      <c r="B415" s="117" t="s">
        <v>1155</v>
      </c>
      <c r="C415" s="117" t="s">
        <v>1147</v>
      </c>
      <c r="D415" s="117" t="s">
        <v>58</v>
      </c>
      <c r="E415" s="117">
        <v>2024</v>
      </c>
      <c r="F415" s="117" t="s">
        <v>1026</v>
      </c>
      <c r="G415" s="117" t="s">
        <v>1149</v>
      </c>
      <c r="H415" s="95" t="s">
        <v>3</v>
      </c>
      <c r="I415" s="94">
        <f t="shared" si="123"/>
        <v>18.5</v>
      </c>
      <c r="J415" s="96"/>
      <c r="K415" s="96"/>
      <c r="L415" s="96"/>
      <c r="M415" s="96"/>
      <c r="N415" s="96">
        <v>18.5</v>
      </c>
      <c r="O415" s="96"/>
      <c r="P415" s="117"/>
      <c r="Q415" s="7"/>
    </row>
    <row r="416" spans="2:17" outlineLevel="1" x14ac:dyDescent="0.2">
      <c r="B416" s="118"/>
      <c r="C416" s="132"/>
      <c r="D416" s="118"/>
      <c r="E416" s="118"/>
      <c r="F416" s="118"/>
      <c r="G416" s="118"/>
      <c r="H416" s="95" t="s">
        <v>4</v>
      </c>
      <c r="I416" s="94">
        <f t="shared" si="123"/>
        <v>0</v>
      </c>
      <c r="J416" s="96"/>
      <c r="K416" s="96"/>
      <c r="L416" s="96"/>
      <c r="M416" s="96"/>
      <c r="N416" s="96"/>
      <c r="O416" s="96"/>
      <c r="P416" s="118"/>
      <c r="Q416" s="7"/>
    </row>
    <row r="417" spans="2:17" outlineLevel="1" x14ac:dyDescent="0.2">
      <c r="B417" s="118"/>
      <c r="C417" s="132"/>
      <c r="D417" s="118"/>
      <c r="E417" s="118"/>
      <c r="F417" s="118"/>
      <c r="G417" s="118"/>
      <c r="H417" s="95" t="s">
        <v>6</v>
      </c>
      <c r="I417" s="94">
        <f t="shared" si="123"/>
        <v>18.5</v>
      </c>
      <c r="J417" s="96"/>
      <c r="K417" s="96"/>
      <c r="L417" s="96"/>
      <c r="M417" s="96"/>
      <c r="N417" s="96">
        <v>18.5</v>
      </c>
      <c r="O417" s="96"/>
      <c r="P417" s="118"/>
      <c r="Q417" s="7"/>
    </row>
    <row r="418" spans="2:17" outlineLevel="1" x14ac:dyDescent="0.2">
      <c r="B418" s="119"/>
      <c r="C418" s="133"/>
      <c r="D418" s="119"/>
      <c r="E418" s="119"/>
      <c r="F418" s="119"/>
      <c r="G418" s="119"/>
      <c r="H418" s="95" t="s">
        <v>5</v>
      </c>
      <c r="I418" s="94">
        <f t="shared" si="123"/>
        <v>0</v>
      </c>
      <c r="J418" s="96"/>
      <c r="K418" s="96"/>
      <c r="L418" s="96"/>
      <c r="M418" s="96"/>
      <c r="N418" s="96"/>
      <c r="O418" s="96"/>
      <c r="P418" s="119"/>
      <c r="Q418" s="7"/>
    </row>
    <row r="419" spans="2:17" ht="42.75" customHeight="1" outlineLevel="1" x14ac:dyDescent="0.2">
      <c r="B419" s="117" t="s">
        <v>1156</v>
      </c>
      <c r="C419" s="117" t="s">
        <v>1147</v>
      </c>
      <c r="D419" s="117" t="s">
        <v>58</v>
      </c>
      <c r="E419" s="117">
        <v>2025</v>
      </c>
      <c r="F419" s="117" t="s">
        <v>1026</v>
      </c>
      <c r="G419" s="117" t="s">
        <v>1149</v>
      </c>
      <c r="H419" s="95" t="s">
        <v>3</v>
      </c>
      <c r="I419" s="94">
        <f t="shared" si="123"/>
        <v>18.5</v>
      </c>
      <c r="J419" s="96"/>
      <c r="K419" s="96"/>
      <c r="L419" s="96"/>
      <c r="M419" s="96"/>
      <c r="N419" s="96">
        <v>18.5</v>
      </c>
      <c r="O419" s="96"/>
      <c r="P419" s="117"/>
      <c r="Q419" s="7"/>
    </row>
    <row r="420" spans="2:17" outlineLevel="1" x14ac:dyDescent="0.2">
      <c r="B420" s="118"/>
      <c r="C420" s="132"/>
      <c r="D420" s="118"/>
      <c r="E420" s="118"/>
      <c r="F420" s="118"/>
      <c r="G420" s="118"/>
      <c r="H420" s="95" t="s">
        <v>4</v>
      </c>
      <c r="I420" s="94">
        <f t="shared" si="123"/>
        <v>0</v>
      </c>
      <c r="J420" s="96"/>
      <c r="K420" s="96"/>
      <c r="L420" s="96"/>
      <c r="M420" s="96"/>
      <c r="N420" s="96"/>
      <c r="O420" s="96"/>
      <c r="P420" s="118"/>
      <c r="Q420" s="7"/>
    </row>
    <row r="421" spans="2:17" outlineLevel="1" x14ac:dyDescent="0.2">
      <c r="B421" s="118"/>
      <c r="C421" s="132"/>
      <c r="D421" s="118"/>
      <c r="E421" s="118"/>
      <c r="F421" s="118"/>
      <c r="G421" s="118"/>
      <c r="H421" s="95" t="s">
        <v>6</v>
      </c>
      <c r="I421" s="94">
        <f t="shared" si="123"/>
        <v>18.5</v>
      </c>
      <c r="J421" s="96"/>
      <c r="K421" s="96"/>
      <c r="L421" s="96"/>
      <c r="M421" s="96"/>
      <c r="N421" s="96">
        <v>18.5</v>
      </c>
      <c r="O421" s="96"/>
      <c r="P421" s="118"/>
      <c r="Q421" s="7"/>
    </row>
    <row r="422" spans="2:17" outlineLevel="1" x14ac:dyDescent="0.2">
      <c r="B422" s="119"/>
      <c r="C422" s="133"/>
      <c r="D422" s="119"/>
      <c r="E422" s="119"/>
      <c r="F422" s="119"/>
      <c r="G422" s="119"/>
      <c r="H422" s="95" t="s">
        <v>5</v>
      </c>
      <c r="I422" s="94">
        <f t="shared" si="123"/>
        <v>0</v>
      </c>
      <c r="J422" s="96"/>
      <c r="K422" s="96"/>
      <c r="L422" s="96"/>
      <c r="M422" s="96"/>
      <c r="N422" s="96"/>
      <c r="O422" s="96"/>
      <c r="P422" s="119"/>
      <c r="Q422" s="7"/>
    </row>
    <row r="423" spans="2:17" ht="42.75" x14ac:dyDescent="0.2">
      <c r="B423" s="128" t="s">
        <v>64</v>
      </c>
      <c r="C423" s="128" t="s">
        <v>38</v>
      </c>
      <c r="D423" s="128" t="s">
        <v>38</v>
      </c>
      <c r="E423" s="128" t="s">
        <v>38</v>
      </c>
      <c r="F423" s="128" t="s">
        <v>38</v>
      </c>
      <c r="G423" s="128" t="s">
        <v>38</v>
      </c>
      <c r="H423" s="95" t="s">
        <v>3</v>
      </c>
      <c r="I423" s="14">
        <f t="shared" ref="I423:O423" si="125">SUMIF($H$395:$H$422,"Объем*",I$395:I$422)</f>
        <v>349.2</v>
      </c>
      <c r="J423" s="14">
        <f t="shared" si="125"/>
        <v>2.8</v>
      </c>
      <c r="K423" s="14">
        <f t="shared" si="125"/>
        <v>26.2</v>
      </c>
      <c r="L423" s="14">
        <f t="shared" si="125"/>
        <v>265.2</v>
      </c>
      <c r="M423" s="14">
        <f t="shared" si="125"/>
        <v>18</v>
      </c>
      <c r="N423" s="14">
        <f t="shared" si="125"/>
        <v>37</v>
      </c>
      <c r="O423" s="14">
        <f t="shared" si="125"/>
        <v>0</v>
      </c>
      <c r="P423" s="128"/>
      <c r="Q423" s="7"/>
    </row>
    <row r="424" spans="2:17" ht="15.75" x14ac:dyDescent="0.2">
      <c r="B424" s="129"/>
      <c r="C424" s="129"/>
      <c r="D424" s="129"/>
      <c r="E424" s="129"/>
      <c r="F424" s="129"/>
      <c r="G424" s="129"/>
      <c r="H424" s="95" t="s">
        <v>4</v>
      </c>
      <c r="I424" s="14">
        <f t="shared" ref="I424:O424" si="126">SUMIF($H$395:$H$422,"фед*",I$395:I$422)</f>
        <v>100</v>
      </c>
      <c r="J424" s="14">
        <f t="shared" si="126"/>
        <v>0</v>
      </c>
      <c r="K424" s="14">
        <f t="shared" si="126"/>
        <v>0</v>
      </c>
      <c r="L424" s="14">
        <f t="shared" si="126"/>
        <v>100</v>
      </c>
      <c r="M424" s="14">
        <f t="shared" si="126"/>
        <v>0</v>
      </c>
      <c r="N424" s="14">
        <f t="shared" si="126"/>
        <v>0</v>
      </c>
      <c r="O424" s="14">
        <f t="shared" si="126"/>
        <v>0</v>
      </c>
      <c r="P424" s="129"/>
      <c r="Q424" s="7"/>
    </row>
    <row r="425" spans="2:17" ht="15.75" x14ac:dyDescent="0.2">
      <c r="B425" s="129"/>
      <c r="C425" s="129"/>
      <c r="D425" s="129"/>
      <c r="E425" s="129"/>
      <c r="F425" s="129"/>
      <c r="G425" s="129"/>
      <c r="H425" s="95" t="s">
        <v>6</v>
      </c>
      <c r="I425" s="14">
        <f t="shared" ref="I425:O425" si="127">SUMIF($H$395:$H$422,"конс*",I$395:I$422)</f>
        <v>249.2</v>
      </c>
      <c r="J425" s="14">
        <f t="shared" si="127"/>
        <v>2.8</v>
      </c>
      <c r="K425" s="14">
        <f t="shared" si="127"/>
        <v>26.2</v>
      </c>
      <c r="L425" s="14">
        <f t="shared" si="127"/>
        <v>165.2</v>
      </c>
      <c r="M425" s="14">
        <f t="shared" si="127"/>
        <v>18</v>
      </c>
      <c r="N425" s="14">
        <f t="shared" si="127"/>
        <v>37</v>
      </c>
      <c r="O425" s="14">
        <f t="shared" si="127"/>
        <v>0</v>
      </c>
      <c r="P425" s="129"/>
      <c r="Q425" s="7"/>
    </row>
    <row r="426" spans="2:17" ht="15.75" x14ac:dyDescent="0.2">
      <c r="B426" s="130"/>
      <c r="C426" s="130"/>
      <c r="D426" s="130"/>
      <c r="E426" s="130"/>
      <c r="F426" s="130"/>
      <c r="G426" s="130"/>
      <c r="H426" s="95" t="s">
        <v>5</v>
      </c>
      <c r="I426" s="14">
        <f t="shared" ref="I426:O426" si="128">SUMIF($H$395:$H$422,"вне*",I$395:I$422)</f>
        <v>0</v>
      </c>
      <c r="J426" s="14">
        <f t="shared" si="128"/>
        <v>0</v>
      </c>
      <c r="K426" s="14">
        <f t="shared" si="128"/>
        <v>0</v>
      </c>
      <c r="L426" s="14">
        <f t="shared" si="128"/>
        <v>0</v>
      </c>
      <c r="M426" s="14">
        <f t="shared" si="128"/>
        <v>0</v>
      </c>
      <c r="N426" s="14">
        <f t="shared" si="128"/>
        <v>0</v>
      </c>
      <c r="O426" s="14">
        <f t="shared" si="128"/>
        <v>0</v>
      </c>
      <c r="P426" s="130"/>
      <c r="Q426" s="7"/>
    </row>
    <row r="427" spans="2:17" ht="25.5" customHeight="1" x14ac:dyDescent="0.2">
      <c r="B427" s="111" t="s">
        <v>430</v>
      </c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3"/>
    </row>
    <row r="428" spans="2:17" ht="42.75" outlineLevel="1" x14ac:dyDescent="0.2">
      <c r="B428" s="178" t="s">
        <v>1157</v>
      </c>
      <c r="C428" s="178" t="s">
        <v>1004</v>
      </c>
      <c r="D428" s="178" t="s">
        <v>846</v>
      </c>
      <c r="E428" s="178">
        <v>2020</v>
      </c>
      <c r="F428" s="178" t="s">
        <v>1052</v>
      </c>
      <c r="G428" s="178" t="s">
        <v>138</v>
      </c>
      <c r="H428" s="95" t="s">
        <v>3</v>
      </c>
      <c r="I428" s="94">
        <f t="shared" ref="I428:I467" si="129">SUM(J428:O428)</f>
        <v>26.2</v>
      </c>
      <c r="J428" s="94">
        <f t="shared" ref="J428:O428" si="130">J429+J430+J431</f>
        <v>26.2</v>
      </c>
      <c r="K428" s="94">
        <f t="shared" si="130"/>
        <v>0</v>
      </c>
      <c r="L428" s="94">
        <f t="shared" si="130"/>
        <v>0</v>
      </c>
      <c r="M428" s="94">
        <f t="shared" si="130"/>
        <v>0</v>
      </c>
      <c r="N428" s="94">
        <f t="shared" si="130"/>
        <v>0</v>
      </c>
      <c r="O428" s="94">
        <f t="shared" si="130"/>
        <v>0</v>
      </c>
      <c r="P428" s="178"/>
    </row>
    <row r="429" spans="2:17" outlineLevel="1" x14ac:dyDescent="0.2">
      <c r="B429" s="178"/>
      <c r="C429" s="143"/>
      <c r="D429" s="178"/>
      <c r="E429" s="178"/>
      <c r="F429" s="178"/>
      <c r="G429" s="178"/>
      <c r="H429" s="95" t="s">
        <v>4</v>
      </c>
      <c r="I429" s="94">
        <f t="shared" si="129"/>
        <v>26</v>
      </c>
      <c r="J429" s="87">
        <v>26</v>
      </c>
      <c r="K429" s="87"/>
      <c r="L429" s="87"/>
      <c r="M429" s="87"/>
      <c r="N429" s="87"/>
      <c r="O429" s="87"/>
      <c r="P429" s="178"/>
    </row>
    <row r="430" spans="2:17" outlineLevel="1" x14ac:dyDescent="0.2">
      <c r="B430" s="178"/>
      <c r="C430" s="143"/>
      <c r="D430" s="178"/>
      <c r="E430" s="178"/>
      <c r="F430" s="178"/>
      <c r="G430" s="178"/>
      <c r="H430" s="95" t="s">
        <v>6</v>
      </c>
      <c r="I430" s="94">
        <f t="shared" si="129"/>
        <v>0.2</v>
      </c>
      <c r="J430" s="87">
        <v>0.2</v>
      </c>
      <c r="K430" s="87"/>
      <c r="L430" s="87"/>
      <c r="M430" s="87"/>
      <c r="N430" s="87"/>
      <c r="O430" s="87"/>
      <c r="P430" s="178"/>
    </row>
    <row r="431" spans="2:17" outlineLevel="1" x14ac:dyDescent="0.2">
      <c r="B431" s="178"/>
      <c r="C431" s="143"/>
      <c r="D431" s="178"/>
      <c r="E431" s="178"/>
      <c r="F431" s="178"/>
      <c r="G431" s="178"/>
      <c r="H431" s="95" t="s">
        <v>5</v>
      </c>
      <c r="I431" s="94">
        <f t="shared" si="129"/>
        <v>0</v>
      </c>
      <c r="J431" s="87"/>
      <c r="K431" s="87"/>
      <c r="L431" s="87"/>
      <c r="M431" s="87"/>
      <c r="N431" s="87"/>
      <c r="O431" s="87"/>
      <c r="P431" s="178"/>
    </row>
    <row r="432" spans="2:17" ht="42.75" outlineLevel="1" x14ac:dyDescent="0.2">
      <c r="B432" s="178" t="s">
        <v>1158</v>
      </c>
      <c r="C432" s="178"/>
      <c r="D432" s="178" t="s">
        <v>430</v>
      </c>
      <c r="E432" s="178">
        <v>2023</v>
      </c>
      <c r="F432" s="178"/>
      <c r="G432" s="178"/>
      <c r="H432" s="95" t="s">
        <v>3</v>
      </c>
      <c r="I432" s="94">
        <f t="shared" si="129"/>
        <v>32</v>
      </c>
      <c r="J432" s="94">
        <f t="shared" ref="J432:O432" si="131">J433+J434+J435</f>
        <v>0</v>
      </c>
      <c r="K432" s="94">
        <f t="shared" si="131"/>
        <v>0</v>
      </c>
      <c r="L432" s="94">
        <f t="shared" si="131"/>
        <v>0</v>
      </c>
      <c r="M432" s="94">
        <f t="shared" si="131"/>
        <v>32</v>
      </c>
      <c r="N432" s="94">
        <f t="shared" si="131"/>
        <v>0</v>
      </c>
      <c r="O432" s="94">
        <f t="shared" si="131"/>
        <v>0</v>
      </c>
      <c r="P432" s="178"/>
    </row>
    <row r="433" spans="2:16" outlineLevel="1" x14ac:dyDescent="0.2">
      <c r="B433" s="178"/>
      <c r="C433" s="143"/>
      <c r="D433" s="178"/>
      <c r="E433" s="178"/>
      <c r="F433" s="178"/>
      <c r="G433" s="178"/>
      <c r="H433" s="95" t="s">
        <v>4</v>
      </c>
      <c r="I433" s="94">
        <f t="shared" si="129"/>
        <v>0</v>
      </c>
      <c r="J433" s="87"/>
      <c r="K433" s="87"/>
      <c r="L433" s="87"/>
      <c r="M433" s="87"/>
      <c r="N433" s="87"/>
      <c r="O433" s="87"/>
      <c r="P433" s="178"/>
    </row>
    <row r="434" spans="2:16" outlineLevel="1" x14ac:dyDescent="0.2">
      <c r="B434" s="178"/>
      <c r="C434" s="143"/>
      <c r="D434" s="178"/>
      <c r="E434" s="178"/>
      <c r="F434" s="178"/>
      <c r="G434" s="178"/>
      <c r="H434" s="95" t="s">
        <v>6</v>
      </c>
      <c r="I434" s="94">
        <f t="shared" si="129"/>
        <v>32</v>
      </c>
      <c r="J434" s="87"/>
      <c r="K434" s="87"/>
      <c r="L434" s="87"/>
      <c r="M434" s="87">
        <v>32</v>
      </c>
      <c r="N434" s="87"/>
      <c r="O434" s="87"/>
      <c r="P434" s="178"/>
    </row>
    <row r="435" spans="2:16" outlineLevel="1" x14ac:dyDescent="0.2">
      <c r="B435" s="178"/>
      <c r="C435" s="143"/>
      <c r="D435" s="178"/>
      <c r="E435" s="178"/>
      <c r="F435" s="178"/>
      <c r="G435" s="178"/>
      <c r="H435" s="95" t="s">
        <v>5</v>
      </c>
      <c r="I435" s="94">
        <f t="shared" si="129"/>
        <v>0</v>
      </c>
      <c r="J435" s="87"/>
      <c r="K435" s="87"/>
      <c r="L435" s="87"/>
      <c r="M435" s="87"/>
      <c r="N435" s="87"/>
      <c r="O435" s="87"/>
      <c r="P435" s="178"/>
    </row>
    <row r="436" spans="2:16" ht="42.75" outlineLevel="1" x14ac:dyDescent="0.2">
      <c r="B436" s="178" t="s">
        <v>1159</v>
      </c>
      <c r="C436" s="178"/>
      <c r="D436" s="178" t="s">
        <v>430</v>
      </c>
      <c r="E436" s="178">
        <v>2023</v>
      </c>
      <c r="F436" s="178"/>
      <c r="G436" s="178"/>
      <c r="H436" s="95" t="s">
        <v>3</v>
      </c>
      <c r="I436" s="94">
        <f t="shared" si="129"/>
        <v>23</v>
      </c>
      <c r="J436" s="94">
        <f t="shared" ref="J436:O436" si="132">J437+J438+J439</f>
        <v>0</v>
      </c>
      <c r="K436" s="94">
        <f t="shared" si="132"/>
        <v>0</v>
      </c>
      <c r="L436" s="94">
        <f t="shared" si="132"/>
        <v>0</v>
      </c>
      <c r="M436" s="94">
        <f t="shared" si="132"/>
        <v>23</v>
      </c>
      <c r="N436" s="94">
        <f t="shared" si="132"/>
        <v>0</v>
      </c>
      <c r="O436" s="94">
        <f t="shared" si="132"/>
        <v>0</v>
      </c>
      <c r="P436" s="178"/>
    </row>
    <row r="437" spans="2:16" outlineLevel="1" x14ac:dyDescent="0.2">
      <c r="B437" s="178"/>
      <c r="C437" s="143"/>
      <c r="D437" s="178"/>
      <c r="E437" s="178"/>
      <c r="F437" s="178"/>
      <c r="G437" s="178"/>
      <c r="H437" s="95" t="s">
        <v>4</v>
      </c>
      <c r="I437" s="94">
        <f t="shared" si="129"/>
        <v>0</v>
      </c>
      <c r="J437" s="87"/>
      <c r="K437" s="87"/>
      <c r="L437" s="87"/>
      <c r="M437" s="87"/>
      <c r="N437" s="87"/>
      <c r="O437" s="87"/>
      <c r="P437" s="178"/>
    </row>
    <row r="438" spans="2:16" outlineLevel="1" x14ac:dyDescent="0.2">
      <c r="B438" s="178"/>
      <c r="C438" s="143"/>
      <c r="D438" s="178"/>
      <c r="E438" s="178"/>
      <c r="F438" s="178"/>
      <c r="G438" s="178"/>
      <c r="H438" s="95" t="s">
        <v>6</v>
      </c>
      <c r="I438" s="94">
        <f t="shared" si="129"/>
        <v>23</v>
      </c>
      <c r="J438" s="87"/>
      <c r="K438" s="87"/>
      <c r="L438" s="87"/>
      <c r="M438" s="87">
        <v>23</v>
      </c>
      <c r="N438" s="87"/>
      <c r="O438" s="87"/>
      <c r="P438" s="178"/>
    </row>
    <row r="439" spans="2:16" outlineLevel="1" x14ac:dyDescent="0.2">
      <c r="B439" s="178"/>
      <c r="C439" s="143"/>
      <c r="D439" s="178"/>
      <c r="E439" s="178"/>
      <c r="F439" s="178"/>
      <c r="G439" s="178"/>
      <c r="H439" s="95" t="s">
        <v>5</v>
      </c>
      <c r="I439" s="94">
        <f t="shared" si="129"/>
        <v>0</v>
      </c>
      <c r="J439" s="87"/>
      <c r="K439" s="87"/>
      <c r="L439" s="87"/>
      <c r="M439" s="87"/>
      <c r="N439" s="87"/>
      <c r="O439" s="87"/>
      <c r="P439" s="178"/>
    </row>
    <row r="440" spans="2:16" ht="42.75" outlineLevel="1" x14ac:dyDescent="0.2">
      <c r="B440" s="178" t="s">
        <v>1160</v>
      </c>
      <c r="C440" s="178"/>
      <c r="D440" s="178" t="s">
        <v>430</v>
      </c>
      <c r="E440" s="178">
        <v>2023</v>
      </c>
      <c r="F440" s="178"/>
      <c r="G440" s="178"/>
      <c r="H440" s="95" t="s">
        <v>3</v>
      </c>
      <c r="I440" s="94">
        <f t="shared" si="129"/>
        <v>2</v>
      </c>
      <c r="J440" s="94">
        <f t="shared" ref="J440:O440" si="133">J441+J442+J443</f>
        <v>0</v>
      </c>
      <c r="K440" s="94">
        <f t="shared" si="133"/>
        <v>0</v>
      </c>
      <c r="L440" s="94">
        <f t="shared" si="133"/>
        <v>0</v>
      </c>
      <c r="M440" s="94">
        <f t="shared" si="133"/>
        <v>2</v>
      </c>
      <c r="N440" s="94">
        <f t="shared" si="133"/>
        <v>0</v>
      </c>
      <c r="O440" s="94">
        <f t="shared" si="133"/>
        <v>0</v>
      </c>
      <c r="P440" s="178"/>
    </row>
    <row r="441" spans="2:16" outlineLevel="1" x14ac:dyDescent="0.2">
      <c r="B441" s="178"/>
      <c r="C441" s="143"/>
      <c r="D441" s="178"/>
      <c r="E441" s="178"/>
      <c r="F441" s="178"/>
      <c r="G441" s="178"/>
      <c r="H441" s="95" t="s">
        <v>4</v>
      </c>
      <c r="I441" s="94">
        <f t="shared" si="129"/>
        <v>0</v>
      </c>
      <c r="J441" s="87"/>
      <c r="K441" s="87"/>
      <c r="L441" s="87"/>
      <c r="M441" s="87"/>
      <c r="N441" s="87"/>
      <c r="O441" s="87"/>
      <c r="P441" s="178"/>
    </row>
    <row r="442" spans="2:16" outlineLevel="1" x14ac:dyDescent="0.2">
      <c r="B442" s="178"/>
      <c r="C442" s="143"/>
      <c r="D442" s="178"/>
      <c r="E442" s="178"/>
      <c r="F442" s="178"/>
      <c r="G442" s="178"/>
      <c r="H442" s="95" t="s">
        <v>6</v>
      </c>
      <c r="I442" s="94">
        <f t="shared" si="129"/>
        <v>2</v>
      </c>
      <c r="J442" s="87"/>
      <c r="K442" s="87"/>
      <c r="L442" s="87"/>
      <c r="M442" s="87">
        <v>2</v>
      </c>
      <c r="N442" s="87"/>
      <c r="O442" s="87"/>
      <c r="P442" s="178"/>
    </row>
    <row r="443" spans="2:16" outlineLevel="1" x14ac:dyDescent="0.2">
      <c r="B443" s="178"/>
      <c r="C443" s="143"/>
      <c r="D443" s="178"/>
      <c r="E443" s="178"/>
      <c r="F443" s="178"/>
      <c r="G443" s="178"/>
      <c r="H443" s="95" t="s">
        <v>5</v>
      </c>
      <c r="I443" s="94">
        <f t="shared" si="129"/>
        <v>0</v>
      </c>
      <c r="J443" s="87"/>
      <c r="K443" s="87"/>
      <c r="L443" s="87"/>
      <c r="M443" s="87"/>
      <c r="N443" s="87"/>
      <c r="O443" s="87"/>
      <c r="P443" s="178"/>
    </row>
    <row r="444" spans="2:16" ht="42.75" outlineLevel="1" x14ac:dyDescent="0.2">
      <c r="B444" s="178" t="s">
        <v>1161</v>
      </c>
      <c r="C444" s="178"/>
      <c r="D444" s="178" t="s">
        <v>430</v>
      </c>
      <c r="E444" s="178">
        <v>2024</v>
      </c>
      <c r="F444" s="178"/>
      <c r="G444" s="178"/>
      <c r="H444" s="95" t="s">
        <v>3</v>
      </c>
      <c r="I444" s="94">
        <f t="shared" si="129"/>
        <v>15</v>
      </c>
      <c r="J444" s="94">
        <f t="shared" ref="J444:O444" si="134">J445+J446+J447</f>
        <v>0</v>
      </c>
      <c r="K444" s="94">
        <f t="shared" si="134"/>
        <v>0</v>
      </c>
      <c r="L444" s="94">
        <f t="shared" si="134"/>
        <v>0</v>
      </c>
      <c r="M444" s="94">
        <f t="shared" si="134"/>
        <v>0</v>
      </c>
      <c r="N444" s="94">
        <f t="shared" si="134"/>
        <v>15</v>
      </c>
      <c r="O444" s="94">
        <f t="shared" si="134"/>
        <v>0</v>
      </c>
      <c r="P444" s="178"/>
    </row>
    <row r="445" spans="2:16" outlineLevel="1" x14ac:dyDescent="0.2">
      <c r="B445" s="178"/>
      <c r="C445" s="143"/>
      <c r="D445" s="178"/>
      <c r="E445" s="178"/>
      <c r="F445" s="178"/>
      <c r="G445" s="178"/>
      <c r="H445" s="95" t="s">
        <v>4</v>
      </c>
      <c r="I445" s="94">
        <f t="shared" si="129"/>
        <v>0</v>
      </c>
      <c r="J445" s="87"/>
      <c r="K445" s="87"/>
      <c r="L445" s="87"/>
      <c r="M445" s="87"/>
      <c r="N445" s="87"/>
      <c r="O445" s="87"/>
      <c r="P445" s="178"/>
    </row>
    <row r="446" spans="2:16" outlineLevel="1" x14ac:dyDescent="0.2">
      <c r="B446" s="178"/>
      <c r="C446" s="143"/>
      <c r="D446" s="178"/>
      <c r="E446" s="178"/>
      <c r="F446" s="178"/>
      <c r="G446" s="178"/>
      <c r="H446" s="95" t="s">
        <v>6</v>
      </c>
      <c r="I446" s="94">
        <f t="shared" si="129"/>
        <v>15</v>
      </c>
      <c r="J446" s="87"/>
      <c r="K446" s="87"/>
      <c r="L446" s="87"/>
      <c r="M446" s="87"/>
      <c r="N446" s="87">
        <v>15</v>
      </c>
      <c r="O446" s="87"/>
      <c r="P446" s="178"/>
    </row>
    <row r="447" spans="2:16" outlineLevel="1" x14ac:dyDescent="0.2">
      <c r="B447" s="178"/>
      <c r="C447" s="143"/>
      <c r="D447" s="178"/>
      <c r="E447" s="178"/>
      <c r="F447" s="178"/>
      <c r="G447" s="178"/>
      <c r="H447" s="95" t="s">
        <v>5</v>
      </c>
      <c r="I447" s="94">
        <f t="shared" si="129"/>
        <v>0</v>
      </c>
      <c r="J447" s="87"/>
      <c r="K447" s="87"/>
      <c r="L447" s="87"/>
      <c r="M447" s="87"/>
      <c r="N447" s="87"/>
      <c r="O447" s="87"/>
      <c r="P447" s="178"/>
    </row>
    <row r="448" spans="2:16" ht="42.75" outlineLevel="1" x14ac:dyDescent="0.2">
      <c r="B448" s="178" t="s">
        <v>1162</v>
      </c>
      <c r="C448" s="178"/>
      <c r="D448" s="178" t="s">
        <v>430</v>
      </c>
      <c r="E448" s="178">
        <v>2024</v>
      </c>
      <c r="F448" s="178"/>
      <c r="G448" s="178"/>
      <c r="H448" s="95" t="s">
        <v>3</v>
      </c>
      <c r="I448" s="94">
        <f t="shared" si="129"/>
        <v>15</v>
      </c>
      <c r="J448" s="94">
        <f t="shared" ref="J448:O448" si="135">J449+J450+J451</f>
        <v>0</v>
      </c>
      <c r="K448" s="94">
        <f t="shared" si="135"/>
        <v>0</v>
      </c>
      <c r="L448" s="94">
        <f t="shared" si="135"/>
        <v>0</v>
      </c>
      <c r="M448" s="94">
        <f t="shared" si="135"/>
        <v>0</v>
      </c>
      <c r="N448" s="94">
        <f t="shared" si="135"/>
        <v>15</v>
      </c>
      <c r="O448" s="94">
        <f t="shared" si="135"/>
        <v>0</v>
      </c>
      <c r="P448" s="178"/>
    </row>
    <row r="449" spans="2:16" outlineLevel="1" x14ac:dyDescent="0.2">
      <c r="B449" s="178"/>
      <c r="C449" s="143"/>
      <c r="D449" s="178"/>
      <c r="E449" s="178"/>
      <c r="F449" s="178"/>
      <c r="G449" s="178"/>
      <c r="H449" s="95" t="s">
        <v>4</v>
      </c>
      <c r="I449" s="94">
        <f t="shared" si="129"/>
        <v>0</v>
      </c>
      <c r="J449" s="87"/>
      <c r="K449" s="87"/>
      <c r="L449" s="87"/>
      <c r="M449" s="87"/>
      <c r="N449" s="87"/>
      <c r="O449" s="87"/>
      <c r="P449" s="178"/>
    </row>
    <row r="450" spans="2:16" outlineLevel="1" x14ac:dyDescent="0.2">
      <c r="B450" s="178"/>
      <c r="C450" s="143"/>
      <c r="D450" s="178"/>
      <c r="E450" s="178"/>
      <c r="F450" s="178"/>
      <c r="G450" s="178"/>
      <c r="H450" s="95" t="s">
        <v>6</v>
      </c>
      <c r="I450" s="94">
        <f t="shared" si="129"/>
        <v>15</v>
      </c>
      <c r="J450" s="87"/>
      <c r="K450" s="87"/>
      <c r="L450" s="87"/>
      <c r="M450" s="87"/>
      <c r="N450" s="87">
        <v>15</v>
      </c>
      <c r="O450" s="87"/>
      <c r="P450" s="178"/>
    </row>
    <row r="451" spans="2:16" outlineLevel="1" x14ac:dyDescent="0.2">
      <c r="B451" s="178"/>
      <c r="C451" s="143"/>
      <c r="D451" s="178"/>
      <c r="E451" s="178"/>
      <c r="F451" s="178"/>
      <c r="G451" s="178"/>
      <c r="H451" s="95" t="s">
        <v>5</v>
      </c>
      <c r="I451" s="94">
        <f t="shared" si="129"/>
        <v>0</v>
      </c>
      <c r="J451" s="87"/>
      <c r="K451" s="87"/>
      <c r="L451" s="87"/>
      <c r="M451" s="87"/>
      <c r="N451" s="87"/>
      <c r="O451" s="87"/>
      <c r="P451" s="178"/>
    </row>
    <row r="452" spans="2:16" ht="42.75" outlineLevel="1" x14ac:dyDescent="0.2">
      <c r="B452" s="178" t="s">
        <v>1163</v>
      </c>
      <c r="C452" s="178"/>
      <c r="D452" s="178" t="s">
        <v>430</v>
      </c>
      <c r="E452" s="178">
        <v>2024</v>
      </c>
      <c r="F452" s="178"/>
      <c r="G452" s="178"/>
      <c r="H452" s="95" t="s">
        <v>3</v>
      </c>
      <c r="I452" s="94">
        <f t="shared" si="129"/>
        <v>15</v>
      </c>
      <c r="J452" s="94">
        <f t="shared" ref="J452:O452" si="136">J453+J454+J455</f>
        <v>0</v>
      </c>
      <c r="K452" s="94">
        <f t="shared" si="136"/>
        <v>0</v>
      </c>
      <c r="L452" s="94">
        <f t="shared" si="136"/>
        <v>0</v>
      </c>
      <c r="M452" s="94">
        <f t="shared" si="136"/>
        <v>0</v>
      </c>
      <c r="N452" s="94">
        <f t="shared" si="136"/>
        <v>15</v>
      </c>
      <c r="O452" s="94">
        <f t="shared" si="136"/>
        <v>0</v>
      </c>
      <c r="P452" s="178"/>
    </row>
    <row r="453" spans="2:16" outlineLevel="1" x14ac:dyDescent="0.2">
      <c r="B453" s="178"/>
      <c r="C453" s="143"/>
      <c r="D453" s="178"/>
      <c r="E453" s="178"/>
      <c r="F453" s="178"/>
      <c r="G453" s="178"/>
      <c r="H453" s="95" t="s">
        <v>4</v>
      </c>
      <c r="I453" s="94">
        <f t="shared" si="129"/>
        <v>0</v>
      </c>
      <c r="J453" s="87"/>
      <c r="K453" s="87"/>
      <c r="L453" s="87"/>
      <c r="M453" s="87"/>
      <c r="N453" s="87"/>
      <c r="O453" s="87"/>
      <c r="P453" s="178"/>
    </row>
    <row r="454" spans="2:16" outlineLevel="1" x14ac:dyDescent="0.2">
      <c r="B454" s="178"/>
      <c r="C454" s="143"/>
      <c r="D454" s="178"/>
      <c r="E454" s="178"/>
      <c r="F454" s="178"/>
      <c r="G454" s="178"/>
      <c r="H454" s="95" t="s">
        <v>6</v>
      </c>
      <c r="I454" s="94">
        <f t="shared" si="129"/>
        <v>15</v>
      </c>
      <c r="J454" s="87"/>
      <c r="K454" s="87"/>
      <c r="L454" s="87"/>
      <c r="M454" s="87"/>
      <c r="N454" s="87">
        <v>15</v>
      </c>
      <c r="O454" s="87"/>
      <c r="P454" s="178"/>
    </row>
    <row r="455" spans="2:16" outlineLevel="1" x14ac:dyDescent="0.2">
      <c r="B455" s="178"/>
      <c r="C455" s="143"/>
      <c r="D455" s="178"/>
      <c r="E455" s="178"/>
      <c r="F455" s="178"/>
      <c r="G455" s="178"/>
      <c r="H455" s="95" t="s">
        <v>5</v>
      </c>
      <c r="I455" s="94">
        <f t="shared" si="129"/>
        <v>0</v>
      </c>
      <c r="J455" s="87"/>
      <c r="K455" s="87"/>
      <c r="L455" s="87"/>
      <c r="M455" s="87"/>
      <c r="N455" s="87"/>
      <c r="O455" s="87"/>
      <c r="P455" s="178"/>
    </row>
    <row r="456" spans="2:16" ht="42.75" outlineLevel="1" x14ac:dyDescent="0.2">
      <c r="B456" s="178" t="s">
        <v>1164</v>
      </c>
      <c r="C456" s="178"/>
      <c r="D456" s="178" t="s">
        <v>430</v>
      </c>
      <c r="E456" s="178">
        <v>2024</v>
      </c>
      <c r="F456" s="178"/>
      <c r="G456" s="178"/>
      <c r="H456" s="95" t="s">
        <v>3</v>
      </c>
      <c r="I456" s="94">
        <f t="shared" si="129"/>
        <v>14</v>
      </c>
      <c r="J456" s="94">
        <f t="shared" ref="J456:O456" si="137">J457+J458+J459</f>
        <v>0</v>
      </c>
      <c r="K456" s="94">
        <f t="shared" si="137"/>
        <v>0</v>
      </c>
      <c r="L456" s="94">
        <f t="shared" si="137"/>
        <v>0</v>
      </c>
      <c r="M456" s="94">
        <f t="shared" si="137"/>
        <v>0</v>
      </c>
      <c r="N456" s="94">
        <f t="shared" si="137"/>
        <v>14</v>
      </c>
      <c r="O456" s="94">
        <f t="shared" si="137"/>
        <v>0</v>
      </c>
      <c r="P456" s="178"/>
    </row>
    <row r="457" spans="2:16" outlineLevel="1" x14ac:dyDescent="0.2">
      <c r="B457" s="178"/>
      <c r="C457" s="143"/>
      <c r="D457" s="178"/>
      <c r="E457" s="178"/>
      <c r="F457" s="178"/>
      <c r="G457" s="178"/>
      <c r="H457" s="95" t="s">
        <v>4</v>
      </c>
      <c r="I457" s="94">
        <f t="shared" si="129"/>
        <v>0</v>
      </c>
      <c r="J457" s="87"/>
      <c r="K457" s="87"/>
      <c r="L457" s="87"/>
      <c r="M457" s="87"/>
      <c r="N457" s="87"/>
      <c r="O457" s="87"/>
      <c r="P457" s="178"/>
    </row>
    <row r="458" spans="2:16" outlineLevel="1" x14ac:dyDescent="0.2">
      <c r="B458" s="178"/>
      <c r="C458" s="143"/>
      <c r="D458" s="178"/>
      <c r="E458" s="178"/>
      <c r="F458" s="178"/>
      <c r="G458" s="178"/>
      <c r="H458" s="95" t="s">
        <v>6</v>
      </c>
      <c r="I458" s="94">
        <f t="shared" si="129"/>
        <v>14</v>
      </c>
      <c r="J458" s="87"/>
      <c r="K458" s="87"/>
      <c r="L458" s="87"/>
      <c r="M458" s="87"/>
      <c r="N458" s="87">
        <v>14</v>
      </c>
      <c r="O458" s="87"/>
      <c r="P458" s="178"/>
    </row>
    <row r="459" spans="2:16" outlineLevel="1" x14ac:dyDescent="0.2">
      <c r="B459" s="178"/>
      <c r="C459" s="143"/>
      <c r="D459" s="178"/>
      <c r="E459" s="178"/>
      <c r="F459" s="178"/>
      <c r="G459" s="178"/>
      <c r="H459" s="95" t="s">
        <v>5</v>
      </c>
      <c r="I459" s="94">
        <f t="shared" si="129"/>
        <v>0</v>
      </c>
      <c r="J459" s="87"/>
      <c r="K459" s="87"/>
      <c r="L459" s="87"/>
      <c r="M459" s="87"/>
      <c r="N459" s="87"/>
      <c r="O459" s="87"/>
      <c r="P459" s="178"/>
    </row>
    <row r="460" spans="2:16" ht="42.75" outlineLevel="1" x14ac:dyDescent="0.2">
      <c r="B460" s="178" t="s">
        <v>1165</v>
      </c>
      <c r="C460" s="178"/>
      <c r="D460" s="178" t="s">
        <v>430</v>
      </c>
      <c r="E460" s="178">
        <v>2024</v>
      </c>
      <c r="F460" s="178"/>
      <c r="G460" s="178"/>
      <c r="H460" s="95" t="s">
        <v>3</v>
      </c>
      <c r="I460" s="94">
        <f t="shared" si="129"/>
        <v>15</v>
      </c>
      <c r="J460" s="94">
        <f t="shared" ref="J460:O460" si="138">J461+J462+J463</f>
        <v>0</v>
      </c>
      <c r="K460" s="94">
        <f t="shared" si="138"/>
        <v>0</v>
      </c>
      <c r="L460" s="94">
        <f t="shared" si="138"/>
        <v>0</v>
      </c>
      <c r="M460" s="94">
        <f t="shared" si="138"/>
        <v>0</v>
      </c>
      <c r="N460" s="94">
        <f t="shared" si="138"/>
        <v>15</v>
      </c>
      <c r="O460" s="94">
        <f t="shared" si="138"/>
        <v>0</v>
      </c>
      <c r="P460" s="178"/>
    </row>
    <row r="461" spans="2:16" outlineLevel="1" x14ac:dyDescent="0.2">
      <c r="B461" s="178"/>
      <c r="C461" s="143"/>
      <c r="D461" s="178"/>
      <c r="E461" s="178"/>
      <c r="F461" s="178"/>
      <c r="G461" s="178"/>
      <c r="H461" s="95" t="s">
        <v>4</v>
      </c>
      <c r="I461" s="94">
        <f t="shared" si="129"/>
        <v>0</v>
      </c>
      <c r="J461" s="87"/>
      <c r="K461" s="87"/>
      <c r="L461" s="87"/>
      <c r="M461" s="87"/>
      <c r="N461" s="87"/>
      <c r="O461" s="87"/>
      <c r="P461" s="178"/>
    </row>
    <row r="462" spans="2:16" outlineLevel="1" x14ac:dyDescent="0.2">
      <c r="B462" s="178"/>
      <c r="C462" s="143"/>
      <c r="D462" s="178"/>
      <c r="E462" s="178"/>
      <c r="F462" s="178"/>
      <c r="G462" s="178"/>
      <c r="H462" s="95" t="s">
        <v>6</v>
      </c>
      <c r="I462" s="94">
        <f t="shared" si="129"/>
        <v>15</v>
      </c>
      <c r="J462" s="87"/>
      <c r="K462" s="87"/>
      <c r="L462" s="87"/>
      <c r="M462" s="87"/>
      <c r="N462" s="87">
        <v>15</v>
      </c>
      <c r="O462" s="87"/>
      <c r="P462" s="178"/>
    </row>
    <row r="463" spans="2:16" outlineLevel="1" x14ac:dyDescent="0.2">
      <c r="B463" s="178"/>
      <c r="C463" s="143"/>
      <c r="D463" s="178"/>
      <c r="E463" s="178"/>
      <c r="F463" s="178"/>
      <c r="G463" s="178"/>
      <c r="H463" s="95" t="s">
        <v>5</v>
      </c>
      <c r="I463" s="94">
        <f t="shared" si="129"/>
        <v>0</v>
      </c>
      <c r="J463" s="87"/>
      <c r="K463" s="87"/>
      <c r="L463" s="87"/>
      <c r="M463" s="87"/>
      <c r="N463" s="87"/>
      <c r="O463" s="87"/>
      <c r="P463" s="178"/>
    </row>
    <row r="464" spans="2:16" ht="42.75" outlineLevel="1" x14ac:dyDescent="0.2">
      <c r="B464" s="178" t="s">
        <v>1166</v>
      </c>
      <c r="C464" s="178"/>
      <c r="D464" s="178" t="s">
        <v>430</v>
      </c>
      <c r="E464" s="178">
        <v>2025</v>
      </c>
      <c r="F464" s="178"/>
      <c r="G464" s="178"/>
      <c r="H464" s="95" t="s">
        <v>3</v>
      </c>
      <c r="I464" s="94">
        <f t="shared" si="129"/>
        <v>15</v>
      </c>
      <c r="J464" s="94">
        <f t="shared" ref="J464:O464" si="139">J465+J466+J467</f>
        <v>0</v>
      </c>
      <c r="K464" s="94">
        <f t="shared" si="139"/>
        <v>0</v>
      </c>
      <c r="L464" s="94">
        <f t="shared" si="139"/>
        <v>0</v>
      </c>
      <c r="M464" s="94">
        <f t="shared" si="139"/>
        <v>0</v>
      </c>
      <c r="N464" s="94">
        <f t="shared" si="139"/>
        <v>0</v>
      </c>
      <c r="O464" s="94">
        <f t="shared" si="139"/>
        <v>15</v>
      </c>
      <c r="P464" s="178"/>
    </row>
    <row r="465" spans="2:17" outlineLevel="1" x14ac:dyDescent="0.2">
      <c r="B465" s="178"/>
      <c r="C465" s="143"/>
      <c r="D465" s="178"/>
      <c r="E465" s="178"/>
      <c r="F465" s="178"/>
      <c r="G465" s="178"/>
      <c r="H465" s="95" t="s">
        <v>4</v>
      </c>
      <c r="I465" s="94">
        <f t="shared" si="129"/>
        <v>0</v>
      </c>
      <c r="J465" s="87"/>
      <c r="K465" s="87"/>
      <c r="L465" s="87"/>
      <c r="M465" s="87"/>
      <c r="N465" s="87"/>
      <c r="O465" s="87"/>
      <c r="P465" s="178"/>
    </row>
    <row r="466" spans="2:17" outlineLevel="1" x14ac:dyDescent="0.2">
      <c r="B466" s="178"/>
      <c r="C466" s="143"/>
      <c r="D466" s="178"/>
      <c r="E466" s="178"/>
      <c r="F466" s="178"/>
      <c r="G466" s="178"/>
      <c r="H466" s="95" t="s">
        <v>6</v>
      </c>
      <c r="I466" s="94">
        <f t="shared" si="129"/>
        <v>15</v>
      </c>
      <c r="J466" s="87"/>
      <c r="K466" s="87"/>
      <c r="L466" s="87"/>
      <c r="M466" s="87"/>
      <c r="N466" s="87"/>
      <c r="O466" s="87">
        <v>15</v>
      </c>
      <c r="P466" s="178"/>
    </row>
    <row r="467" spans="2:17" outlineLevel="1" x14ac:dyDescent="0.2">
      <c r="B467" s="178"/>
      <c r="C467" s="143"/>
      <c r="D467" s="178"/>
      <c r="E467" s="178"/>
      <c r="F467" s="178"/>
      <c r="G467" s="178"/>
      <c r="H467" s="95" t="s">
        <v>5</v>
      </c>
      <c r="I467" s="94">
        <f t="shared" si="129"/>
        <v>0</v>
      </c>
      <c r="J467" s="87"/>
      <c r="K467" s="87"/>
      <c r="L467" s="87"/>
      <c r="M467" s="87"/>
      <c r="N467" s="87"/>
      <c r="O467" s="87"/>
      <c r="P467" s="178"/>
    </row>
    <row r="468" spans="2:17" ht="42.75" x14ac:dyDescent="0.2">
      <c r="B468" s="128" t="s">
        <v>448</v>
      </c>
      <c r="C468" s="128" t="s">
        <v>38</v>
      </c>
      <c r="D468" s="128" t="s">
        <v>38</v>
      </c>
      <c r="E468" s="128" t="s">
        <v>38</v>
      </c>
      <c r="F468" s="128" t="s">
        <v>38</v>
      </c>
      <c r="G468" s="128" t="s">
        <v>38</v>
      </c>
      <c r="H468" s="95" t="s">
        <v>3</v>
      </c>
      <c r="I468" s="14">
        <f t="shared" ref="I468:O468" si="140">SUMIF($H$428:$H$467,"Объем*",I$428:I$467)</f>
        <v>172.2</v>
      </c>
      <c r="J468" s="14">
        <f t="shared" si="140"/>
        <v>26.2</v>
      </c>
      <c r="K468" s="14">
        <f t="shared" si="140"/>
        <v>0</v>
      </c>
      <c r="L468" s="14">
        <f t="shared" si="140"/>
        <v>0</v>
      </c>
      <c r="M468" s="14">
        <f t="shared" si="140"/>
        <v>57</v>
      </c>
      <c r="N468" s="14">
        <f t="shared" si="140"/>
        <v>74</v>
      </c>
      <c r="O468" s="14">
        <f t="shared" si="140"/>
        <v>15</v>
      </c>
      <c r="P468" s="128"/>
      <c r="Q468" s="7"/>
    </row>
    <row r="469" spans="2:17" ht="15.75" x14ac:dyDescent="0.2">
      <c r="B469" s="129"/>
      <c r="C469" s="129"/>
      <c r="D469" s="129"/>
      <c r="E469" s="129"/>
      <c r="F469" s="129"/>
      <c r="G469" s="129"/>
      <c r="H469" s="95" t="s">
        <v>4</v>
      </c>
      <c r="I469" s="14">
        <f t="shared" ref="I469:O469" si="141">SUMIF($H$428:$H$467,"фед*",I$428:I$467)</f>
        <v>26</v>
      </c>
      <c r="J469" s="14">
        <f t="shared" si="141"/>
        <v>26</v>
      </c>
      <c r="K469" s="14">
        <f t="shared" si="141"/>
        <v>0</v>
      </c>
      <c r="L469" s="14">
        <f t="shared" si="141"/>
        <v>0</v>
      </c>
      <c r="M469" s="14">
        <f t="shared" si="141"/>
        <v>0</v>
      </c>
      <c r="N469" s="14">
        <f t="shared" si="141"/>
        <v>0</v>
      </c>
      <c r="O469" s="14">
        <f t="shared" si="141"/>
        <v>0</v>
      </c>
      <c r="P469" s="129"/>
    </row>
    <row r="470" spans="2:17" ht="15.75" x14ac:dyDescent="0.2">
      <c r="B470" s="129"/>
      <c r="C470" s="129"/>
      <c r="D470" s="129"/>
      <c r="E470" s="129"/>
      <c r="F470" s="129"/>
      <c r="G470" s="129"/>
      <c r="H470" s="95" t="s">
        <v>6</v>
      </c>
      <c r="I470" s="14">
        <f t="shared" ref="I470:O470" si="142">SUMIF($H$428:$H$467,"конс*",I$428:I$467)</f>
        <v>146.19999999999999</v>
      </c>
      <c r="J470" s="14">
        <f t="shared" si="142"/>
        <v>0.2</v>
      </c>
      <c r="K470" s="14">
        <f t="shared" si="142"/>
        <v>0</v>
      </c>
      <c r="L470" s="14">
        <f t="shared" si="142"/>
        <v>0</v>
      </c>
      <c r="M470" s="14">
        <f t="shared" si="142"/>
        <v>57</v>
      </c>
      <c r="N470" s="14">
        <f t="shared" si="142"/>
        <v>74</v>
      </c>
      <c r="O470" s="14">
        <f t="shared" si="142"/>
        <v>15</v>
      </c>
      <c r="P470" s="129"/>
    </row>
    <row r="471" spans="2:17" ht="15.75" x14ac:dyDescent="0.2">
      <c r="B471" s="130"/>
      <c r="C471" s="130"/>
      <c r="D471" s="130"/>
      <c r="E471" s="130"/>
      <c r="F471" s="130"/>
      <c r="G471" s="130"/>
      <c r="H471" s="95" t="s">
        <v>5</v>
      </c>
      <c r="I471" s="14">
        <f t="shared" ref="I471:O471" si="143">SUMIF($H$428:$H$467,"вне*",I$428:I$467)</f>
        <v>0</v>
      </c>
      <c r="J471" s="14">
        <f t="shared" si="143"/>
        <v>0</v>
      </c>
      <c r="K471" s="14">
        <f t="shared" si="143"/>
        <v>0</v>
      </c>
      <c r="L471" s="14">
        <f t="shared" si="143"/>
        <v>0</v>
      </c>
      <c r="M471" s="14">
        <f t="shared" si="143"/>
        <v>0</v>
      </c>
      <c r="N471" s="14">
        <f t="shared" si="143"/>
        <v>0</v>
      </c>
      <c r="O471" s="14">
        <f t="shared" si="143"/>
        <v>0</v>
      </c>
      <c r="P471" s="130"/>
    </row>
    <row r="472" spans="2:17" ht="24.75" customHeight="1" x14ac:dyDescent="0.2">
      <c r="B472" s="111" t="s">
        <v>449</v>
      </c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3"/>
    </row>
    <row r="473" spans="2:17" ht="42.75" customHeight="1" outlineLevel="1" x14ac:dyDescent="0.2">
      <c r="B473" s="180" t="s">
        <v>1167</v>
      </c>
      <c r="C473" s="183"/>
      <c r="D473" s="186" t="s">
        <v>1168</v>
      </c>
      <c r="E473" s="180">
        <v>2021</v>
      </c>
      <c r="F473" s="180">
        <v>200</v>
      </c>
      <c r="G473" s="139" t="s">
        <v>52</v>
      </c>
      <c r="H473" s="95" t="s">
        <v>3</v>
      </c>
      <c r="I473" s="94">
        <f>SUM(J473:O473)</f>
        <v>4.0999999999999996</v>
      </c>
      <c r="J473" s="94">
        <f t="shared" ref="J473:O473" si="144">J474+J475+J476</f>
        <v>0</v>
      </c>
      <c r="K473" s="94">
        <f t="shared" si="144"/>
        <v>4.0999999999999996</v>
      </c>
      <c r="L473" s="94">
        <f t="shared" si="144"/>
        <v>0</v>
      </c>
      <c r="M473" s="94">
        <f t="shared" si="144"/>
        <v>0</v>
      </c>
      <c r="N473" s="94">
        <f t="shared" si="144"/>
        <v>0</v>
      </c>
      <c r="O473" s="94">
        <f t="shared" si="144"/>
        <v>0</v>
      </c>
      <c r="P473" s="178"/>
    </row>
    <row r="474" spans="2:17" ht="17.25" customHeight="1" outlineLevel="1" x14ac:dyDescent="0.2">
      <c r="B474" s="181"/>
      <c r="C474" s="184"/>
      <c r="D474" s="187"/>
      <c r="E474" s="181"/>
      <c r="F474" s="181"/>
      <c r="G474" s="140"/>
      <c r="H474" s="95" t="s">
        <v>4</v>
      </c>
      <c r="I474" s="94"/>
      <c r="J474" s="94"/>
      <c r="K474" s="94"/>
      <c r="L474" s="87"/>
      <c r="M474" s="94"/>
      <c r="N474" s="94"/>
      <c r="O474" s="94"/>
      <c r="P474" s="178"/>
    </row>
    <row r="475" spans="2:17" ht="17.25" customHeight="1" outlineLevel="1" x14ac:dyDescent="0.2">
      <c r="B475" s="181"/>
      <c r="C475" s="184"/>
      <c r="D475" s="187"/>
      <c r="E475" s="181"/>
      <c r="F475" s="181"/>
      <c r="G475" s="140"/>
      <c r="H475" s="95" t="s">
        <v>6</v>
      </c>
      <c r="I475" s="94">
        <f>SUM(J475:O475)</f>
        <v>4.0999999999999996</v>
      </c>
      <c r="J475" s="94"/>
      <c r="K475" s="94">
        <v>4.0999999999999996</v>
      </c>
      <c r="L475" s="87"/>
      <c r="M475" s="94"/>
      <c r="N475" s="94"/>
      <c r="O475" s="94"/>
      <c r="P475" s="178"/>
    </row>
    <row r="476" spans="2:17" ht="17.25" customHeight="1" outlineLevel="1" x14ac:dyDescent="0.2">
      <c r="B476" s="182"/>
      <c r="C476" s="185"/>
      <c r="D476" s="188"/>
      <c r="E476" s="182"/>
      <c r="F476" s="182"/>
      <c r="G476" s="141"/>
      <c r="H476" s="95" t="s">
        <v>5</v>
      </c>
      <c r="I476" s="94"/>
      <c r="J476" s="87"/>
      <c r="K476" s="87"/>
      <c r="L476" s="87"/>
      <c r="M476" s="87"/>
      <c r="N476" s="87"/>
      <c r="O476" s="87"/>
      <c r="P476" s="178"/>
    </row>
    <row r="477" spans="2:17" ht="42.75" x14ac:dyDescent="0.2">
      <c r="B477" s="128" t="s">
        <v>452</v>
      </c>
      <c r="C477" s="128" t="s">
        <v>38</v>
      </c>
      <c r="D477" s="128" t="s">
        <v>38</v>
      </c>
      <c r="E477" s="128" t="s">
        <v>38</v>
      </c>
      <c r="F477" s="128" t="s">
        <v>38</v>
      </c>
      <c r="G477" s="128" t="s">
        <v>38</v>
      </c>
      <c r="H477" s="95" t="s">
        <v>3</v>
      </c>
      <c r="I477" s="14">
        <f t="shared" ref="I477:O477" si="145">SUMIF($H$473:$H$476,"Объем*",I$473:I$476)</f>
        <v>4.0999999999999996</v>
      </c>
      <c r="J477" s="14">
        <f t="shared" si="145"/>
        <v>0</v>
      </c>
      <c r="K477" s="14">
        <f t="shared" si="145"/>
        <v>4.0999999999999996</v>
      </c>
      <c r="L477" s="14">
        <f t="shared" si="145"/>
        <v>0</v>
      </c>
      <c r="M477" s="14">
        <f t="shared" si="145"/>
        <v>0</v>
      </c>
      <c r="N477" s="14">
        <f t="shared" si="145"/>
        <v>0</v>
      </c>
      <c r="O477" s="14">
        <f t="shared" si="145"/>
        <v>0</v>
      </c>
      <c r="P477" s="128"/>
      <c r="Q477" s="7"/>
    </row>
    <row r="478" spans="2:17" ht="15.75" x14ac:dyDescent="0.2">
      <c r="B478" s="129"/>
      <c r="C478" s="129"/>
      <c r="D478" s="129"/>
      <c r="E478" s="129"/>
      <c r="F478" s="129"/>
      <c r="G478" s="129"/>
      <c r="H478" s="95" t="s">
        <v>4</v>
      </c>
      <c r="I478" s="14">
        <f t="shared" ref="I478:O478" si="146">SUMIF($H$473:$H$476,"фед*",I$473:I$476)</f>
        <v>0</v>
      </c>
      <c r="J478" s="14">
        <f t="shared" si="146"/>
        <v>0</v>
      </c>
      <c r="K478" s="14">
        <f t="shared" si="146"/>
        <v>0</v>
      </c>
      <c r="L478" s="14">
        <f t="shared" si="146"/>
        <v>0</v>
      </c>
      <c r="M478" s="14">
        <f t="shared" si="146"/>
        <v>0</v>
      </c>
      <c r="N478" s="14">
        <f t="shared" si="146"/>
        <v>0</v>
      </c>
      <c r="O478" s="14">
        <f t="shared" si="146"/>
        <v>0</v>
      </c>
      <c r="P478" s="129"/>
    </row>
    <row r="479" spans="2:17" ht="15.75" x14ac:dyDescent="0.2">
      <c r="B479" s="129"/>
      <c r="C479" s="129"/>
      <c r="D479" s="129"/>
      <c r="E479" s="129"/>
      <c r="F479" s="129"/>
      <c r="G479" s="129"/>
      <c r="H479" s="95" t="s">
        <v>6</v>
      </c>
      <c r="I479" s="14">
        <f t="shared" ref="I479:O479" si="147">SUMIF($H$473:$H$476,"конс*",I$473:I$476)</f>
        <v>4.0999999999999996</v>
      </c>
      <c r="J479" s="14">
        <f t="shared" si="147"/>
        <v>0</v>
      </c>
      <c r="K479" s="14">
        <f t="shared" si="147"/>
        <v>4.0999999999999996</v>
      </c>
      <c r="L479" s="14">
        <f t="shared" si="147"/>
        <v>0</v>
      </c>
      <c r="M479" s="14">
        <f t="shared" si="147"/>
        <v>0</v>
      </c>
      <c r="N479" s="14">
        <f t="shared" si="147"/>
        <v>0</v>
      </c>
      <c r="O479" s="14">
        <f t="shared" si="147"/>
        <v>0</v>
      </c>
      <c r="P479" s="129"/>
    </row>
    <row r="480" spans="2:17" ht="15.75" x14ac:dyDescent="0.2">
      <c r="B480" s="130"/>
      <c r="C480" s="130"/>
      <c r="D480" s="130"/>
      <c r="E480" s="130"/>
      <c r="F480" s="130"/>
      <c r="G480" s="130"/>
      <c r="H480" s="95" t="s">
        <v>5</v>
      </c>
      <c r="I480" s="14">
        <f t="shared" ref="I480:O480" si="148">SUMIF($H$473:$H$476,"вне*",I$473:I$476)</f>
        <v>0</v>
      </c>
      <c r="J480" s="14">
        <f t="shared" si="148"/>
        <v>0</v>
      </c>
      <c r="K480" s="14">
        <f t="shared" si="148"/>
        <v>0</v>
      </c>
      <c r="L480" s="14">
        <f t="shared" si="148"/>
        <v>0</v>
      </c>
      <c r="M480" s="14">
        <f t="shared" si="148"/>
        <v>0</v>
      </c>
      <c r="N480" s="14">
        <f t="shared" si="148"/>
        <v>0</v>
      </c>
      <c r="O480" s="14">
        <f t="shared" si="148"/>
        <v>0</v>
      </c>
      <c r="P480" s="130"/>
    </row>
    <row r="481" spans="2:17" ht="25.5" customHeight="1" x14ac:dyDescent="0.2">
      <c r="B481" s="111" t="s">
        <v>493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3"/>
    </row>
    <row r="482" spans="2:17" ht="42.75" outlineLevel="1" x14ac:dyDescent="0.2">
      <c r="B482" s="178" t="s">
        <v>1169</v>
      </c>
      <c r="C482" s="178"/>
      <c r="D482" s="178" t="s">
        <v>1170</v>
      </c>
      <c r="E482" s="178">
        <v>2020</v>
      </c>
      <c r="F482" s="178"/>
      <c r="G482" s="178" t="s">
        <v>63</v>
      </c>
      <c r="H482" s="95" t="s">
        <v>3</v>
      </c>
      <c r="I482" s="94">
        <f t="shared" ref="I482:I493" si="149">SUM(J482:O482)</f>
        <v>11.3</v>
      </c>
      <c r="J482" s="94">
        <f t="shared" ref="J482:O482" si="150">J483+J484+J485</f>
        <v>0.5</v>
      </c>
      <c r="K482" s="94">
        <f t="shared" si="150"/>
        <v>10.8</v>
      </c>
      <c r="L482" s="94">
        <v>0</v>
      </c>
      <c r="M482" s="94">
        <f t="shared" si="150"/>
        <v>0</v>
      </c>
      <c r="N482" s="94">
        <f t="shared" si="150"/>
        <v>0</v>
      </c>
      <c r="O482" s="94">
        <f t="shared" si="150"/>
        <v>0</v>
      </c>
      <c r="P482" s="178">
        <v>8189</v>
      </c>
    </row>
    <row r="483" spans="2:17" outlineLevel="1" x14ac:dyDescent="0.2">
      <c r="B483" s="178"/>
      <c r="C483" s="143"/>
      <c r="D483" s="178"/>
      <c r="E483" s="178"/>
      <c r="F483" s="178"/>
      <c r="G483" s="178"/>
      <c r="H483" s="95" t="s">
        <v>4</v>
      </c>
      <c r="I483" s="94">
        <f t="shared" si="149"/>
        <v>0</v>
      </c>
      <c r="J483" s="94"/>
      <c r="K483" s="94"/>
      <c r="L483" s="94"/>
      <c r="M483" s="94"/>
      <c r="N483" s="94"/>
      <c r="O483" s="94"/>
      <c r="P483" s="178"/>
    </row>
    <row r="484" spans="2:17" outlineLevel="1" x14ac:dyDescent="0.2">
      <c r="B484" s="178"/>
      <c r="C484" s="143"/>
      <c r="D484" s="178"/>
      <c r="E484" s="178"/>
      <c r="F484" s="178"/>
      <c r="G484" s="178"/>
      <c r="H484" s="95" t="s">
        <v>6</v>
      </c>
      <c r="I484" s="94">
        <f t="shared" si="149"/>
        <v>11.3</v>
      </c>
      <c r="J484" s="94">
        <v>0.5</v>
      </c>
      <c r="K484" s="94">
        <v>10.8</v>
      </c>
      <c r="L484" s="94"/>
      <c r="M484" s="94"/>
      <c r="N484" s="94"/>
      <c r="O484" s="94"/>
      <c r="P484" s="178"/>
    </row>
    <row r="485" spans="2:17" outlineLevel="1" x14ac:dyDescent="0.2">
      <c r="B485" s="178"/>
      <c r="C485" s="143"/>
      <c r="D485" s="178"/>
      <c r="E485" s="178"/>
      <c r="F485" s="178"/>
      <c r="G485" s="178"/>
      <c r="H485" s="95" t="s">
        <v>5</v>
      </c>
      <c r="I485" s="94">
        <f t="shared" si="149"/>
        <v>0</v>
      </c>
      <c r="J485" s="94"/>
      <c r="K485" s="94"/>
      <c r="L485" s="94"/>
      <c r="M485" s="94"/>
      <c r="N485" s="94"/>
      <c r="O485" s="94"/>
      <c r="P485" s="178"/>
    </row>
    <row r="486" spans="2:17" ht="42.75" outlineLevel="1" x14ac:dyDescent="0.2">
      <c r="B486" s="178" t="s">
        <v>1171</v>
      </c>
      <c r="C486" s="178"/>
      <c r="D486" s="178" t="s">
        <v>493</v>
      </c>
      <c r="E486" s="178">
        <v>2021</v>
      </c>
      <c r="F486" s="178"/>
      <c r="G486" s="178" t="s">
        <v>101</v>
      </c>
      <c r="H486" s="95" t="s">
        <v>3</v>
      </c>
      <c r="I486" s="94">
        <f t="shared" si="149"/>
        <v>4</v>
      </c>
      <c r="J486" s="94">
        <f t="shared" ref="J486:O486" si="151">J487+J488+J489</f>
        <v>0</v>
      </c>
      <c r="K486" s="94">
        <v>4</v>
      </c>
      <c r="L486" s="94">
        <v>0</v>
      </c>
      <c r="M486" s="94">
        <f t="shared" si="151"/>
        <v>0</v>
      </c>
      <c r="N486" s="94">
        <f t="shared" si="151"/>
        <v>0</v>
      </c>
      <c r="O486" s="94">
        <f t="shared" si="151"/>
        <v>0</v>
      </c>
      <c r="P486" s="178">
        <v>1715</v>
      </c>
    </row>
    <row r="487" spans="2:17" outlineLevel="1" x14ac:dyDescent="0.2">
      <c r="B487" s="178"/>
      <c r="C487" s="143"/>
      <c r="D487" s="178"/>
      <c r="E487" s="178"/>
      <c r="F487" s="178"/>
      <c r="G487" s="178"/>
      <c r="H487" s="95" t="s">
        <v>4</v>
      </c>
      <c r="I487" s="94">
        <f t="shared" si="149"/>
        <v>0</v>
      </c>
      <c r="J487" s="94"/>
      <c r="K487" s="94"/>
      <c r="L487" s="94"/>
      <c r="M487" s="94"/>
      <c r="N487" s="94"/>
      <c r="O487" s="94"/>
      <c r="P487" s="178"/>
    </row>
    <row r="488" spans="2:17" outlineLevel="1" x14ac:dyDescent="0.2">
      <c r="B488" s="178"/>
      <c r="C488" s="143"/>
      <c r="D488" s="178"/>
      <c r="E488" s="178"/>
      <c r="F488" s="178"/>
      <c r="G488" s="178"/>
      <c r="H488" s="95" t="s">
        <v>6</v>
      </c>
      <c r="I488" s="94">
        <f t="shared" si="149"/>
        <v>4</v>
      </c>
      <c r="J488" s="94"/>
      <c r="K488" s="94">
        <v>4</v>
      </c>
      <c r="L488" s="94"/>
      <c r="M488" s="94"/>
      <c r="N488" s="94"/>
      <c r="O488" s="94"/>
      <c r="P488" s="178"/>
    </row>
    <row r="489" spans="2:17" outlineLevel="1" x14ac:dyDescent="0.2">
      <c r="B489" s="178"/>
      <c r="C489" s="143"/>
      <c r="D489" s="178"/>
      <c r="E489" s="178"/>
      <c r="F489" s="178"/>
      <c r="G489" s="178"/>
      <c r="H489" s="95" t="s">
        <v>5</v>
      </c>
      <c r="I489" s="94">
        <f t="shared" si="149"/>
        <v>0</v>
      </c>
      <c r="J489" s="94"/>
      <c r="K489" s="94"/>
      <c r="L489" s="94"/>
      <c r="M489" s="94"/>
      <c r="N489" s="94"/>
      <c r="O489" s="94"/>
      <c r="P489" s="178"/>
    </row>
    <row r="490" spans="2:17" ht="42.75" outlineLevel="1" x14ac:dyDescent="0.2">
      <c r="B490" s="178" t="s">
        <v>1172</v>
      </c>
      <c r="C490" s="178"/>
      <c r="D490" s="178" t="s">
        <v>493</v>
      </c>
      <c r="E490" s="178">
        <v>2021</v>
      </c>
      <c r="F490" s="178"/>
      <c r="G490" s="178" t="s">
        <v>101</v>
      </c>
      <c r="H490" s="95" t="s">
        <v>3</v>
      </c>
      <c r="I490" s="94">
        <f t="shared" si="149"/>
        <v>4</v>
      </c>
      <c r="J490" s="94">
        <f t="shared" ref="J490" si="152">J491+J492+J493</f>
        <v>0</v>
      </c>
      <c r="K490" s="94">
        <v>4</v>
      </c>
      <c r="L490" s="94">
        <v>0</v>
      </c>
      <c r="M490" s="94">
        <f t="shared" ref="M490:O490" si="153">M491+M492+M493</f>
        <v>0</v>
      </c>
      <c r="N490" s="94">
        <f t="shared" si="153"/>
        <v>0</v>
      </c>
      <c r="O490" s="94">
        <f t="shared" si="153"/>
        <v>0</v>
      </c>
      <c r="P490" s="178">
        <v>900</v>
      </c>
    </row>
    <row r="491" spans="2:17" outlineLevel="1" x14ac:dyDescent="0.2">
      <c r="B491" s="178"/>
      <c r="C491" s="143"/>
      <c r="D491" s="178"/>
      <c r="E491" s="178"/>
      <c r="F491" s="178"/>
      <c r="G491" s="178"/>
      <c r="H491" s="95" t="s">
        <v>4</v>
      </c>
      <c r="I491" s="94">
        <f t="shared" si="149"/>
        <v>0</v>
      </c>
      <c r="J491" s="94"/>
      <c r="K491" s="94"/>
      <c r="L491" s="94"/>
      <c r="M491" s="94"/>
      <c r="N491" s="94"/>
      <c r="O491" s="94"/>
      <c r="P491" s="178"/>
    </row>
    <row r="492" spans="2:17" outlineLevel="1" x14ac:dyDescent="0.2">
      <c r="B492" s="178"/>
      <c r="C492" s="143"/>
      <c r="D492" s="178"/>
      <c r="E492" s="178"/>
      <c r="F492" s="178"/>
      <c r="G492" s="178"/>
      <c r="H492" s="95" t="s">
        <v>6</v>
      </c>
      <c r="I492" s="94">
        <f t="shared" si="149"/>
        <v>4</v>
      </c>
      <c r="J492" s="94"/>
      <c r="K492" s="94">
        <v>4</v>
      </c>
      <c r="L492" s="94"/>
      <c r="M492" s="94"/>
      <c r="N492" s="94"/>
      <c r="O492" s="94"/>
      <c r="P492" s="178"/>
    </row>
    <row r="493" spans="2:17" outlineLevel="1" x14ac:dyDescent="0.2">
      <c r="B493" s="178"/>
      <c r="C493" s="143"/>
      <c r="D493" s="178"/>
      <c r="E493" s="178"/>
      <c r="F493" s="178"/>
      <c r="G493" s="178"/>
      <c r="H493" s="95" t="s">
        <v>5</v>
      </c>
      <c r="I493" s="94">
        <f t="shared" si="149"/>
        <v>0</v>
      </c>
      <c r="J493" s="94"/>
      <c r="K493" s="94"/>
      <c r="L493" s="94"/>
      <c r="M493" s="94"/>
      <c r="N493" s="94"/>
      <c r="O493" s="94"/>
      <c r="P493" s="178"/>
    </row>
    <row r="494" spans="2:17" ht="42.75" x14ac:dyDescent="0.2">
      <c r="B494" s="128" t="s">
        <v>510</v>
      </c>
      <c r="C494" s="128" t="s">
        <v>38</v>
      </c>
      <c r="D494" s="128" t="s">
        <v>38</v>
      </c>
      <c r="E494" s="128" t="s">
        <v>38</v>
      </c>
      <c r="F494" s="128" t="s">
        <v>38</v>
      </c>
      <c r="G494" s="128" t="s">
        <v>38</v>
      </c>
      <c r="H494" s="95" t="s">
        <v>3</v>
      </c>
      <c r="I494" s="14">
        <f t="shared" ref="I494:O494" si="154">SUMIF($H$482:$H$493,"Объем*",I$482:I$493)</f>
        <v>19.3</v>
      </c>
      <c r="J494" s="14">
        <f t="shared" si="154"/>
        <v>0.5</v>
      </c>
      <c r="K494" s="14">
        <f t="shared" si="154"/>
        <v>18.8</v>
      </c>
      <c r="L494" s="14">
        <f t="shared" si="154"/>
        <v>0</v>
      </c>
      <c r="M494" s="14">
        <f t="shared" si="154"/>
        <v>0</v>
      </c>
      <c r="N494" s="14">
        <f t="shared" si="154"/>
        <v>0</v>
      </c>
      <c r="O494" s="14">
        <f t="shared" si="154"/>
        <v>0</v>
      </c>
      <c r="P494" s="128"/>
      <c r="Q494" s="7"/>
    </row>
    <row r="495" spans="2:17" ht="15.75" x14ac:dyDescent="0.2">
      <c r="B495" s="129"/>
      <c r="C495" s="129"/>
      <c r="D495" s="129"/>
      <c r="E495" s="129"/>
      <c r="F495" s="129"/>
      <c r="G495" s="129"/>
      <c r="H495" s="95" t="s">
        <v>4</v>
      </c>
      <c r="I495" s="14">
        <f t="shared" ref="I495:O495" si="155">SUMIF($H$482:$H$493,"фед*",I$482:I$493)</f>
        <v>0</v>
      </c>
      <c r="J495" s="14">
        <f t="shared" si="155"/>
        <v>0</v>
      </c>
      <c r="K495" s="14">
        <f t="shared" si="155"/>
        <v>0</v>
      </c>
      <c r="L495" s="14">
        <f t="shared" si="155"/>
        <v>0</v>
      </c>
      <c r="M495" s="14">
        <f t="shared" si="155"/>
        <v>0</v>
      </c>
      <c r="N495" s="14">
        <f t="shared" si="155"/>
        <v>0</v>
      </c>
      <c r="O495" s="14">
        <f t="shared" si="155"/>
        <v>0</v>
      </c>
      <c r="P495" s="129"/>
    </row>
    <row r="496" spans="2:17" ht="15.75" x14ac:dyDescent="0.2">
      <c r="B496" s="129"/>
      <c r="C496" s="129"/>
      <c r="D496" s="129"/>
      <c r="E496" s="129"/>
      <c r="F496" s="129"/>
      <c r="G496" s="129"/>
      <c r="H496" s="95" t="s">
        <v>6</v>
      </c>
      <c r="I496" s="14">
        <f t="shared" ref="I496:O496" si="156">SUMIF($H$482:$H$493,"конс*",I$482:I$493)</f>
        <v>19.3</v>
      </c>
      <c r="J496" s="14">
        <f t="shared" si="156"/>
        <v>0.5</v>
      </c>
      <c r="K496" s="14">
        <f t="shared" si="156"/>
        <v>18.8</v>
      </c>
      <c r="L496" s="14">
        <f t="shared" si="156"/>
        <v>0</v>
      </c>
      <c r="M496" s="14">
        <f t="shared" si="156"/>
        <v>0</v>
      </c>
      <c r="N496" s="14">
        <f t="shared" si="156"/>
        <v>0</v>
      </c>
      <c r="O496" s="14">
        <f t="shared" si="156"/>
        <v>0</v>
      </c>
      <c r="P496" s="129"/>
    </row>
    <row r="497" spans="2:16" ht="15.75" x14ac:dyDescent="0.2">
      <c r="B497" s="130"/>
      <c r="C497" s="130"/>
      <c r="D497" s="130"/>
      <c r="E497" s="130"/>
      <c r="F497" s="130"/>
      <c r="G497" s="130"/>
      <c r="H497" s="95" t="s">
        <v>5</v>
      </c>
      <c r="I497" s="14">
        <f t="shared" ref="I497:O497" si="157">SUMIF($H$482:$H$493,"вне*",I$482:I$493)</f>
        <v>0</v>
      </c>
      <c r="J497" s="14">
        <f t="shared" si="157"/>
        <v>0</v>
      </c>
      <c r="K497" s="14">
        <f t="shared" si="157"/>
        <v>0</v>
      </c>
      <c r="L497" s="14">
        <f t="shared" si="157"/>
        <v>0</v>
      </c>
      <c r="M497" s="14">
        <f t="shared" si="157"/>
        <v>0</v>
      </c>
      <c r="N497" s="14">
        <f t="shared" si="157"/>
        <v>0</v>
      </c>
      <c r="O497" s="14">
        <f t="shared" si="157"/>
        <v>0</v>
      </c>
      <c r="P497" s="130"/>
    </row>
    <row r="498" spans="2:16" ht="25.5" customHeight="1" x14ac:dyDescent="0.2">
      <c r="B498" s="111" t="s">
        <v>511</v>
      </c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3"/>
    </row>
    <row r="499" spans="2:16" ht="42.75" outlineLevel="1" x14ac:dyDescent="0.2">
      <c r="B499" s="117" t="s">
        <v>1173</v>
      </c>
      <c r="C499" s="117"/>
      <c r="D499" s="117" t="s">
        <v>511</v>
      </c>
      <c r="E499" s="117">
        <v>2021</v>
      </c>
      <c r="F499" s="117"/>
      <c r="G499" s="117" t="s">
        <v>63</v>
      </c>
      <c r="H499" s="95" t="s">
        <v>3</v>
      </c>
      <c r="I499" s="94">
        <f>SUM(J499:O499)</f>
        <v>3.5</v>
      </c>
      <c r="J499" s="94">
        <f t="shared" ref="J499:O499" si="158">J500+J501+J502</f>
        <v>0</v>
      </c>
      <c r="K499" s="94">
        <f t="shared" si="158"/>
        <v>3.5</v>
      </c>
      <c r="L499" s="94">
        <f t="shared" si="158"/>
        <v>0</v>
      </c>
      <c r="M499" s="94">
        <v>0</v>
      </c>
      <c r="N499" s="94">
        <f t="shared" si="158"/>
        <v>0</v>
      </c>
      <c r="O499" s="94">
        <f t="shared" si="158"/>
        <v>0</v>
      </c>
      <c r="P499" s="117">
        <v>229</v>
      </c>
    </row>
    <row r="500" spans="2:16" outlineLevel="1" x14ac:dyDescent="0.2">
      <c r="B500" s="118"/>
      <c r="C500" s="132"/>
      <c r="D500" s="118"/>
      <c r="E500" s="118"/>
      <c r="F500" s="118"/>
      <c r="G500" s="118"/>
      <c r="H500" s="95" t="s">
        <v>4</v>
      </c>
      <c r="I500" s="94"/>
      <c r="J500" s="94"/>
      <c r="K500" s="94"/>
      <c r="L500" s="94"/>
      <c r="M500" s="94"/>
      <c r="N500" s="94"/>
      <c r="O500" s="94"/>
      <c r="P500" s="118"/>
    </row>
    <row r="501" spans="2:16" outlineLevel="1" x14ac:dyDescent="0.2">
      <c r="B501" s="118"/>
      <c r="C501" s="132"/>
      <c r="D501" s="118"/>
      <c r="E501" s="118"/>
      <c r="F501" s="118"/>
      <c r="G501" s="118"/>
      <c r="H501" s="95" t="s">
        <v>6</v>
      </c>
      <c r="I501" s="94">
        <f>SUM(J501:O501)</f>
        <v>3.5</v>
      </c>
      <c r="J501" s="94"/>
      <c r="K501" s="94">
        <v>3.5</v>
      </c>
      <c r="L501" s="94"/>
      <c r="M501" s="94"/>
      <c r="N501" s="94"/>
      <c r="O501" s="94"/>
      <c r="P501" s="118"/>
    </row>
    <row r="502" spans="2:16" outlineLevel="1" x14ac:dyDescent="0.2">
      <c r="B502" s="119"/>
      <c r="C502" s="133"/>
      <c r="D502" s="119"/>
      <c r="E502" s="119"/>
      <c r="F502" s="119"/>
      <c r="G502" s="119"/>
      <c r="H502" s="95" t="s">
        <v>5</v>
      </c>
      <c r="I502" s="94"/>
      <c r="J502" s="94"/>
      <c r="K502" s="94"/>
      <c r="L502" s="94"/>
      <c r="M502" s="94"/>
      <c r="N502" s="94"/>
      <c r="O502" s="94"/>
      <c r="P502" s="119"/>
    </row>
    <row r="503" spans="2:16" ht="42.75" outlineLevel="1" x14ac:dyDescent="0.2">
      <c r="B503" s="117" t="s">
        <v>1174</v>
      </c>
      <c r="C503" s="117"/>
      <c r="D503" s="117" t="s">
        <v>511</v>
      </c>
      <c r="E503" s="117">
        <v>2021</v>
      </c>
      <c r="F503" s="117"/>
      <c r="G503" s="117" t="s">
        <v>63</v>
      </c>
      <c r="H503" s="95" t="s">
        <v>3</v>
      </c>
      <c r="I503" s="94">
        <f>SUM(J503:O503)</f>
        <v>3.5</v>
      </c>
      <c r="J503" s="94">
        <v>0</v>
      </c>
      <c r="K503" s="94">
        <f t="shared" ref="K503:O503" si="159">K504+K505+K506</f>
        <v>3.5</v>
      </c>
      <c r="L503" s="94">
        <f t="shared" si="159"/>
        <v>0</v>
      </c>
      <c r="M503" s="94">
        <f t="shared" si="159"/>
        <v>0</v>
      </c>
      <c r="N503" s="94">
        <f t="shared" si="159"/>
        <v>0</v>
      </c>
      <c r="O503" s="94">
        <f t="shared" si="159"/>
        <v>0</v>
      </c>
      <c r="P503" s="117">
        <v>154</v>
      </c>
    </row>
    <row r="504" spans="2:16" outlineLevel="1" x14ac:dyDescent="0.2">
      <c r="B504" s="118"/>
      <c r="C504" s="132"/>
      <c r="D504" s="118"/>
      <c r="E504" s="118"/>
      <c r="F504" s="118"/>
      <c r="G504" s="118"/>
      <c r="H504" s="95" t="s">
        <v>4</v>
      </c>
      <c r="I504" s="94"/>
      <c r="J504" s="94"/>
      <c r="K504" s="94"/>
      <c r="L504" s="94"/>
      <c r="M504" s="94"/>
      <c r="N504" s="94"/>
      <c r="O504" s="94"/>
      <c r="P504" s="118"/>
    </row>
    <row r="505" spans="2:16" outlineLevel="1" x14ac:dyDescent="0.2">
      <c r="B505" s="118"/>
      <c r="C505" s="132"/>
      <c r="D505" s="118"/>
      <c r="E505" s="118"/>
      <c r="F505" s="118"/>
      <c r="G505" s="118"/>
      <c r="H505" s="95" t="s">
        <v>6</v>
      </c>
      <c r="I505" s="94">
        <f>SUM(J505:O505)</f>
        <v>3.5</v>
      </c>
      <c r="J505" s="94"/>
      <c r="K505" s="94">
        <v>3.5</v>
      </c>
      <c r="L505" s="94"/>
      <c r="M505" s="94"/>
      <c r="N505" s="94"/>
      <c r="O505" s="94"/>
      <c r="P505" s="118"/>
    </row>
    <row r="506" spans="2:16" outlineLevel="1" x14ac:dyDescent="0.2">
      <c r="B506" s="119"/>
      <c r="C506" s="133"/>
      <c r="D506" s="119"/>
      <c r="E506" s="119"/>
      <c r="F506" s="119"/>
      <c r="G506" s="119"/>
      <c r="H506" s="95" t="s">
        <v>5</v>
      </c>
      <c r="I506" s="94"/>
      <c r="J506" s="94"/>
      <c r="K506" s="94"/>
      <c r="L506" s="94"/>
      <c r="M506" s="94"/>
      <c r="N506" s="94"/>
      <c r="O506" s="94"/>
      <c r="P506" s="119"/>
    </row>
    <row r="507" spans="2:16" ht="42.75" outlineLevel="1" x14ac:dyDescent="0.2">
      <c r="B507" s="117" t="s">
        <v>1175</v>
      </c>
      <c r="C507" s="117"/>
      <c r="D507" s="117" t="s">
        <v>511</v>
      </c>
      <c r="E507" s="117">
        <v>2022</v>
      </c>
      <c r="F507" s="117"/>
      <c r="G507" s="117" t="s">
        <v>63</v>
      </c>
      <c r="H507" s="95" t="s">
        <v>3</v>
      </c>
      <c r="I507" s="94">
        <f>SUM(J507:O507)</f>
        <v>4</v>
      </c>
      <c r="J507" s="94">
        <f t="shared" ref="J507:L507" si="160">J508+J509+J510</f>
        <v>0</v>
      </c>
      <c r="K507" s="94">
        <f t="shared" si="160"/>
        <v>0</v>
      </c>
      <c r="L507" s="94">
        <f t="shared" si="160"/>
        <v>4</v>
      </c>
      <c r="M507" s="94">
        <v>0</v>
      </c>
      <c r="N507" s="94">
        <f t="shared" ref="N507:O507" si="161">N508+N509+N510</f>
        <v>0</v>
      </c>
      <c r="O507" s="94">
        <f t="shared" si="161"/>
        <v>0</v>
      </c>
      <c r="P507" s="117">
        <v>243</v>
      </c>
    </row>
    <row r="508" spans="2:16" outlineLevel="1" x14ac:dyDescent="0.2">
      <c r="B508" s="118"/>
      <c r="C508" s="132"/>
      <c r="D508" s="118"/>
      <c r="E508" s="118"/>
      <c r="F508" s="118"/>
      <c r="G508" s="118"/>
      <c r="H508" s="95" t="s">
        <v>4</v>
      </c>
      <c r="I508" s="94"/>
      <c r="J508" s="94"/>
      <c r="K508" s="94"/>
      <c r="L508" s="94"/>
      <c r="M508" s="94"/>
      <c r="N508" s="94"/>
      <c r="O508" s="94"/>
      <c r="P508" s="118"/>
    </row>
    <row r="509" spans="2:16" outlineLevel="1" x14ac:dyDescent="0.2">
      <c r="B509" s="118"/>
      <c r="C509" s="132"/>
      <c r="D509" s="118"/>
      <c r="E509" s="118"/>
      <c r="F509" s="118"/>
      <c r="G509" s="118"/>
      <c r="H509" s="95" t="s">
        <v>6</v>
      </c>
      <c r="I509" s="94">
        <f>SUM(J509:O509)</f>
        <v>4</v>
      </c>
      <c r="J509" s="94"/>
      <c r="K509" s="94"/>
      <c r="L509" s="94">
        <v>4</v>
      </c>
      <c r="M509" s="94"/>
      <c r="N509" s="94"/>
      <c r="O509" s="94"/>
      <c r="P509" s="118"/>
    </row>
    <row r="510" spans="2:16" outlineLevel="1" x14ac:dyDescent="0.2">
      <c r="B510" s="119"/>
      <c r="C510" s="133"/>
      <c r="D510" s="119"/>
      <c r="E510" s="119"/>
      <c r="F510" s="119"/>
      <c r="G510" s="119"/>
      <c r="H510" s="95" t="s">
        <v>5</v>
      </c>
      <c r="I510" s="94"/>
      <c r="J510" s="94"/>
      <c r="K510" s="94"/>
      <c r="L510" s="94"/>
      <c r="M510" s="94"/>
      <c r="N510" s="94"/>
      <c r="O510" s="94"/>
      <c r="P510" s="119"/>
    </row>
    <row r="511" spans="2:16" ht="42.75" outlineLevel="1" x14ac:dyDescent="0.2">
      <c r="B511" s="117" t="s">
        <v>1176</v>
      </c>
      <c r="C511" s="117"/>
      <c r="D511" s="117" t="s">
        <v>511</v>
      </c>
      <c r="E511" s="117">
        <v>2022</v>
      </c>
      <c r="F511" s="117"/>
      <c r="G511" s="117" t="s">
        <v>63</v>
      </c>
      <c r="H511" s="95" t="s">
        <v>3</v>
      </c>
      <c r="I511" s="94">
        <f>SUM(J511:O511)</f>
        <v>1.5</v>
      </c>
      <c r="J511" s="94">
        <v>0</v>
      </c>
      <c r="K511" s="94">
        <f t="shared" ref="K511:O511" si="162">K512+K513+K514</f>
        <v>0</v>
      </c>
      <c r="L511" s="94">
        <f t="shared" si="162"/>
        <v>1.5</v>
      </c>
      <c r="M511" s="94">
        <f t="shared" si="162"/>
        <v>0</v>
      </c>
      <c r="N511" s="94">
        <f t="shared" si="162"/>
        <v>0</v>
      </c>
      <c r="O511" s="94">
        <f t="shared" si="162"/>
        <v>0</v>
      </c>
      <c r="P511" s="117">
        <v>517</v>
      </c>
    </row>
    <row r="512" spans="2:16" outlineLevel="1" x14ac:dyDescent="0.2">
      <c r="B512" s="118"/>
      <c r="C512" s="132"/>
      <c r="D512" s="118"/>
      <c r="E512" s="118"/>
      <c r="F512" s="118"/>
      <c r="G512" s="118"/>
      <c r="H512" s="95" t="s">
        <v>4</v>
      </c>
      <c r="I512" s="94"/>
      <c r="J512" s="94"/>
      <c r="K512" s="94"/>
      <c r="L512" s="94"/>
      <c r="M512" s="94"/>
      <c r="N512" s="94"/>
      <c r="O512" s="94"/>
      <c r="P512" s="118"/>
    </row>
    <row r="513" spans="2:16" outlineLevel="1" x14ac:dyDescent="0.2">
      <c r="B513" s="118"/>
      <c r="C513" s="132"/>
      <c r="D513" s="118"/>
      <c r="E513" s="118"/>
      <c r="F513" s="118"/>
      <c r="G513" s="118"/>
      <c r="H513" s="95" t="s">
        <v>6</v>
      </c>
      <c r="I513" s="94">
        <f>SUM(J513:O513)</f>
        <v>1.5</v>
      </c>
      <c r="J513" s="94"/>
      <c r="K513" s="94"/>
      <c r="L513" s="94">
        <v>1.5</v>
      </c>
      <c r="M513" s="94"/>
      <c r="N513" s="94"/>
      <c r="O513" s="94"/>
      <c r="P513" s="118"/>
    </row>
    <row r="514" spans="2:16" outlineLevel="1" x14ac:dyDescent="0.2">
      <c r="B514" s="119"/>
      <c r="C514" s="133"/>
      <c r="D514" s="119"/>
      <c r="E514" s="119"/>
      <c r="F514" s="119"/>
      <c r="G514" s="119"/>
      <c r="H514" s="95" t="s">
        <v>5</v>
      </c>
      <c r="I514" s="94"/>
      <c r="J514" s="94"/>
      <c r="K514" s="94"/>
      <c r="L514" s="94"/>
      <c r="M514" s="94"/>
      <c r="N514" s="94"/>
      <c r="O514" s="94"/>
      <c r="P514" s="119"/>
    </row>
    <row r="515" spans="2:16" ht="42.75" outlineLevel="1" x14ac:dyDescent="0.2">
      <c r="B515" s="117" t="s">
        <v>1177</v>
      </c>
      <c r="C515" s="117"/>
      <c r="D515" s="117" t="s">
        <v>511</v>
      </c>
      <c r="E515" s="117">
        <v>2021</v>
      </c>
      <c r="F515" s="117"/>
      <c r="G515" s="117" t="s">
        <v>63</v>
      </c>
      <c r="H515" s="95" t="s">
        <v>3</v>
      </c>
      <c r="I515" s="94">
        <f>SUM(J515:O515)</f>
        <v>4</v>
      </c>
      <c r="J515" s="94">
        <f t="shared" ref="J515:L515" si="163">J516+J517+J518</f>
        <v>0</v>
      </c>
      <c r="K515" s="94">
        <f t="shared" si="163"/>
        <v>4</v>
      </c>
      <c r="L515" s="94">
        <f t="shared" si="163"/>
        <v>0</v>
      </c>
      <c r="M515" s="94">
        <v>0</v>
      </c>
      <c r="N515" s="94">
        <f t="shared" ref="N515:O515" si="164">N516+N517+N518</f>
        <v>0</v>
      </c>
      <c r="O515" s="94">
        <f t="shared" si="164"/>
        <v>0</v>
      </c>
      <c r="P515" s="117">
        <v>418</v>
      </c>
    </row>
    <row r="516" spans="2:16" outlineLevel="1" x14ac:dyDescent="0.2">
      <c r="B516" s="118"/>
      <c r="C516" s="132"/>
      <c r="D516" s="118"/>
      <c r="E516" s="118"/>
      <c r="F516" s="118"/>
      <c r="G516" s="118"/>
      <c r="H516" s="95" t="s">
        <v>4</v>
      </c>
      <c r="I516" s="94"/>
      <c r="J516" s="94"/>
      <c r="K516" s="94"/>
      <c r="L516" s="94"/>
      <c r="M516" s="94"/>
      <c r="N516" s="94"/>
      <c r="O516" s="94"/>
      <c r="P516" s="118"/>
    </row>
    <row r="517" spans="2:16" outlineLevel="1" x14ac:dyDescent="0.2">
      <c r="B517" s="118"/>
      <c r="C517" s="132"/>
      <c r="D517" s="118"/>
      <c r="E517" s="118"/>
      <c r="F517" s="118"/>
      <c r="G517" s="118"/>
      <c r="H517" s="95" t="s">
        <v>6</v>
      </c>
      <c r="I517" s="94">
        <f>SUM(J517:O517)</f>
        <v>4</v>
      </c>
      <c r="J517" s="94"/>
      <c r="K517" s="94">
        <v>4</v>
      </c>
      <c r="L517" s="94"/>
      <c r="M517" s="94"/>
      <c r="N517" s="94"/>
      <c r="O517" s="94"/>
      <c r="P517" s="118"/>
    </row>
    <row r="518" spans="2:16" outlineLevel="1" x14ac:dyDescent="0.2">
      <c r="B518" s="119"/>
      <c r="C518" s="133"/>
      <c r="D518" s="119"/>
      <c r="E518" s="119"/>
      <c r="F518" s="119"/>
      <c r="G518" s="119"/>
      <c r="H518" s="95" t="s">
        <v>5</v>
      </c>
      <c r="I518" s="94"/>
      <c r="J518" s="94"/>
      <c r="K518" s="94"/>
      <c r="L518" s="94"/>
      <c r="M518" s="94"/>
      <c r="N518" s="94"/>
      <c r="O518" s="94"/>
      <c r="P518" s="119"/>
    </row>
    <row r="519" spans="2:16" ht="42.75" outlineLevel="1" x14ac:dyDescent="0.2">
      <c r="B519" s="117" t="s">
        <v>1178</v>
      </c>
      <c r="C519" s="117"/>
      <c r="D519" s="117" t="s">
        <v>511</v>
      </c>
      <c r="E519" s="117">
        <v>2021</v>
      </c>
      <c r="F519" s="117"/>
      <c r="G519" s="117" t="s">
        <v>63</v>
      </c>
      <c r="H519" s="95" t="s">
        <v>3</v>
      </c>
      <c r="I519" s="94">
        <f>SUM(J519:O519)</f>
        <v>3</v>
      </c>
      <c r="J519" s="94">
        <v>0</v>
      </c>
      <c r="K519" s="94">
        <f t="shared" ref="K519:O519" si="165">K520+K521+K522</f>
        <v>3</v>
      </c>
      <c r="L519" s="94">
        <f t="shared" si="165"/>
        <v>0</v>
      </c>
      <c r="M519" s="94">
        <f t="shared" si="165"/>
        <v>0</v>
      </c>
      <c r="N519" s="94">
        <f t="shared" si="165"/>
        <v>0</v>
      </c>
      <c r="O519" s="94">
        <f t="shared" si="165"/>
        <v>0</v>
      </c>
      <c r="P519" s="117">
        <v>145</v>
      </c>
    </row>
    <row r="520" spans="2:16" outlineLevel="1" x14ac:dyDescent="0.2">
      <c r="B520" s="118"/>
      <c r="C520" s="132"/>
      <c r="D520" s="118"/>
      <c r="E520" s="118"/>
      <c r="F520" s="118"/>
      <c r="G520" s="118"/>
      <c r="H520" s="95" t="s">
        <v>4</v>
      </c>
      <c r="I520" s="94"/>
      <c r="J520" s="94"/>
      <c r="K520" s="94"/>
      <c r="L520" s="94"/>
      <c r="M520" s="94"/>
      <c r="N520" s="94"/>
      <c r="O520" s="94"/>
      <c r="P520" s="118"/>
    </row>
    <row r="521" spans="2:16" outlineLevel="1" x14ac:dyDescent="0.2">
      <c r="B521" s="118"/>
      <c r="C521" s="132"/>
      <c r="D521" s="118"/>
      <c r="E521" s="118"/>
      <c r="F521" s="118"/>
      <c r="G521" s="118"/>
      <c r="H521" s="95" t="s">
        <v>6</v>
      </c>
      <c r="I521" s="94">
        <f>SUM(J521:O521)</f>
        <v>3</v>
      </c>
      <c r="J521" s="94"/>
      <c r="K521" s="94">
        <v>3</v>
      </c>
      <c r="L521" s="94"/>
      <c r="M521" s="94"/>
      <c r="N521" s="94"/>
      <c r="O521" s="94"/>
      <c r="P521" s="118"/>
    </row>
    <row r="522" spans="2:16" outlineLevel="1" x14ac:dyDescent="0.2">
      <c r="B522" s="119"/>
      <c r="C522" s="133"/>
      <c r="D522" s="119"/>
      <c r="E522" s="119"/>
      <c r="F522" s="119"/>
      <c r="G522" s="119"/>
      <c r="H522" s="95" t="s">
        <v>5</v>
      </c>
      <c r="I522" s="94"/>
      <c r="J522" s="94"/>
      <c r="K522" s="94"/>
      <c r="L522" s="94"/>
      <c r="M522" s="94"/>
      <c r="N522" s="94"/>
      <c r="O522" s="94"/>
      <c r="P522" s="119"/>
    </row>
    <row r="523" spans="2:16" ht="42.75" outlineLevel="1" x14ac:dyDescent="0.2">
      <c r="B523" s="117" t="s">
        <v>1179</v>
      </c>
      <c r="C523" s="117"/>
      <c r="D523" s="117" t="s">
        <v>511</v>
      </c>
      <c r="E523" s="117">
        <v>2021</v>
      </c>
      <c r="F523" s="117"/>
      <c r="G523" s="117" t="s">
        <v>63</v>
      </c>
      <c r="H523" s="95" t="s">
        <v>3</v>
      </c>
      <c r="I523" s="94">
        <f>SUM(J523:O523)</f>
        <v>3</v>
      </c>
      <c r="J523" s="94">
        <f t="shared" ref="J523:L523" si="166">J524+J525+J526</f>
        <v>0</v>
      </c>
      <c r="K523" s="94">
        <f t="shared" si="166"/>
        <v>3</v>
      </c>
      <c r="L523" s="94">
        <f t="shared" si="166"/>
        <v>0</v>
      </c>
      <c r="M523" s="94">
        <v>0</v>
      </c>
      <c r="N523" s="94">
        <f t="shared" ref="N523:O523" si="167">N524+N525+N526</f>
        <v>0</v>
      </c>
      <c r="O523" s="94">
        <f t="shared" si="167"/>
        <v>0</v>
      </c>
      <c r="P523" s="117">
        <v>664</v>
      </c>
    </row>
    <row r="524" spans="2:16" outlineLevel="1" x14ac:dyDescent="0.2">
      <c r="B524" s="118"/>
      <c r="C524" s="132"/>
      <c r="D524" s="118"/>
      <c r="E524" s="118"/>
      <c r="F524" s="118"/>
      <c r="G524" s="118"/>
      <c r="H524" s="95" t="s">
        <v>4</v>
      </c>
      <c r="I524" s="94"/>
      <c r="J524" s="94"/>
      <c r="K524" s="94"/>
      <c r="L524" s="94"/>
      <c r="M524" s="94"/>
      <c r="N524" s="94"/>
      <c r="O524" s="94"/>
      <c r="P524" s="118"/>
    </row>
    <row r="525" spans="2:16" outlineLevel="1" x14ac:dyDescent="0.2">
      <c r="B525" s="118"/>
      <c r="C525" s="132"/>
      <c r="D525" s="118"/>
      <c r="E525" s="118"/>
      <c r="F525" s="118"/>
      <c r="G525" s="118"/>
      <c r="H525" s="95" t="s">
        <v>6</v>
      </c>
      <c r="I525" s="94">
        <f>SUM(J525:O525)</f>
        <v>3</v>
      </c>
      <c r="J525" s="94"/>
      <c r="K525" s="94">
        <v>3</v>
      </c>
      <c r="L525" s="94"/>
      <c r="M525" s="94"/>
      <c r="N525" s="94"/>
      <c r="O525" s="94"/>
      <c r="P525" s="118"/>
    </row>
    <row r="526" spans="2:16" outlineLevel="1" x14ac:dyDescent="0.2">
      <c r="B526" s="119"/>
      <c r="C526" s="133"/>
      <c r="D526" s="119"/>
      <c r="E526" s="119"/>
      <c r="F526" s="119"/>
      <c r="G526" s="119"/>
      <c r="H526" s="95" t="s">
        <v>5</v>
      </c>
      <c r="I526" s="94"/>
      <c r="J526" s="94"/>
      <c r="K526" s="94"/>
      <c r="L526" s="94"/>
      <c r="M526" s="94"/>
      <c r="N526" s="94"/>
      <c r="O526" s="94"/>
      <c r="P526" s="119"/>
    </row>
    <row r="527" spans="2:16" ht="42.75" outlineLevel="1" x14ac:dyDescent="0.2">
      <c r="B527" s="117" t="s">
        <v>1180</v>
      </c>
      <c r="C527" s="117"/>
      <c r="D527" s="117" t="s">
        <v>511</v>
      </c>
      <c r="E527" s="117">
        <v>2021</v>
      </c>
      <c r="F527" s="117"/>
      <c r="G527" s="117" t="s">
        <v>63</v>
      </c>
      <c r="H527" s="95" t="s">
        <v>3</v>
      </c>
      <c r="I527" s="94">
        <f>SUM(J527:O527)</f>
        <v>3</v>
      </c>
      <c r="J527" s="94">
        <v>0</v>
      </c>
      <c r="K527" s="94">
        <f t="shared" ref="K527:O527" si="168">K528+K529+K530</f>
        <v>3</v>
      </c>
      <c r="L527" s="94">
        <f t="shared" si="168"/>
        <v>0</v>
      </c>
      <c r="M527" s="94">
        <f t="shared" si="168"/>
        <v>0</v>
      </c>
      <c r="N527" s="94">
        <f t="shared" si="168"/>
        <v>0</v>
      </c>
      <c r="O527" s="94">
        <f t="shared" si="168"/>
        <v>0</v>
      </c>
      <c r="P527" s="117">
        <v>163</v>
      </c>
    </row>
    <row r="528" spans="2:16" outlineLevel="1" x14ac:dyDescent="0.2">
      <c r="B528" s="118"/>
      <c r="C528" s="132"/>
      <c r="D528" s="118"/>
      <c r="E528" s="118"/>
      <c r="F528" s="118"/>
      <c r="G528" s="118"/>
      <c r="H528" s="95" t="s">
        <v>4</v>
      </c>
      <c r="I528" s="94"/>
      <c r="J528" s="94"/>
      <c r="K528" s="94"/>
      <c r="L528" s="94"/>
      <c r="M528" s="94"/>
      <c r="N528" s="94"/>
      <c r="O528" s="94"/>
      <c r="P528" s="118"/>
    </row>
    <row r="529" spans="2:16" outlineLevel="1" x14ac:dyDescent="0.2">
      <c r="B529" s="118"/>
      <c r="C529" s="132"/>
      <c r="D529" s="118"/>
      <c r="E529" s="118"/>
      <c r="F529" s="118"/>
      <c r="G529" s="118"/>
      <c r="H529" s="95" t="s">
        <v>6</v>
      </c>
      <c r="I529" s="94">
        <f>SUM(J529:O529)</f>
        <v>3</v>
      </c>
      <c r="J529" s="94"/>
      <c r="K529" s="94">
        <v>3</v>
      </c>
      <c r="L529" s="94"/>
      <c r="M529" s="94"/>
      <c r="N529" s="94"/>
      <c r="O529" s="94"/>
      <c r="P529" s="118"/>
    </row>
    <row r="530" spans="2:16" outlineLevel="1" x14ac:dyDescent="0.2">
      <c r="B530" s="119"/>
      <c r="C530" s="133"/>
      <c r="D530" s="119"/>
      <c r="E530" s="119"/>
      <c r="F530" s="119"/>
      <c r="G530" s="119"/>
      <c r="H530" s="95" t="s">
        <v>5</v>
      </c>
      <c r="I530" s="94"/>
      <c r="J530" s="94"/>
      <c r="K530" s="94"/>
      <c r="L530" s="94"/>
      <c r="M530" s="94"/>
      <c r="N530" s="94"/>
      <c r="O530" s="94"/>
      <c r="P530" s="119"/>
    </row>
    <row r="531" spans="2:16" ht="42.75" outlineLevel="1" x14ac:dyDescent="0.2">
      <c r="B531" s="117" t="s">
        <v>1181</v>
      </c>
      <c r="C531" s="117"/>
      <c r="D531" s="117" t="s">
        <v>511</v>
      </c>
      <c r="E531" s="117">
        <v>2021</v>
      </c>
      <c r="F531" s="117"/>
      <c r="G531" s="117" t="s">
        <v>63</v>
      </c>
      <c r="H531" s="95" t="s">
        <v>3</v>
      </c>
      <c r="I531" s="94">
        <f>SUM(J531:O531)</f>
        <v>0.5</v>
      </c>
      <c r="J531" s="94">
        <f t="shared" ref="J531:L531" si="169">J532+J533+J534</f>
        <v>0</v>
      </c>
      <c r="K531" s="94">
        <f t="shared" si="169"/>
        <v>0.5</v>
      </c>
      <c r="L531" s="94">
        <f t="shared" si="169"/>
        <v>0</v>
      </c>
      <c r="M531" s="94">
        <v>0</v>
      </c>
      <c r="N531" s="94">
        <f t="shared" ref="N531:O531" si="170">N532+N533+N534</f>
        <v>0</v>
      </c>
      <c r="O531" s="94">
        <f t="shared" si="170"/>
        <v>0</v>
      </c>
      <c r="P531" s="117">
        <v>332</v>
      </c>
    </row>
    <row r="532" spans="2:16" outlineLevel="1" x14ac:dyDescent="0.2">
      <c r="B532" s="118"/>
      <c r="C532" s="132"/>
      <c r="D532" s="118"/>
      <c r="E532" s="118"/>
      <c r="F532" s="118"/>
      <c r="G532" s="118"/>
      <c r="H532" s="95" t="s">
        <v>4</v>
      </c>
      <c r="I532" s="94"/>
      <c r="J532" s="94"/>
      <c r="K532" s="94"/>
      <c r="L532" s="94"/>
      <c r="M532" s="94"/>
      <c r="N532" s="94"/>
      <c r="O532" s="94"/>
      <c r="P532" s="118"/>
    </row>
    <row r="533" spans="2:16" outlineLevel="1" x14ac:dyDescent="0.2">
      <c r="B533" s="118"/>
      <c r="C533" s="132"/>
      <c r="D533" s="118"/>
      <c r="E533" s="118"/>
      <c r="F533" s="118"/>
      <c r="G533" s="118"/>
      <c r="H533" s="95" t="s">
        <v>6</v>
      </c>
      <c r="I533" s="94">
        <f>SUM(J533:O533)</f>
        <v>0.5</v>
      </c>
      <c r="J533" s="94"/>
      <c r="K533" s="94">
        <v>0.5</v>
      </c>
      <c r="L533" s="94"/>
      <c r="M533" s="94"/>
      <c r="N533" s="94"/>
      <c r="O533" s="94"/>
      <c r="P533" s="118"/>
    </row>
    <row r="534" spans="2:16" outlineLevel="1" x14ac:dyDescent="0.2">
      <c r="B534" s="119"/>
      <c r="C534" s="133"/>
      <c r="D534" s="119"/>
      <c r="E534" s="119"/>
      <c r="F534" s="119"/>
      <c r="G534" s="119"/>
      <c r="H534" s="95" t="s">
        <v>5</v>
      </c>
      <c r="I534" s="94"/>
      <c r="J534" s="94"/>
      <c r="K534" s="94"/>
      <c r="L534" s="94"/>
      <c r="M534" s="94"/>
      <c r="N534" s="94"/>
      <c r="O534" s="94"/>
      <c r="P534" s="119"/>
    </row>
    <row r="535" spans="2:16" ht="42.75" outlineLevel="1" x14ac:dyDescent="0.2">
      <c r="B535" s="117" t="s">
        <v>1182</v>
      </c>
      <c r="C535" s="117"/>
      <c r="D535" s="117" t="s">
        <v>511</v>
      </c>
      <c r="E535" s="117">
        <v>2021</v>
      </c>
      <c r="F535" s="117"/>
      <c r="G535" s="117" t="s">
        <v>63</v>
      </c>
      <c r="H535" s="95" t="s">
        <v>3</v>
      </c>
      <c r="I535" s="94">
        <f>SUM(J535:O535)</f>
        <v>0.3</v>
      </c>
      <c r="J535" s="94">
        <v>0</v>
      </c>
      <c r="K535" s="94">
        <f t="shared" ref="K535:O535" si="171">K536+K537+K538</f>
        <v>0.3</v>
      </c>
      <c r="L535" s="94">
        <f t="shared" si="171"/>
        <v>0</v>
      </c>
      <c r="M535" s="94">
        <f t="shared" si="171"/>
        <v>0</v>
      </c>
      <c r="N535" s="94">
        <f t="shared" si="171"/>
        <v>0</v>
      </c>
      <c r="O535" s="94">
        <f t="shared" si="171"/>
        <v>0</v>
      </c>
      <c r="P535" s="117">
        <v>108</v>
      </c>
    </row>
    <row r="536" spans="2:16" outlineLevel="1" x14ac:dyDescent="0.2">
      <c r="B536" s="118"/>
      <c r="C536" s="132"/>
      <c r="D536" s="118"/>
      <c r="E536" s="118"/>
      <c r="F536" s="118"/>
      <c r="G536" s="118"/>
      <c r="H536" s="95" t="s">
        <v>4</v>
      </c>
      <c r="I536" s="94"/>
      <c r="J536" s="94"/>
      <c r="K536" s="94"/>
      <c r="L536" s="94"/>
      <c r="M536" s="94"/>
      <c r="N536" s="94"/>
      <c r="O536" s="94"/>
      <c r="P536" s="118"/>
    </row>
    <row r="537" spans="2:16" outlineLevel="1" x14ac:dyDescent="0.2">
      <c r="B537" s="118"/>
      <c r="C537" s="132"/>
      <c r="D537" s="118"/>
      <c r="E537" s="118"/>
      <c r="F537" s="118"/>
      <c r="G537" s="118"/>
      <c r="H537" s="95" t="s">
        <v>6</v>
      </c>
      <c r="I537" s="94">
        <f>SUM(J537:O537)</f>
        <v>0.3</v>
      </c>
      <c r="J537" s="94"/>
      <c r="K537" s="94">
        <v>0.3</v>
      </c>
      <c r="L537" s="94"/>
      <c r="M537" s="94"/>
      <c r="N537" s="94"/>
      <c r="O537" s="94"/>
      <c r="P537" s="118"/>
    </row>
    <row r="538" spans="2:16" outlineLevel="1" x14ac:dyDescent="0.2">
      <c r="B538" s="119"/>
      <c r="C538" s="133"/>
      <c r="D538" s="119"/>
      <c r="E538" s="119"/>
      <c r="F538" s="119"/>
      <c r="G538" s="119"/>
      <c r="H538" s="95" t="s">
        <v>5</v>
      </c>
      <c r="I538" s="94"/>
      <c r="J538" s="94"/>
      <c r="K538" s="94"/>
      <c r="L538" s="94"/>
      <c r="M538" s="94"/>
      <c r="N538" s="94"/>
      <c r="O538" s="94"/>
      <c r="P538" s="119"/>
    </row>
    <row r="539" spans="2:16" ht="42.75" outlineLevel="1" x14ac:dyDescent="0.2">
      <c r="B539" s="117" t="s">
        <v>1183</v>
      </c>
      <c r="C539" s="117"/>
      <c r="D539" s="117" t="s">
        <v>511</v>
      </c>
      <c r="E539" s="117">
        <v>2022</v>
      </c>
      <c r="F539" s="117"/>
      <c r="G539" s="117" t="s">
        <v>63</v>
      </c>
      <c r="H539" s="95" t="s">
        <v>3</v>
      </c>
      <c r="I539" s="94">
        <f>SUM(J539:O539)</f>
        <v>4</v>
      </c>
      <c r="J539" s="94">
        <f t="shared" ref="J539:L539" si="172">J540+J541+J542</f>
        <v>0</v>
      </c>
      <c r="K539" s="94">
        <f t="shared" si="172"/>
        <v>0</v>
      </c>
      <c r="L539" s="94">
        <f t="shared" si="172"/>
        <v>4</v>
      </c>
      <c r="M539" s="94">
        <v>0</v>
      </c>
      <c r="N539" s="94">
        <f t="shared" ref="N539:O539" si="173">N540+N541+N542</f>
        <v>0</v>
      </c>
      <c r="O539" s="94">
        <f t="shared" si="173"/>
        <v>0</v>
      </c>
      <c r="P539" s="117">
        <v>676</v>
      </c>
    </row>
    <row r="540" spans="2:16" outlineLevel="1" x14ac:dyDescent="0.2">
      <c r="B540" s="118"/>
      <c r="C540" s="132"/>
      <c r="D540" s="118"/>
      <c r="E540" s="118"/>
      <c r="F540" s="118"/>
      <c r="G540" s="118"/>
      <c r="H540" s="95" t="s">
        <v>4</v>
      </c>
      <c r="I540" s="94"/>
      <c r="J540" s="94"/>
      <c r="K540" s="94"/>
      <c r="L540" s="94"/>
      <c r="M540" s="94"/>
      <c r="N540" s="94"/>
      <c r="O540" s="94"/>
      <c r="P540" s="118"/>
    </row>
    <row r="541" spans="2:16" outlineLevel="1" x14ac:dyDescent="0.2">
      <c r="B541" s="118"/>
      <c r="C541" s="132"/>
      <c r="D541" s="118"/>
      <c r="E541" s="118"/>
      <c r="F541" s="118"/>
      <c r="G541" s="118"/>
      <c r="H541" s="95" t="s">
        <v>6</v>
      </c>
      <c r="I541" s="94">
        <f>SUM(J541:O541)</f>
        <v>4</v>
      </c>
      <c r="J541" s="94"/>
      <c r="K541" s="94"/>
      <c r="L541" s="94">
        <v>4</v>
      </c>
      <c r="M541" s="94"/>
      <c r="N541" s="94"/>
      <c r="O541" s="94"/>
      <c r="P541" s="118"/>
    </row>
    <row r="542" spans="2:16" outlineLevel="1" x14ac:dyDescent="0.2">
      <c r="B542" s="119"/>
      <c r="C542" s="133"/>
      <c r="D542" s="119"/>
      <c r="E542" s="119"/>
      <c r="F542" s="119"/>
      <c r="G542" s="119"/>
      <c r="H542" s="95" t="s">
        <v>5</v>
      </c>
      <c r="I542" s="94"/>
      <c r="J542" s="94"/>
      <c r="K542" s="94"/>
      <c r="L542" s="94"/>
      <c r="M542" s="94"/>
      <c r="N542" s="94"/>
      <c r="O542" s="94"/>
      <c r="P542" s="119"/>
    </row>
    <row r="543" spans="2:16" ht="42.75" outlineLevel="1" x14ac:dyDescent="0.2">
      <c r="B543" s="117" t="s">
        <v>1184</v>
      </c>
      <c r="C543" s="117"/>
      <c r="D543" s="117" t="s">
        <v>511</v>
      </c>
      <c r="E543" s="117">
        <v>2021</v>
      </c>
      <c r="F543" s="117"/>
      <c r="G543" s="117" t="s">
        <v>63</v>
      </c>
      <c r="H543" s="95" t="s">
        <v>3</v>
      </c>
      <c r="I543" s="94">
        <f>SUM(J543:O543)</f>
        <v>10</v>
      </c>
      <c r="J543" s="94">
        <v>0</v>
      </c>
      <c r="K543" s="94">
        <f t="shared" ref="K543:O543" si="174">K544+K545+K546</f>
        <v>10</v>
      </c>
      <c r="L543" s="94">
        <f t="shared" si="174"/>
        <v>0</v>
      </c>
      <c r="M543" s="94">
        <f t="shared" si="174"/>
        <v>0</v>
      </c>
      <c r="N543" s="94">
        <f t="shared" si="174"/>
        <v>0</v>
      </c>
      <c r="O543" s="94">
        <f t="shared" si="174"/>
        <v>0</v>
      </c>
      <c r="P543" s="117">
        <v>303</v>
      </c>
    </row>
    <row r="544" spans="2:16" outlineLevel="1" x14ac:dyDescent="0.2">
      <c r="B544" s="118"/>
      <c r="C544" s="132"/>
      <c r="D544" s="118"/>
      <c r="E544" s="118"/>
      <c r="F544" s="118"/>
      <c r="G544" s="118"/>
      <c r="H544" s="95" t="s">
        <v>4</v>
      </c>
      <c r="I544" s="94"/>
      <c r="J544" s="94"/>
      <c r="K544" s="94"/>
      <c r="L544" s="94"/>
      <c r="M544" s="94"/>
      <c r="N544" s="94"/>
      <c r="O544" s="94"/>
      <c r="P544" s="118"/>
    </row>
    <row r="545" spans="2:17" outlineLevel="1" x14ac:dyDescent="0.2">
      <c r="B545" s="118"/>
      <c r="C545" s="132"/>
      <c r="D545" s="118"/>
      <c r="E545" s="118"/>
      <c r="F545" s="118"/>
      <c r="G545" s="118"/>
      <c r="H545" s="95" t="s">
        <v>6</v>
      </c>
      <c r="I545" s="94">
        <f>SUM(J545:O545)</f>
        <v>10</v>
      </c>
      <c r="J545" s="94"/>
      <c r="K545" s="94">
        <v>10</v>
      </c>
      <c r="L545" s="94"/>
      <c r="M545" s="94"/>
      <c r="N545" s="94"/>
      <c r="O545" s="94"/>
      <c r="P545" s="118"/>
    </row>
    <row r="546" spans="2:17" outlineLevel="1" x14ac:dyDescent="0.2">
      <c r="B546" s="119"/>
      <c r="C546" s="133"/>
      <c r="D546" s="119"/>
      <c r="E546" s="119"/>
      <c r="F546" s="119"/>
      <c r="G546" s="119"/>
      <c r="H546" s="95" t="s">
        <v>5</v>
      </c>
      <c r="I546" s="94"/>
      <c r="J546" s="94"/>
      <c r="K546" s="94"/>
      <c r="L546" s="94"/>
      <c r="M546" s="94"/>
      <c r="N546" s="94"/>
      <c r="O546" s="94"/>
      <c r="P546" s="119"/>
    </row>
    <row r="547" spans="2:17" ht="42.75" outlineLevel="1" x14ac:dyDescent="0.2">
      <c r="B547" s="117" t="s">
        <v>1185</v>
      </c>
      <c r="C547" s="117"/>
      <c r="D547" s="117" t="s">
        <v>511</v>
      </c>
      <c r="E547" s="117">
        <v>2022</v>
      </c>
      <c r="F547" s="117"/>
      <c r="G547" s="117" t="s">
        <v>63</v>
      </c>
      <c r="H547" s="95" t="s">
        <v>3</v>
      </c>
      <c r="I547" s="94">
        <f>SUM(J547:O547)</f>
        <v>10</v>
      </c>
      <c r="J547" s="94">
        <f t="shared" ref="J547:L547" si="175">J548+J549+J550</f>
        <v>0</v>
      </c>
      <c r="K547" s="94">
        <f t="shared" si="175"/>
        <v>0</v>
      </c>
      <c r="L547" s="94">
        <f t="shared" si="175"/>
        <v>10</v>
      </c>
      <c r="M547" s="94">
        <v>0</v>
      </c>
      <c r="N547" s="94">
        <f t="shared" ref="N547:O547" si="176">N548+N549+N550</f>
        <v>0</v>
      </c>
      <c r="O547" s="94">
        <f t="shared" si="176"/>
        <v>0</v>
      </c>
      <c r="P547" s="117">
        <v>1466</v>
      </c>
    </row>
    <row r="548" spans="2:17" outlineLevel="1" x14ac:dyDescent="0.2">
      <c r="B548" s="118"/>
      <c r="C548" s="132"/>
      <c r="D548" s="118"/>
      <c r="E548" s="118"/>
      <c r="F548" s="118"/>
      <c r="G548" s="118"/>
      <c r="H548" s="95" t="s">
        <v>4</v>
      </c>
      <c r="I548" s="94"/>
      <c r="J548" s="94"/>
      <c r="K548" s="94"/>
      <c r="L548" s="94"/>
      <c r="M548" s="94"/>
      <c r="N548" s="94"/>
      <c r="O548" s="94"/>
      <c r="P548" s="118"/>
    </row>
    <row r="549" spans="2:17" outlineLevel="1" x14ac:dyDescent="0.2">
      <c r="B549" s="118"/>
      <c r="C549" s="132"/>
      <c r="D549" s="118"/>
      <c r="E549" s="118"/>
      <c r="F549" s="118"/>
      <c r="G549" s="118"/>
      <c r="H549" s="95" t="s">
        <v>6</v>
      </c>
      <c r="I549" s="94">
        <f>SUM(J549:O549)</f>
        <v>10</v>
      </c>
      <c r="J549" s="94"/>
      <c r="K549" s="94"/>
      <c r="L549" s="94">
        <v>10</v>
      </c>
      <c r="M549" s="94"/>
      <c r="N549" s="94"/>
      <c r="O549" s="94"/>
      <c r="P549" s="118"/>
    </row>
    <row r="550" spans="2:17" outlineLevel="1" x14ac:dyDescent="0.2">
      <c r="B550" s="119"/>
      <c r="C550" s="133"/>
      <c r="D550" s="119"/>
      <c r="E550" s="119"/>
      <c r="F550" s="119"/>
      <c r="G550" s="119"/>
      <c r="H550" s="95" t="s">
        <v>5</v>
      </c>
      <c r="I550" s="94"/>
      <c r="J550" s="94"/>
      <c r="K550" s="94"/>
      <c r="L550" s="94"/>
      <c r="M550" s="94"/>
      <c r="N550" s="94"/>
      <c r="O550" s="94"/>
      <c r="P550" s="119"/>
    </row>
    <row r="551" spans="2:17" ht="42.75" outlineLevel="1" x14ac:dyDescent="0.2">
      <c r="B551" s="117" t="s">
        <v>1186</v>
      </c>
      <c r="C551" s="117"/>
      <c r="D551" s="117" t="s">
        <v>511</v>
      </c>
      <c r="E551" s="117">
        <v>2021</v>
      </c>
      <c r="F551" s="117"/>
      <c r="G551" s="117" t="s">
        <v>63</v>
      </c>
      <c r="H551" s="95" t="s">
        <v>3</v>
      </c>
      <c r="I551" s="94">
        <f>SUM(J551:O551)</f>
        <v>3</v>
      </c>
      <c r="J551" s="94">
        <v>0</v>
      </c>
      <c r="K551" s="94">
        <f t="shared" ref="K551:O551" si="177">K552+K553+K554</f>
        <v>3</v>
      </c>
      <c r="L551" s="94">
        <f t="shared" si="177"/>
        <v>0</v>
      </c>
      <c r="M551" s="94">
        <f t="shared" si="177"/>
        <v>0</v>
      </c>
      <c r="N551" s="94">
        <f t="shared" si="177"/>
        <v>0</v>
      </c>
      <c r="O551" s="94">
        <f t="shared" si="177"/>
        <v>0</v>
      </c>
      <c r="P551" s="117">
        <v>402</v>
      </c>
    </row>
    <row r="552" spans="2:17" outlineLevel="1" x14ac:dyDescent="0.2">
      <c r="B552" s="118"/>
      <c r="C552" s="132"/>
      <c r="D552" s="118"/>
      <c r="E552" s="118"/>
      <c r="F552" s="118"/>
      <c r="G552" s="118"/>
      <c r="H552" s="95" t="s">
        <v>4</v>
      </c>
      <c r="I552" s="94"/>
      <c r="J552" s="94"/>
      <c r="K552" s="94"/>
      <c r="L552" s="94"/>
      <c r="M552" s="94"/>
      <c r="N552" s="94"/>
      <c r="O552" s="94"/>
      <c r="P552" s="118"/>
    </row>
    <row r="553" spans="2:17" outlineLevel="1" x14ac:dyDescent="0.2">
      <c r="B553" s="118"/>
      <c r="C553" s="132"/>
      <c r="D553" s="118"/>
      <c r="E553" s="118"/>
      <c r="F553" s="118"/>
      <c r="G553" s="118"/>
      <c r="H553" s="95" t="s">
        <v>6</v>
      </c>
      <c r="I553" s="94">
        <f>SUM(J553:O553)</f>
        <v>3</v>
      </c>
      <c r="J553" s="94"/>
      <c r="K553" s="94">
        <v>3</v>
      </c>
      <c r="L553" s="94"/>
      <c r="M553" s="94"/>
      <c r="N553" s="94"/>
      <c r="O553" s="94"/>
      <c r="P553" s="118"/>
    </row>
    <row r="554" spans="2:17" outlineLevel="1" x14ac:dyDescent="0.2">
      <c r="B554" s="119"/>
      <c r="C554" s="133"/>
      <c r="D554" s="119"/>
      <c r="E554" s="119"/>
      <c r="F554" s="119"/>
      <c r="G554" s="119"/>
      <c r="H554" s="95" t="s">
        <v>5</v>
      </c>
      <c r="I554" s="94"/>
      <c r="J554" s="94"/>
      <c r="K554" s="94"/>
      <c r="L554" s="94"/>
      <c r="M554" s="94"/>
      <c r="N554" s="94"/>
      <c r="O554" s="94"/>
      <c r="P554" s="119"/>
    </row>
    <row r="555" spans="2:17" ht="42.75" outlineLevel="1" x14ac:dyDescent="0.2">
      <c r="B555" s="117" t="s">
        <v>1878</v>
      </c>
      <c r="C555" s="117"/>
      <c r="D555" s="117" t="s">
        <v>1879</v>
      </c>
      <c r="E555" s="117">
        <v>2023</v>
      </c>
      <c r="F555" s="117"/>
      <c r="G555" s="117"/>
      <c r="H555" s="95" t="s">
        <v>3</v>
      </c>
      <c r="I555" s="94">
        <f>SUM(J555:O555)</f>
        <v>46.3</v>
      </c>
      <c r="J555" s="94">
        <v>0</v>
      </c>
      <c r="K555" s="94">
        <f t="shared" ref="K555:O555" si="178">K556+K557+K558</f>
        <v>0</v>
      </c>
      <c r="L555" s="94">
        <f t="shared" si="178"/>
        <v>0</v>
      </c>
      <c r="M555" s="94">
        <f t="shared" si="178"/>
        <v>46.3</v>
      </c>
      <c r="N555" s="94">
        <f t="shared" si="178"/>
        <v>0</v>
      </c>
      <c r="O555" s="94">
        <f t="shared" si="178"/>
        <v>0</v>
      </c>
      <c r="P555" s="117"/>
    </row>
    <row r="556" spans="2:17" outlineLevel="1" x14ac:dyDescent="0.2">
      <c r="B556" s="118"/>
      <c r="C556" s="118"/>
      <c r="D556" s="118"/>
      <c r="E556" s="118"/>
      <c r="F556" s="118"/>
      <c r="G556" s="118"/>
      <c r="H556" s="95" t="s">
        <v>4</v>
      </c>
      <c r="I556" s="94"/>
      <c r="J556" s="94"/>
      <c r="K556" s="94"/>
      <c r="L556" s="94"/>
      <c r="M556" s="94"/>
      <c r="N556" s="94"/>
      <c r="O556" s="94"/>
      <c r="P556" s="118"/>
    </row>
    <row r="557" spans="2:17" outlineLevel="1" x14ac:dyDescent="0.2">
      <c r="B557" s="118"/>
      <c r="C557" s="118"/>
      <c r="D557" s="118"/>
      <c r="E557" s="118"/>
      <c r="F557" s="118"/>
      <c r="G557" s="118"/>
      <c r="H557" s="95" t="s">
        <v>6</v>
      </c>
      <c r="I557" s="94">
        <f>SUM(J557:O557)</f>
        <v>46.3</v>
      </c>
      <c r="J557" s="94"/>
      <c r="K557" s="94"/>
      <c r="L557" s="94"/>
      <c r="M557" s="94">
        <v>46.3</v>
      </c>
      <c r="N557" s="94"/>
      <c r="O557" s="94"/>
      <c r="P557" s="118"/>
    </row>
    <row r="558" spans="2:17" outlineLevel="1" x14ac:dyDescent="0.2">
      <c r="B558" s="119"/>
      <c r="C558" s="119"/>
      <c r="D558" s="119"/>
      <c r="E558" s="119"/>
      <c r="F558" s="119"/>
      <c r="G558" s="119"/>
      <c r="H558" s="95" t="s">
        <v>5</v>
      </c>
      <c r="I558" s="94"/>
      <c r="J558" s="94"/>
      <c r="K558" s="94"/>
      <c r="L558" s="94"/>
      <c r="M558" s="94"/>
      <c r="N558" s="94"/>
      <c r="O558" s="94"/>
      <c r="P558" s="119"/>
    </row>
    <row r="559" spans="2:17" ht="42.75" x14ac:dyDescent="0.2">
      <c r="B559" s="128" t="s">
        <v>519</v>
      </c>
      <c r="C559" s="128" t="s">
        <v>38</v>
      </c>
      <c r="D559" s="128" t="s">
        <v>38</v>
      </c>
      <c r="E559" s="128" t="s">
        <v>38</v>
      </c>
      <c r="F559" s="128" t="s">
        <v>38</v>
      </c>
      <c r="G559" s="128" t="s">
        <v>38</v>
      </c>
      <c r="H559" s="95" t="s">
        <v>3</v>
      </c>
      <c r="I559" s="14">
        <f t="shared" ref="I559:O559" si="179">SUMIF($H$499:$H$558,"Объем*",I$499:I$558)</f>
        <v>99.6</v>
      </c>
      <c r="J559" s="14">
        <f t="shared" si="179"/>
        <v>0</v>
      </c>
      <c r="K559" s="14">
        <f t="shared" si="179"/>
        <v>33.799999999999997</v>
      </c>
      <c r="L559" s="14">
        <f t="shared" si="179"/>
        <v>19.5</v>
      </c>
      <c r="M559" s="14">
        <f t="shared" si="179"/>
        <v>46.3</v>
      </c>
      <c r="N559" s="14">
        <f t="shared" si="179"/>
        <v>0</v>
      </c>
      <c r="O559" s="14">
        <f t="shared" si="179"/>
        <v>0</v>
      </c>
      <c r="P559" s="128"/>
      <c r="Q559" s="7"/>
    </row>
    <row r="560" spans="2:17" ht="15.75" x14ac:dyDescent="0.2">
      <c r="B560" s="129"/>
      <c r="C560" s="129"/>
      <c r="D560" s="129"/>
      <c r="E560" s="129"/>
      <c r="F560" s="129"/>
      <c r="G560" s="129"/>
      <c r="H560" s="95" t="s">
        <v>4</v>
      </c>
      <c r="I560" s="14">
        <f t="shared" ref="I560:O560" si="180">SUMIF($H$499:$H$558,"фед*",I$499:I$558)</f>
        <v>0</v>
      </c>
      <c r="J560" s="14">
        <f t="shared" si="180"/>
        <v>0</v>
      </c>
      <c r="K560" s="14">
        <f t="shared" si="180"/>
        <v>0</v>
      </c>
      <c r="L560" s="14">
        <f t="shared" si="180"/>
        <v>0</v>
      </c>
      <c r="M560" s="14">
        <f t="shared" si="180"/>
        <v>0</v>
      </c>
      <c r="N560" s="14">
        <f t="shared" si="180"/>
        <v>0</v>
      </c>
      <c r="O560" s="14">
        <f t="shared" si="180"/>
        <v>0</v>
      </c>
      <c r="P560" s="129"/>
    </row>
    <row r="561" spans="2:16" ht="15.75" x14ac:dyDescent="0.2">
      <c r="B561" s="129"/>
      <c r="C561" s="129"/>
      <c r="D561" s="129"/>
      <c r="E561" s="129"/>
      <c r="F561" s="129"/>
      <c r="G561" s="129"/>
      <c r="H561" s="95" t="s">
        <v>6</v>
      </c>
      <c r="I561" s="14">
        <f t="shared" ref="I561:O561" si="181">SUMIF($H$499:$H$558,"конс*",I$499:I$558)</f>
        <v>99.6</v>
      </c>
      <c r="J561" s="14">
        <f t="shared" si="181"/>
        <v>0</v>
      </c>
      <c r="K561" s="14">
        <f t="shared" si="181"/>
        <v>33.799999999999997</v>
      </c>
      <c r="L561" s="14">
        <f t="shared" si="181"/>
        <v>19.5</v>
      </c>
      <c r="M561" s="14">
        <f t="shared" si="181"/>
        <v>46.3</v>
      </c>
      <c r="N561" s="14">
        <f t="shared" si="181"/>
        <v>0</v>
      </c>
      <c r="O561" s="14">
        <f t="shared" si="181"/>
        <v>0</v>
      </c>
      <c r="P561" s="129"/>
    </row>
    <row r="562" spans="2:16" ht="15.75" x14ac:dyDescent="0.2">
      <c r="B562" s="130"/>
      <c r="C562" s="130"/>
      <c r="D562" s="130"/>
      <c r="E562" s="130"/>
      <c r="F562" s="130"/>
      <c r="G562" s="130"/>
      <c r="H562" s="95" t="s">
        <v>5</v>
      </c>
      <c r="I562" s="14">
        <f t="shared" ref="I562:O562" si="182">SUMIF($H$499:$H$558,"вне*",I$499:I$558)</f>
        <v>0</v>
      </c>
      <c r="J562" s="14">
        <f t="shared" si="182"/>
        <v>0</v>
      </c>
      <c r="K562" s="14">
        <f t="shared" si="182"/>
        <v>0</v>
      </c>
      <c r="L562" s="14">
        <f t="shared" si="182"/>
        <v>0</v>
      </c>
      <c r="M562" s="14">
        <f t="shared" si="182"/>
        <v>0</v>
      </c>
      <c r="N562" s="14">
        <f t="shared" si="182"/>
        <v>0</v>
      </c>
      <c r="O562" s="14">
        <f t="shared" si="182"/>
        <v>0</v>
      </c>
      <c r="P562" s="130"/>
    </row>
    <row r="563" spans="2:16" ht="25.5" customHeight="1" x14ac:dyDescent="0.2">
      <c r="B563" s="111" t="s">
        <v>520</v>
      </c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3"/>
    </row>
    <row r="564" spans="2:16" ht="42.75" customHeight="1" outlineLevel="1" x14ac:dyDescent="0.2">
      <c r="B564" s="117" t="s">
        <v>1187</v>
      </c>
      <c r="C564" s="117"/>
      <c r="D564" s="117" t="s">
        <v>1188</v>
      </c>
      <c r="E564" s="117" t="s">
        <v>203</v>
      </c>
      <c r="F564" s="117"/>
      <c r="G564" s="117"/>
      <c r="H564" s="95" t="s">
        <v>3</v>
      </c>
      <c r="I564" s="94">
        <f>SUM(J564:O564)</f>
        <v>33.4</v>
      </c>
      <c r="J564" s="94">
        <f t="shared" ref="J564:L564" si="183">J565+J566+J567</f>
        <v>12.2</v>
      </c>
      <c r="K564" s="94">
        <f t="shared" si="183"/>
        <v>21.2</v>
      </c>
      <c r="L564" s="94">
        <f t="shared" si="183"/>
        <v>0</v>
      </c>
      <c r="M564" s="94">
        <v>0</v>
      </c>
      <c r="N564" s="94">
        <f t="shared" ref="N564:O564" si="184">N565+N566+N567</f>
        <v>0</v>
      </c>
      <c r="O564" s="94">
        <f t="shared" si="184"/>
        <v>0</v>
      </c>
      <c r="P564" s="117"/>
    </row>
    <row r="565" spans="2:16" outlineLevel="1" x14ac:dyDescent="0.2">
      <c r="B565" s="118"/>
      <c r="C565" s="132"/>
      <c r="D565" s="118"/>
      <c r="E565" s="118"/>
      <c r="F565" s="118"/>
      <c r="G565" s="118"/>
      <c r="H565" s="95" t="s">
        <v>4</v>
      </c>
      <c r="I565" s="94">
        <f>SUM(J565:O565)</f>
        <v>20.9</v>
      </c>
      <c r="J565" s="94">
        <v>5.8</v>
      </c>
      <c r="K565" s="94">
        <v>15.1</v>
      </c>
      <c r="L565" s="94"/>
      <c r="M565" s="94"/>
      <c r="N565" s="94"/>
      <c r="O565" s="94"/>
      <c r="P565" s="118"/>
    </row>
    <row r="566" spans="2:16" outlineLevel="1" x14ac:dyDescent="0.2">
      <c r="B566" s="118"/>
      <c r="C566" s="132"/>
      <c r="D566" s="118"/>
      <c r="E566" s="118"/>
      <c r="F566" s="118"/>
      <c r="G566" s="118"/>
      <c r="H566" s="95" t="s">
        <v>6</v>
      </c>
      <c r="I566" s="94">
        <f>SUM(J566:O566)</f>
        <v>12.5</v>
      </c>
      <c r="J566" s="94">
        <v>6.4</v>
      </c>
      <c r="K566" s="94">
        <v>6.1</v>
      </c>
      <c r="L566" s="94"/>
      <c r="M566" s="94"/>
      <c r="N566" s="94"/>
      <c r="O566" s="94"/>
      <c r="P566" s="118"/>
    </row>
    <row r="567" spans="2:16" outlineLevel="1" x14ac:dyDescent="0.2">
      <c r="B567" s="119"/>
      <c r="C567" s="133"/>
      <c r="D567" s="119"/>
      <c r="E567" s="119"/>
      <c r="F567" s="119"/>
      <c r="G567" s="119"/>
      <c r="H567" s="95" t="s">
        <v>5</v>
      </c>
      <c r="I567" s="94"/>
      <c r="J567" s="94"/>
      <c r="K567" s="94"/>
      <c r="L567" s="94"/>
      <c r="M567" s="94"/>
      <c r="N567" s="94"/>
      <c r="O567" s="94"/>
      <c r="P567" s="119"/>
    </row>
    <row r="568" spans="2:16" ht="57.75" customHeight="1" outlineLevel="1" x14ac:dyDescent="0.2">
      <c r="B568" s="117" t="s">
        <v>1189</v>
      </c>
      <c r="C568" s="117" t="s">
        <v>1190</v>
      </c>
      <c r="D568" s="117" t="s">
        <v>1191</v>
      </c>
      <c r="E568" s="117">
        <v>2022</v>
      </c>
      <c r="F568" s="117"/>
      <c r="G568" s="117" t="s">
        <v>138</v>
      </c>
      <c r="H568" s="95" t="s">
        <v>3</v>
      </c>
      <c r="I568" s="94">
        <f>SUM(J568:O568)</f>
        <v>25</v>
      </c>
      <c r="J568" s="94">
        <f t="shared" ref="J568:M568" si="185">J569+J570+J571</f>
        <v>0</v>
      </c>
      <c r="K568" s="94">
        <f t="shared" si="185"/>
        <v>0</v>
      </c>
      <c r="L568" s="94">
        <f t="shared" si="185"/>
        <v>25</v>
      </c>
      <c r="M568" s="94">
        <f t="shared" si="185"/>
        <v>0</v>
      </c>
      <c r="N568" s="94">
        <v>0</v>
      </c>
      <c r="O568" s="94">
        <f t="shared" ref="O568" si="186">O569+O570+O571</f>
        <v>0</v>
      </c>
      <c r="P568" s="117"/>
    </row>
    <row r="569" spans="2:16" outlineLevel="1" x14ac:dyDescent="0.2">
      <c r="B569" s="118"/>
      <c r="C569" s="132"/>
      <c r="D569" s="118"/>
      <c r="E569" s="118"/>
      <c r="F569" s="118"/>
      <c r="G569" s="118"/>
      <c r="H569" s="95" t="s">
        <v>4</v>
      </c>
      <c r="I569" s="94">
        <f>SUM(J569:O569)</f>
        <v>17.899999999999999</v>
      </c>
      <c r="J569" s="94"/>
      <c r="K569" s="94"/>
      <c r="L569" s="94">
        <v>17.899999999999999</v>
      </c>
      <c r="M569" s="94"/>
      <c r="N569" s="94"/>
      <c r="O569" s="94"/>
      <c r="P569" s="118"/>
    </row>
    <row r="570" spans="2:16" outlineLevel="1" x14ac:dyDescent="0.2">
      <c r="B570" s="118"/>
      <c r="C570" s="132"/>
      <c r="D570" s="118"/>
      <c r="E570" s="118"/>
      <c r="F570" s="118"/>
      <c r="G570" s="118"/>
      <c r="H570" s="95" t="s">
        <v>6</v>
      </c>
      <c r="I570" s="94">
        <f>SUM(J570:O570)</f>
        <v>7.1</v>
      </c>
      <c r="J570" s="94"/>
      <c r="K570" s="94"/>
      <c r="L570" s="94">
        <v>7.1</v>
      </c>
      <c r="M570" s="94"/>
      <c r="N570" s="94"/>
      <c r="O570" s="94"/>
      <c r="P570" s="118"/>
    </row>
    <row r="571" spans="2:16" outlineLevel="1" x14ac:dyDescent="0.2">
      <c r="B571" s="119"/>
      <c r="C571" s="133"/>
      <c r="D571" s="119"/>
      <c r="E571" s="119"/>
      <c r="F571" s="119"/>
      <c r="G571" s="119"/>
      <c r="H571" s="95" t="s">
        <v>5</v>
      </c>
      <c r="I571" s="94"/>
      <c r="J571" s="94"/>
      <c r="K571" s="94"/>
      <c r="L571" s="94"/>
      <c r="M571" s="94"/>
      <c r="N571" s="94"/>
      <c r="O571" s="94"/>
      <c r="P571" s="119"/>
    </row>
    <row r="572" spans="2:16" ht="59.25" customHeight="1" outlineLevel="1" x14ac:dyDescent="0.2">
      <c r="B572" s="150" t="s">
        <v>1192</v>
      </c>
      <c r="C572" s="117" t="s">
        <v>1190</v>
      </c>
      <c r="D572" s="117" t="s">
        <v>1193</v>
      </c>
      <c r="E572" s="117">
        <v>2023</v>
      </c>
      <c r="F572" s="117"/>
      <c r="G572" s="117" t="s">
        <v>138</v>
      </c>
      <c r="H572" s="95" t="s">
        <v>3</v>
      </c>
      <c r="I572" s="94">
        <f>SUM(J572:O572)</f>
        <v>29.8</v>
      </c>
      <c r="J572" s="94">
        <f t="shared" ref="J572:O572" si="187">J573+J574+J575</f>
        <v>0</v>
      </c>
      <c r="K572" s="94">
        <f t="shared" si="187"/>
        <v>0</v>
      </c>
      <c r="L572" s="94">
        <f t="shared" si="187"/>
        <v>0</v>
      </c>
      <c r="M572" s="94">
        <f t="shared" si="187"/>
        <v>29.8</v>
      </c>
      <c r="N572" s="94">
        <f t="shared" si="187"/>
        <v>0</v>
      </c>
      <c r="O572" s="94">
        <f t="shared" si="187"/>
        <v>0</v>
      </c>
      <c r="P572" s="117"/>
    </row>
    <row r="573" spans="2:16" outlineLevel="1" x14ac:dyDescent="0.2">
      <c r="B573" s="151"/>
      <c r="C573" s="132"/>
      <c r="D573" s="118"/>
      <c r="E573" s="118"/>
      <c r="F573" s="118"/>
      <c r="G573" s="118"/>
      <c r="H573" s="95" t="s">
        <v>4</v>
      </c>
      <c r="I573" s="94">
        <f>SUM(J573:O573)</f>
        <v>29.5</v>
      </c>
      <c r="J573" s="94"/>
      <c r="K573" s="94"/>
      <c r="L573" s="94"/>
      <c r="M573" s="94">
        <v>29.5</v>
      </c>
      <c r="N573" s="94"/>
      <c r="O573" s="94"/>
      <c r="P573" s="118"/>
    </row>
    <row r="574" spans="2:16" outlineLevel="1" x14ac:dyDescent="0.2">
      <c r="B574" s="151"/>
      <c r="C574" s="132"/>
      <c r="D574" s="118"/>
      <c r="E574" s="118"/>
      <c r="F574" s="118"/>
      <c r="G574" s="118"/>
      <c r="H574" s="95" t="s">
        <v>6</v>
      </c>
      <c r="I574" s="94">
        <f>SUM(J574:O574)</f>
        <v>0.3</v>
      </c>
      <c r="J574" s="94"/>
      <c r="K574" s="94"/>
      <c r="L574" s="94"/>
      <c r="M574" s="94">
        <v>0.3</v>
      </c>
      <c r="N574" s="94"/>
      <c r="O574" s="94"/>
      <c r="P574" s="118"/>
    </row>
    <row r="575" spans="2:16" outlineLevel="1" x14ac:dyDescent="0.2">
      <c r="B575" s="152"/>
      <c r="C575" s="133"/>
      <c r="D575" s="119"/>
      <c r="E575" s="119"/>
      <c r="F575" s="119"/>
      <c r="G575" s="119"/>
      <c r="H575" s="95" t="s">
        <v>5</v>
      </c>
      <c r="I575" s="94"/>
      <c r="J575" s="94"/>
      <c r="K575" s="94"/>
      <c r="L575" s="94"/>
      <c r="M575" s="94"/>
      <c r="N575" s="94"/>
      <c r="O575" s="94"/>
      <c r="P575" s="119"/>
    </row>
    <row r="576" spans="2:16" ht="59.25" customHeight="1" outlineLevel="1" x14ac:dyDescent="0.2">
      <c r="B576" s="117" t="s">
        <v>1194</v>
      </c>
      <c r="C576" s="117" t="s">
        <v>1190</v>
      </c>
      <c r="D576" s="117" t="s">
        <v>1195</v>
      </c>
      <c r="E576" s="117">
        <v>2024</v>
      </c>
      <c r="F576" s="117"/>
      <c r="G576" s="117" t="s">
        <v>138</v>
      </c>
      <c r="H576" s="95" t="s">
        <v>3</v>
      </c>
      <c r="I576" s="94">
        <f>SUM(J576:O576)</f>
        <v>29.8</v>
      </c>
      <c r="J576" s="94">
        <f t="shared" ref="J576:O576" si="188">J577+J578+J579</f>
        <v>0</v>
      </c>
      <c r="K576" s="94">
        <f t="shared" si="188"/>
        <v>0</v>
      </c>
      <c r="L576" s="94">
        <f t="shared" si="188"/>
        <v>0</v>
      </c>
      <c r="M576" s="94">
        <f t="shared" si="188"/>
        <v>0</v>
      </c>
      <c r="N576" s="94">
        <f t="shared" si="188"/>
        <v>29.8</v>
      </c>
      <c r="O576" s="94">
        <f t="shared" si="188"/>
        <v>0</v>
      </c>
      <c r="P576" s="117"/>
    </row>
    <row r="577" spans="2:17" outlineLevel="1" x14ac:dyDescent="0.2">
      <c r="B577" s="118"/>
      <c r="C577" s="132"/>
      <c r="D577" s="118"/>
      <c r="E577" s="118"/>
      <c r="F577" s="118"/>
      <c r="G577" s="118"/>
      <c r="H577" s="95" t="s">
        <v>4</v>
      </c>
      <c r="I577" s="94">
        <f>SUM(J577:O577)</f>
        <v>29.5</v>
      </c>
      <c r="J577" s="94"/>
      <c r="K577" s="94"/>
      <c r="L577" s="94"/>
      <c r="M577" s="94"/>
      <c r="N577" s="94">
        <v>29.5</v>
      </c>
      <c r="O577" s="94"/>
      <c r="P577" s="118"/>
    </row>
    <row r="578" spans="2:17" outlineLevel="1" x14ac:dyDescent="0.2">
      <c r="B578" s="118"/>
      <c r="C578" s="132"/>
      <c r="D578" s="118"/>
      <c r="E578" s="118"/>
      <c r="F578" s="118"/>
      <c r="G578" s="118"/>
      <c r="H578" s="95" t="s">
        <v>6</v>
      </c>
      <c r="I578" s="94">
        <f>SUM(J578:O578)</f>
        <v>0.3</v>
      </c>
      <c r="J578" s="94"/>
      <c r="K578" s="94"/>
      <c r="L578" s="94"/>
      <c r="M578" s="94"/>
      <c r="N578" s="94">
        <v>0.3</v>
      </c>
      <c r="O578" s="94"/>
      <c r="P578" s="118"/>
    </row>
    <row r="579" spans="2:17" outlineLevel="1" x14ac:dyDescent="0.2">
      <c r="B579" s="119"/>
      <c r="C579" s="133"/>
      <c r="D579" s="119"/>
      <c r="E579" s="119"/>
      <c r="F579" s="119"/>
      <c r="G579" s="119"/>
      <c r="H579" s="95" t="s">
        <v>5</v>
      </c>
      <c r="I579" s="94"/>
      <c r="J579" s="94"/>
      <c r="K579" s="94"/>
      <c r="L579" s="94"/>
      <c r="M579" s="94"/>
      <c r="N579" s="94"/>
      <c r="O579" s="94"/>
      <c r="P579" s="119"/>
    </row>
    <row r="580" spans="2:17" ht="58.5" customHeight="1" outlineLevel="1" x14ac:dyDescent="0.2">
      <c r="B580" s="117" t="s">
        <v>1880</v>
      </c>
      <c r="C580" s="117" t="s">
        <v>1881</v>
      </c>
      <c r="D580" s="117" t="s">
        <v>1882</v>
      </c>
      <c r="E580" s="117" t="s">
        <v>209</v>
      </c>
      <c r="F580" s="117"/>
      <c r="G580" s="117" t="s">
        <v>138</v>
      </c>
      <c r="H580" s="95" t="s">
        <v>3</v>
      </c>
      <c r="I580" s="94">
        <f>SUM(J580:O580)</f>
        <v>25</v>
      </c>
      <c r="J580" s="94">
        <f t="shared" ref="J580:O580" si="189">J581+J582+J583</f>
        <v>0</v>
      </c>
      <c r="K580" s="94">
        <f t="shared" si="189"/>
        <v>0</v>
      </c>
      <c r="L580" s="94">
        <f t="shared" si="189"/>
        <v>0</v>
      </c>
      <c r="M580" s="94">
        <f t="shared" si="189"/>
        <v>12.5</v>
      </c>
      <c r="N580" s="94">
        <f t="shared" si="189"/>
        <v>12.5</v>
      </c>
      <c r="O580" s="94">
        <f t="shared" si="189"/>
        <v>0</v>
      </c>
      <c r="P580" s="117"/>
    </row>
    <row r="581" spans="2:17" outlineLevel="1" x14ac:dyDescent="0.2">
      <c r="B581" s="118"/>
      <c r="C581" s="132"/>
      <c r="D581" s="118"/>
      <c r="E581" s="118"/>
      <c r="F581" s="118"/>
      <c r="G581" s="118"/>
      <c r="H581" s="95" t="s">
        <v>4</v>
      </c>
      <c r="I581" s="94">
        <f t="shared" ref="I581:I583" si="190">SUM(J581:O581)</f>
        <v>0</v>
      </c>
      <c r="J581" s="94"/>
      <c r="K581" s="94"/>
      <c r="L581" s="94"/>
      <c r="M581" s="94"/>
      <c r="N581" s="94"/>
      <c r="O581" s="94"/>
      <c r="P581" s="118"/>
    </row>
    <row r="582" spans="2:17" outlineLevel="1" x14ac:dyDescent="0.2">
      <c r="B582" s="118"/>
      <c r="C582" s="132"/>
      <c r="D582" s="118"/>
      <c r="E582" s="118"/>
      <c r="F582" s="118"/>
      <c r="G582" s="118"/>
      <c r="H582" s="95" t="s">
        <v>6</v>
      </c>
      <c r="I582" s="94">
        <f t="shared" si="190"/>
        <v>23.8</v>
      </c>
      <c r="J582" s="94"/>
      <c r="K582" s="94"/>
      <c r="L582" s="94"/>
      <c r="M582" s="94">
        <v>11.9</v>
      </c>
      <c r="N582" s="94">
        <v>11.9</v>
      </c>
      <c r="O582" s="94"/>
      <c r="P582" s="118"/>
    </row>
    <row r="583" spans="2:17" outlineLevel="1" x14ac:dyDescent="0.2">
      <c r="B583" s="119"/>
      <c r="C583" s="133"/>
      <c r="D583" s="119"/>
      <c r="E583" s="119"/>
      <c r="F583" s="119"/>
      <c r="G583" s="119"/>
      <c r="H583" s="95" t="s">
        <v>5</v>
      </c>
      <c r="I583" s="94">
        <f t="shared" si="190"/>
        <v>1.2</v>
      </c>
      <c r="J583" s="94"/>
      <c r="K583" s="94"/>
      <c r="L583" s="94"/>
      <c r="M583" s="94">
        <v>0.6</v>
      </c>
      <c r="N583" s="94">
        <v>0.6</v>
      </c>
      <c r="O583" s="94"/>
      <c r="P583" s="119"/>
    </row>
    <row r="584" spans="2:17" ht="42.75" x14ac:dyDescent="0.2">
      <c r="B584" s="128" t="s">
        <v>530</v>
      </c>
      <c r="C584" s="128" t="s">
        <v>38</v>
      </c>
      <c r="D584" s="128" t="s">
        <v>38</v>
      </c>
      <c r="E584" s="128" t="s">
        <v>38</v>
      </c>
      <c r="F584" s="128" t="s">
        <v>38</v>
      </c>
      <c r="G584" s="128" t="s">
        <v>38</v>
      </c>
      <c r="H584" s="95" t="s">
        <v>3</v>
      </c>
      <c r="I584" s="14">
        <f t="shared" ref="I584:O584" si="191">SUMIF($H$564:$H$583,"Объем*",I$564:I$583)</f>
        <v>143</v>
      </c>
      <c r="J584" s="14">
        <f t="shared" si="191"/>
        <v>12.2</v>
      </c>
      <c r="K584" s="14">
        <f t="shared" si="191"/>
        <v>21.2</v>
      </c>
      <c r="L584" s="14">
        <f t="shared" si="191"/>
        <v>25</v>
      </c>
      <c r="M584" s="14">
        <f t="shared" si="191"/>
        <v>42.3</v>
      </c>
      <c r="N584" s="14">
        <f t="shared" si="191"/>
        <v>42.3</v>
      </c>
      <c r="O584" s="14">
        <f t="shared" si="191"/>
        <v>0</v>
      </c>
      <c r="P584" s="128"/>
      <c r="Q584" s="7"/>
    </row>
    <row r="585" spans="2:17" ht="15.75" x14ac:dyDescent="0.2">
      <c r="B585" s="129"/>
      <c r="C585" s="129"/>
      <c r="D585" s="129"/>
      <c r="E585" s="129"/>
      <c r="F585" s="129"/>
      <c r="G585" s="129"/>
      <c r="H585" s="95" t="s">
        <v>4</v>
      </c>
      <c r="I585" s="14">
        <f t="shared" ref="I585:O585" si="192">SUMIF($H$564:$H$583,"фед*",I$564:I$583)</f>
        <v>97.8</v>
      </c>
      <c r="J585" s="14">
        <f t="shared" si="192"/>
        <v>5.8</v>
      </c>
      <c r="K585" s="14">
        <f t="shared" si="192"/>
        <v>15.1</v>
      </c>
      <c r="L585" s="14">
        <f t="shared" si="192"/>
        <v>17.899999999999999</v>
      </c>
      <c r="M585" s="14">
        <f t="shared" si="192"/>
        <v>29.5</v>
      </c>
      <c r="N585" s="14">
        <f t="shared" si="192"/>
        <v>29.5</v>
      </c>
      <c r="O585" s="14">
        <f t="shared" si="192"/>
        <v>0</v>
      </c>
      <c r="P585" s="129"/>
    </row>
    <row r="586" spans="2:17" ht="15.75" x14ac:dyDescent="0.2">
      <c r="B586" s="129"/>
      <c r="C586" s="129"/>
      <c r="D586" s="129"/>
      <c r="E586" s="129"/>
      <c r="F586" s="129"/>
      <c r="G586" s="129"/>
      <c r="H586" s="95" t="s">
        <v>6</v>
      </c>
      <c r="I586" s="14">
        <f t="shared" ref="I586:O586" si="193">SUMIF($H$564:$H$583,"конс*",I$564:I$583)</f>
        <v>44</v>
      </c>
      <c r="J586" s="14">
        <f t="shared" si="193"/>
        <v>6.4</v>
      </c>
      <c r="K586" s="14">
        <f t="shared" si="193"/>
        <v>6.1</v>
      </c>
      <c r="L586" s="14">
        <f t="shared" si="193"/>
        <v>7.1</v>
      </c>
      <c r="M586" s="14">
        <f t="shared" si="193"/>
        <v>12.200000000000001</v>
      </c>
      <c r="N586" s="14">
        <f t="shared" si="193"/>
        <v>12.200000000000001</v>
      </c>
      <c r="O586" s="14">
        <f t="shared" si="193"/>
        <v>0</v>
      </c>
      <c r="P586" s="129"/>
    </row>
    <row r="587" spans="2:17" ht="15.75" x14ac:dyDescent="0.2">
      <c r="B587" s="130"/>
      <c r="C587" s="130"/>
      <c r="D587" s="130"/>
      <c r="E587" s="130"/>
      <c r="F587" s="130"/>
      <c r="G587" s="130"/>
      <c r="H587" s="95" t="s">
        <v>5</v>
      </c>
      <c r="I587" s="97">
        <f t="shared" ref="I587:O587" si="194">SUMIF($H$564:$H$583,"вне*",I$564:I$583)</f>
        <v>1.2</v>
      </c>
      <c r="J587" s="97">
        <f t="shared" si="194"/>
        <v>0</v>
      </c>
      <c r="K587" s="97">
        <f t="shared" si="194"/>
        <v>0</v>
      </c>
      <c r="L587" s="97">
        <f t="shared" si="194"/>
        <v>0</v>
      </c>
      <c r="M587" s="97">
        <f t="shared" si="194"/>
        <v>0.6</v>
      </c>
      <c r="N587" s="97">
        <f t="shared" si="194"/>
        <v>0.6</v>
      </c>
      <c r="O587" s="97">
        <f t="shared" si="194"/>
        <v>0</v>
      </c>
      <c r="P587" s="130"/>
    </row>
    <row r="588" spans="2:17" ht="25.5" customHeight="1" x14ac:dyDescent="0.2">
      <c r="B588" s="131" t="s">
        <v>531</v>
      </c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</row>
    <row r="589" spans="2:17" ht="76.5" customHeight="1" outlineLevel="1" x14ac:dyDescent="0.2">
      <c r="B589" s="178" t="s">
        <v>1196</v>
      </c>
      <c r="C589" s="178" t="s">
        <v>1197</v>
      </c>
      <c r="D589" s="178" t="s">
        <v>1198</v>
      </c>
      <c r="E589" s="178" t="s">
        <v>319</v>
      </c>
      <c r="F589" s="178"/>
      <c r="G589" s="178" t="s">
        <v>1199</v>
      </c>
      <c r="H589" s="95" t="s">
        <v>3</v>
      </c>
      <c r="I589" s="94">
        <f>SUM(J589:O589)</f>
        <v>8.1</v>
      </c>
      <c r="J589" s="94">
        <f>J590+J591</f>
        <v>8.1</v>
      </c>
      <c r="K589" s="94"/>
      <c r="L589" s="94"/>
      <c r="M589" s="94"/>
      <c r="N589" s="94"/>
      <c r="O589" s="94"/>
      <c r="P589" s="178">
        <v>11000</v>
      </c>
    </row>
    <row r="590" spans="2:17" outlineLevel="1" x14ac:dyDescent="0.2">
      <c r="B590" s="178"/>
      <c r="C590" s="143"/>
      <c r="D590" s="178"/>
      <c r="E590" s="178"/>
      <c r="F590" s="178"/>
      <c r="G590" s="178"/>
      <c r="H590" s="95" t="s">
        <v>4</v>
      </c>
      <c r="I590" s="94">
        <f>SUM(J590:O590)</f>
        <v>5.8</v>
      </c>
      <c r="J590" s="94">
        <v>5.8</v>
      </c>
      <c r="K590" s="94"/>
      <c r="L590" s="94"/>
      <c r="M590" s="94"/>
      <c r="N590" s="94"/>
      <c r="O590" s="94"/>
      <c r="P590" s="178"/>
    </row>
    <row r="591" spans="2:17" outlineLevel="1" x14ac:dyDescent="0.2">
      <c r="B591" s="178"/>
      <c r="C591" s="143"/>
      <c r="D591" s="178"/>
      <c r="E591" s="178"/>
      <c r="F591" s="178"/>
      <c r="G591" s="178"/>
      <c r="H591" s="95" t="s">
        <v>6</v>
      </c>
      <c r="I591" s="94">
        <f>SUM(J591:O591)</f>
        <v>2.2999999999999998</v>
      </c>
      <c r="J591" s="94">
        <v>2.2999999999999998</v>
      </c>
      <c r="K591" s="94"/>
      <c r="L591" s="94"/>
      <c r="M591" s="94"/>
      <c r="N591" s="94"/>
      <c r="O591" s="94"/>
      <c r="P591" s="178"/>
    </row>
    <row r="592" spans="2:17" outlineLevel="1" x14ac:dyDescent="0.2">
      <c r="B592" s="178"/>
      <c r="C592" s="143"/>
      <c r="D592" s="178"/>
      <c r="E592" s="178"/>
      <c r="F592" s="178"/>
      <c r="G592" s="178"/>
      <c r="H592" s="95" t="s">
        <v>5</v>
      </c>
      <c r="I592" s="94"/>
      <c r="J592" s="94"/>
      <c r="K592" s="94"/>
      <c r="L592" s="94"/>
      <c r="M592" s="94"/>
      <c r="N592" s="94"/>
      <c r="O592" s="94"/>
      <c r="P592" s="178"/>
    </row>
    <row r="593" spans="2:16" ht="78.75" customHeight="1" outlineLevel="1" x14ac:dyDescent="0.2">
      <c r="B593" s="178" t="s">
        <v>1200</v>
      </c>
      <c r="C593" s="178" t="s">
        <v>1201</v>
      </c>
      <c r="D593" s="178" t="s">
        <v>1198</v>
      </c>
      <c r="E593" s="178">
        <v>2020</v>
      </c>
      <c r="F593" s="178"/>
      <c r="G593" s="178" t="s">
        <v>1199</v>
      </c>
      <c r="H593" s="95" t="s">
        <v>3</v>
      </c>
      <c r="I593" s="94">
        <f>SUM(J593:O593)</f>
        <v>24.8</v>
      </c>
      <c r="J593" s="94">
        <f>J594+J595</f>
        <v>24.8</v>
      </c>
      <c r="K593" s="94"/>
      <c r="L593" s="94"/>
      <c r="M593" s="94"/>
      <c r="N593" s="94"/>
      <c r="O593" s="94"/>
      <c r="P593" s="178">
        <v>11000</v>
      </c>
    </row>
    <row r="594" spans="2:16" outlineLevel="1" x14ac:dyDescent="0.2">
      <c r="B594" s="178"/>
      <c r="C594" s="143"/>
      <c r="D594" s="178"/>
      <c r="E594" s="178"/>
      <c r="F594" s="178"/>
      <c r="G594" s="178"/>
      <c r="H594" s="95" t="s">
        <v>4</v>
      </c>
      <c r="I594" s="94"/>
      <c r="J594" s="94"/>
      <c r="K594" s="94"/>
      <c r="L594" s="94"/>
      <c r="M594" s="94"/>
      <c r="N594" s="94"/>
      <c r="O594" s="94"/>
      <c r="P594" s="178"/>
    </row>
    <row r="595" spans="2:16" outlineLevel="1" x14ac:dyDescent="0.2">
      <c r="B595" s="178"/>
      <c r="C595" s="143"/>
      <c r="D595" s="178"/>
      <c r="E595" s="178"/>
      <c r="F595" s="178"/>
      <c r="G595" s="178"/>
      <c r="H595" s="95" t="s">
        <v>6</v>
      </c>
      <c r="I595" s="94">
        <f>SUM(J595:O595)</f>
        <v>24.8</v>
      </c>
      <c r="J595" s="94">
        <v>24.8</v>
      </c>
      <c r="K595" s="94"/>
      <c r="L595" s="94"/>
      <c r="M595" s="94"/>
      <c r="N595" s="94"/>
      <c r="O595" s="94"/>
      <c r="P595" s="178"/>
    </row>
    <row r="596" spans="2:16" outlineLevel="1" x14ac:dyDescent="0.2">
      <c r="B596" s="178"/>
      <c r="C596" s="143"/>
      <c r="D596" s="178"/>
      <c r="E596" s="178"/>
      <c r="F596" s="178"/>
      <c r="G596" s="178"/>
      <c r="H596" s="95" t="s">
        <v>5</v>
      </c>
      <c r="I596" s="94"/>
      <c r="J596" s="94"/>
      <c r="K596" s="94"/>
      <c r="L596" s="94"/>
      <c r="M596" s="94"/>
      <c r="N596" s="94"/>
      <c r="O596" s="94"/>
      <c r="P596" s="178"/>
    </row>
    <row r="597" spans="2:16" ht="42.75" outlineLevel="1" x14ac:dyDescent="0.2">
      <c r="B597" s="178" t="s">
        <v>1202</v>
      </c>
      <c r="C597" s="178" t="s">
        <v>1201</v>
      </c>
      <c r="D597" s="178" t="s">
        <v>531</v>
      </c>
      <c r="E597" s="178" t="s">
        <v>319</v>
      </c>
      <c r="F597" s="178"/>
      <c r="G597" s="178" t="s">
        <v>1203</v>
      </c>
      <c r="H597" s="95" t="s">
        <v>3</v>
      </c>
      <c r="I597" s="94">
        <f>SUM(J597:O597)</f>
        <v>10.9</v>
      </c>
      <c r="J597" s="94">
        <f>J598+J599</f>
        <v>10.9</v>
      </c>
      <c r="K597" s="94"/>
      <c r="L597" s="94"/>
      <c r="M597" s="94"/>
      <c r="N597" s="94"/>
      <c r="O597" s="94"/>
      <c r="P597" s="178">
        <v>1052</v>
      </c>
    </row>
    <row r="598" spans="2:16" outlineLevel="1" x14ac:dyDescent="0.2">
      <c r="B598" s="178"/>
      <c r="C598" s="143"/>
      <c r="D598" s="178"/>
      <c r="E598" s="178"/>
      <c r="F598" s="178"/>
      <c r="G598" s="178"/>
      <c r="H598" s="95" t="s">
        <v>4</v>
      </c>
      <c r="I598" s="94"/>
      <c r="J598" s="94"/>
      <c r="K598" s="94"/>
      <c r="L598" s="94"/>
      <c r="M598" s="94"/>
      <c r="N598" s="94"/>
      <c r="O598" s="94"/>
      <c r="P598" s="178"/>
    </row>
    <row r="599" spans="2:16" outlineLevel="1" x14ac:dyDescent="0.2">
      <c r="B599" s="178"/>
      <c r="C599" s="143"/>
      <c r="D599" s="178"/>
      <c r="E599" s="178"/>
      <c r="F599" s="178"/>
      <c r="G599" s="178"/>
      <c r="H599" s="95" t="s">
        <v>6</v>
      </c>
      <c r="I599" s="94">
        <f>SUM(J599:O599)</f>
        <v>10.9</v>
      </c>
      <c r="J599" s="94">
        <v>10.9</v>
      </c>
      <c r="K599" s="94"/>
      <c r="L599" s="94"/>
      <c r="M599" s="94"/>
      <c r="N599" s="94"/>
      <c r="O599" s="94"/>
      <c r="P599" s="178"/>
    </row>
    <row r="600" spans="2:16" outlineLevel="1" x14ac:dyDescent="0.2">
      <c r="B600" s="178"/>
      <c r="C600" s="143"/>
      <c r="D600" s="178"/>
      <c r="E600" s="178"/>
      <c r="F600" s="178"/>
      <c r="G600" s="178"/>
      <c r="H600" s="95" t="s">
        <v>5</v>
      </c>
      <c r="I600" s="94"/>
      <c r="J600" s="94"/>
      <c r="K600" s="94"/>
      <c r="L600" s="94"/>
      <c r="M600" s="94"/>
      <c r="N600" s="94"/>
      <c r="O600" s="94"/>
      <c r="P600" s="178"/>
    </row>
    <row r="601" spans="2:16" ht="42.75" outlineLevel="1" x14ac:dyDescent="0.2">
      <c r="B601" s="178" t="s">
        <v>1204</v>
      </c>
      <c r="C601" s="178" t="s">
        <v>1205</v>
      </c>
      <c r="D601" s="178" t="s">
        <v>531</v>
      </c>
      <c r="E601" s="178">
        <v>2020</v>
      </c>
      <c r="F601" s="178"/>
      <c r="G601" s="178" t="s">
        <v>1203</v>
      </c>
      <c r="H601" s="95" t="s">
        <v>3</v>
      </c>
      <c r="I601" s="94">
        <f>SUM(J601:O601)</f>
        <v>0.5</v>
      </c>
      <c r="J601" s="94">
        <f>J602+J603</f>
        <v>0.5</v>
      </c>
      <c r="K601" s="94"/>
      <c r="L601" s="94"/>
      <c r="M601" s="94"/>
      <c r="N601" s="94"/>
      <c r="O601" s="94"/>
      <c r="P601" s="178">
        <v>8000</v>
      </c>
    </row>
    <row r="602" spans="2:16" outlineLevel="1" x14ac:dyDescent="0.2">
      <c r="B602" s="178"/>
      <c r="C602" s="143"/>
      <c r="D602" s="178"/>
      <c r="E602" s="178"/>
      <c r="F602" s="178"/>
      <c r="G602" s="178"/>
      <c r="H602" s="95" t="s">
        <v>4</v>
      </c>
      <c r="I602" s="94"/>
      <c r="J602" s="94"/>
      <c r="K602" s="94"/>
      <c r="L602" s="94"/>
      <c r="M602" s="94"/>
      <c r="N602" s="94"/>
      <c r="O602" s="94"/>
      <c r="P602" s="178"/>
    </row>
    <row r="603" spans="2:16" outlineLevel="1" x14ac:dyDescent="0.2">
      <c r="B603" s="178"/>
      <c r="C603" s="143"/>
      <c r="D603" s="178"/>
      <c r="E603" s="178"/>
      <c r="F603" s="178"/>
      <c r="G603" s="178"/>
      <c r="H603" s="95" t="s">
        <v>6</v>
      </c>
      <c r="I603" s="94">
        <f>SUM(J603:O603)</f>
        <v>0.5</v>
      </c>
      <c r="J603" s="94">
        <v>0.5</v>
      </c>
      <c r="K603" s="94"/>
      <c r="L603" s="94"/>
      <c r="M603" s="94"/>
      <c r="N603" s="94"/>
      <c r="O603" s="94"/>
      <c r="P603" s="178"/>
    </row>
    <row r="604" spans="2:16" outlineLevel="1" x14ac:dyDescent="0.2">
      <c r="B604" s="178"/>
      <c r="C604" s="143"/>
      <c r="D604" s="178"/>
      <c r="E604" s="178"/>
      <c r="F604" s="178"/>
      <c r="G604" s="178"/>
      <c r="H604" s="95" t="s">
        <v>5</v>
      </c>
      <c r="I604" s="94"/>
      <c r="J604" s="94"/>
      <c r="K604" s="94"/>
      <c r="L604" s="94"/>
      <c r="M604" s="94"/>
      <c r="N604" s="94"/>
      <c r="O604" s="94"/>
      <c r="P604" s="178"/>
    </row>
    <row r="605" spans="2:16" ht="42.75" outlineLevel="1" x14ac:dyDescent="0.2">
      <c r="B605" s="178" t="s">
        <v>1206</v>
      </c>
      <c r="C605" s="178" t="s">
        <v>1201</v>
      </c>
      <c r="D605" s="178" t="s">
        <v>531</v>
      </c>
      <c r="E605" s="178" t="s">
        <v>99</v>
      </c>
      <c r="F605" s="178"/>
      <c r="G605" s="178" t="s">
        <v>1207</v>
      </c>
      <c r="H605" s="95" t="s">
        <v>3</v>
      </c>
      <c r="I605" s="94">
        <f>SUM(J605:O605)</f>
        <v>49.3</v>
      </c>
      <c r="J605" s="94">
        <f>J606+J607</f>
        <v>3.3</v>
      </c>
      <c r="K605" s="94">
        <f t="shared" ref="K605:L605" si="195">K606+K607+K608</f>
        <v>18.5</v>
      </c>
      <c r="L605" s="94">
        <f t="shared" si="195"/>
        <v>27.5</v>
      </c>
      <c r="M605" s="94"/>
      <c r="N605" s="94"/>
      <c r="O605" s="94"/>
      <c r="P605" s="178">
        <v>25000</v>
      </c>
    </row>
    <row r="606" spans="2:16" outlineLevel="1" x14ac:dyDescent="0.2">
      <c r="B606" s="178"/>
      <c r="C606" s="143"/>
      <c r="D606" s="178"/>
      <c r="E606" s="178"/>
      <c r="F606" s="178"/>
      <c r="G606" s="178"/>
      <c r="H606" s="95" t="s">
        <v>4</v>
      </c>
      <c r="I606" s="94"/>
      <c r="J606" s="94"/>
      <c r="K606" s="94"/>
      <c r="L606" s="94"/>
      <c r="M606" s="94"/>
      <c r="N606" s="94"/>
      <c r="O606" s="94"/>
      <c r="P606" s="178"/>
    </row>
    <row r="607" spans="2:16" outlineLevel="1" x14ac:dyDescent="0.2">
      <c r="B607" s="178"/>
      <c r="C607" s="143"/>
      <c r="D607" s="178"/>
      <c r="E607" s="178"/>
      <c r="F607" s="178"/>
      <c r="G607" s="178"/>
      <c r="H607" s="95" t="s">
        <v>6</v>
      </c>
      <c r="I607" s="94">
        <f>SUM(J607:O607)</f>
        <v>49.3</v>
      </c>
      <c r="J607" s="94">
        <v>3.3</v>
      </c>
      <c r="K607" s="94">
        <v>18.5</v>
      </c>
      <c r="L607" s="94">
        <v>27.5</v>
      </c>
      <c r="M607" s="94"/>
      <c r="N607" s="94"/>
      <c r="O607" s="94"/>
      <c r="P607" s="178"/>
    </row>
    <row r="608" spans="2:16" outlineLevel="1" x14ac:dyDescent="0.2">
      <c r="B608" s="178"/>
      <c r="C608" s="143"/>
      <c r="D608" s="178"/>
      <c r="E608" s="178"/>
      <c r="F608" s="178"/>
      <c r="G608" s="178"/>
      <c r="H608" s="95" t="s">
        <v>5</v>
      </c>
      <c r="I608" s="94"/>
      <c r="J608" s="94"/>
      <c r="K608" s="94"/>
      <c r="L608" s="94"/>
      <c r="M608" s="94"/>
      <c r="N608" s="94"/>
      <c r="O608" s="94"/>
      <c r="P608" s="178"/>
    </row>
    <row r="609" spans="2:17" ht="42.75" outlineLevel="1" x14ac:dyDescent="0.2">
      <c r="B609" s="166" t="s">
        <v>1208</v>
      </c>
      <c r="C609" s="117" t="s">
        <v>1201</v>
      </c>
      <c r="D609" s="117" t="s">
        <v>531</v>
      </c>
      <c r="E609" s="117">
        <v>2023</v>
      </c>
      <c r="F609" s="117"/>
      <c r="G609" s="178" t="s">
        <v>1209</v>
      </c>
      <c r="H609" s="95" t="s">
        <v>3</v>
      </c>
      <c r="I609" s="94">
        <f>SUM(J609:O609)</f>
        <v>5</v>
      </c>
      <c r="J609" s="94"/>
      <c r="K609" s="94"/>
      <c r="L609" s="94"/>
      <c r="M609" s="94">
        <f>M610+M611</f>
        <v>5</v>
      </c>
      <c r="N609" s="94"/>
      <c r="O609" s="94"/>
      <c r="P609" s="178">
        <v>1052</v>
      </c>
    </row>
    <row r="610" spans="2:17" ht="17.25" customHeight="1" outlineLevel="1" x14ac:dyDescent="0.2">
      <c r="B610" s="166"/>
      <c r="C610" s="118"/>
      <c r="D610" s="118"/>
      <c r="E610" s="118"/>
      <c r="F610" s="118"/>
      <c r="G610" s="178"/>
      <c r="H610" s="95" t="s">
        <v>1210</v>
      </c>
      <c r="I610" s="87"/>
      <c r="J610" s="87"/>
      <c r="K610" s="87"/>
      <c r="L610" s="87"/>
      <c r="M610" s="87"/>
      <c r="N610" s="87"/>
      <c r="O610" s="87"/>
      <c r="P610" s="178"/>
    </row>
    <row r="611" spans="2:17" ht="17.25" customHeight="1" outlineLevel="1" x14ac:dyDescent="0.2">
      <c r="B611" s="166"/>
      <c r="C611" s="118"/>
      <c r="D611" s="118"/>
      <c r="E611" s="118"/>
      <c r="F611" s="118"/>
      <c r="G611" s="178"/>
      <c r="H611" s="95" t="s">
        <v>6</v>
      </c>
      <c r="I611" s="94">
        <f>SUM(J611:O611)</f>
        <v>5</v>
      </c>
      <c r="J611" s="87"/>
      <c r="K611" s="87"/>
      <c r="L611" s="87"/>
      <c r="M611" s="87">
        <v>5</v>
      </c>
      <c r="N611" s="87"/>
      <c r="O611" s="87"/>
      <c r="P611" s="178"/>
    </row>
    <row r="612" spans="2:17" ht="17.25" customHeight="1" outlineLevel="1" x14ac:dyDescent="0.2">
      <c r="B612" s="166"/>
      <c r="C612" s="119"/>
      <c r="D612" s="119"/>
      <c r="E612" s="119"/>
      <c r="F612" s="119"/>
      <c r="G612" s="178"/>
      <c r="H612" s="95" t="s">
        <v>5</v>
      </c>
      <c r="I612" s="87"/>
      <c r="J612" s="87"/>
      <c r="K612" s="87"/>
      <c r="L612" s="87"/>
      <c r="M612" s="87"/>
      <c r="N612" s="87"/>
      <c r="O612" s="87"/>
      <c r="P612" s="178"/>
    </row>
    <row r="613" spans="2:17" ht="42.75" x14ac:dyDescent="0.2">
      <c r="B613" s="128" t="s">
        <v>539</v>
      </c>
      <c r="C613" s="128" t="s">
        <v>38</v>
      </c>
      <c r="D613" s="128" t="s">
        <v>38</v>
      </c>
      <c r="E613" s="128" t="s">
        <v>38</v>
      </c>
      <c r="F613" s="128" t="s">
        <v>38</v>
      </c>
      <c r="G613" s="128" t="s">
        <v>38</v>
      </c>
      <c r="H613" s="95" t="s">
        <v>3</v>
      </c>
      <c r="I613" s="14">
        <f t="shared" ref="I613:O613" si="196">SUMIF($H$589:$H$612,"Объем*",I$589:I$612)</f>
        <v>98.6</v>
      </c>
      <c r="J613" s="14">
        <f t="shared" si="196"/>
        <v>47.599999999999994</v>
      </c>
      <c r="K613" s="14">
        <f t="shared" si="196"/>
        <v>18.5</v>
      </c>
      <c r="L613" s="14">
        <f t="shared" si="196"/>
        <v>27.5</v>
      </c>
      <c r="M613" s="14">
        <f t="shared" si="196"/>
        <v>5</v>
      </c>
      <c r="N613" s="14">
        <f t="shared" si="196"/>
        <v>0</v>
      </c>
      <c r="O613" s="14">
        <f t="shared" si="196"/>
        <v>0</v>
      </c>
      <c r="P613" s="128"/>
      <c r="Q613" s="7"/>
    </row>
    <row r="614" spans="2:17" ht="15.75" x14ac:dyDescent="0.2">
      <c r="B614" s="129"/>
      <c r="C614" s="129"/>
      <c r="D614" s="129"/>
      <c r="E614" s="129"/>
      <c r="F614" s="129"/>
      <c r="G614" s="129"/>
      <c r="H614" s="95" t="s">
        <v>4</v>
      </c>
      <c r="I614" s="14">
        <f t="shared" ref="I614:O614" si="197">SUMIF($H$589:$H$612,"фед*",I$589:I$612)</f>
        <v>5.8</v>
      </c>
      <c r="J614" s="14">
        <f t="shared" si="197"/>
        <v>5.8</v>
      </c>
      <c r="K614" s="14">
        <f t="shared" si="197"/>
        <v>0</v>
      </c>
      <c r="L614" s="14">
        <f t="shared" si="197"/>
        <v>0</v>
      </c>
      <c r="M614" s="14">
        <f t="shared" si="197"/>
        <v>0</v>
      </c>
      <c r="N614" s="14">
        <f t="shared" si="197"/>
        <v>0</v>
      </c>
      <c r="O614" s="14">
        <f t="shared" si="197"/>
        <v>0</v>
      </c>
      <c r="P614" s="129"/>
      <c r="Q614" s="7"/>
    </row>
    <row r="615" spans="2:17" ht="15.75" x14ac:dyDescent="0.2">
      <c r="B615" s="129"/>
      <c r="C615" s="129"/>
      <c r="D615" s="129"/>
      <c r="E615" s="129"/>
      <c r="F615" s="129"/>
      <c r="G615" s="129"/>
      <c r="H615" s="95" t="s">
        <v>6</v>
      </c>
      <c r="I615" s="14">
        <f t="shared" ref="I615:O615" si="198">SUMIF($H$589:$H$612,"конс*",I$589:I$612)</f>
        <v>92.8</v>
      </c>
      <c r="J615" s="14">
        <f t="shared" si="198"/>
        <v>41.8</v>
      </c>
      <c r="K615" s="14">
        <f t="shared" si="198"/>
        <v>18.5</v>
      </c>
      <c r="L615" s="14">
        <f t="shared" si="198"/>
        <v>27.5</v>
      </c>
      <c r="M615" s="14">
        <f t="shared" si="198"/>
        <v>5</v>
      </c>
      <c r="N615" s="14">
        <f t="shared" si="198"/>
        <v>0</v>
      </c>
      <c r="O615" s="14">
        <f t="shared" si="198"/>
        <v>0</v>
      </c>
      <c r="P615" s="129"/>
      <c r="Q615" s="7"/>
    </row>
    <row r="616" spans="2:17" ht="15.75" x14ac:dyDescent="0.2">
      <c r="B616" s="130"/>
      <c r="C616" s="130"/>
      <c r="D616" s="130"/>
      <c r="E616" s="130"/>
      <c r="F616" s="130"/>
      <c r="G616" s="130"/>
      <c r="H616" s="95" t="s">
        <v>5</v>
      </c>
      <c r="I616" s="14">
        <f t="shared" ref="I616:O616" si="199">SUMIF($H$589:$H$612,"вне*",I$589:I$612)</f>
        <v>0</v>
      </c>
      <c r="J616" s="14">
        <f t="shared" si="199"/>
        <v>0</v>
      </c>
      <c r="K616" s="14">
        <f t="shared" si="199"/>
        <v>0</v>
      </c>
      <c r="L616" s="14">
        <f t="shared" si="199"/>
        <v>0</v>
      </c>
      <c r="M616" s="14">
        <f t="shared" si="199"/>
        <v>0</v>
      </c>
      <c r="N616" s="14">
        <f t="shared" si="199"/>
        <v>0</v>
      </c>
      <c r="O616" s="14">
        <f t="shared" si="199"/>
        <v>0</v>
      </c>
      <c r="P616" s="130"/>
      <c r="Q616" s="7"/>
    </row>
    <row r="617" spans="2:17" ht="25.5" customHeight="1" x14ac:dyDescent="0.2">
      <c r="B617" s="111" t="s">
        <v>557</v>
      </c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3"/>
    </row>
    <row r="618" spans="2:17" ht="45" customHeight="1" outlineLevel="1" x14ac:dyDescent="0.2">
      <c r="B618" s="117" t="s">
        <v>1211</v>
      </c>
      <c r="C618" s="117"/>
      <c r="D618" s="117" t="s">
        <v>557</v>
      </c>
      <c r="E618" s="117">
        <v>2021</v>
      </c>
      <c r="F618" s="117"/>
      <c r="G618" s="117" t="s">
        <v>83</v>
      </c>
      <c r="H618" s="95" t="s">
        <v>3</v>
      </c>
      <c r="I618" s="94">
        <f>SUM(J618:O618)</f>
        <v>9.3000000000000007</v>
      </c>
      <c r="J618" s="27">
        <f>J620</f>
        <v>4</v>
      </c>
      <c r="K618" s="94">
        <f>K620</f>
        <v>5.3</v>
      </c>
      <c r="L618" s="94">
        <f>L619+L620+L621</f>
        <v>0</v>
      </c>
      <c r="M618" s="94">
        <f>M619+M620+M621</f>
        <v>0</v>
      </c>
      <c r="N618" s="94">
        <f>N619+N620+N621</f>
        <v>0</v>
      </c>
      <c r="O618" s="94">
        <f>O619+O620+O621</f>
        <v>0</v>
      </c>
      <c r="P618" s="117"/>
    </row>
    <row r="619" spans="2:17" ht="15" customHeight="1" outlineLevel="1" x14ac:dyDescent="0.2">
      <c r="B619" s="118"/>
      <c r="C619" s="132"/>
      <c r="D619" s="118"/>
      <c r="E619" s="118"/>
      <c r="F619" s="118"/>
      <c r="G619" s="118"/>
      <c r="H619" s="95" t="s">
        <v>4</v>
      </c>
      <c r="I619" s="94">
        <f>SUM(J619:O619)</f>
        <v>0</v>
      </c>
      <c r="J619" s="63"/>
      <c r="K619" s="87"/>
      <c r="L619" s="87"/>
      <c r="M619" s="87"/>
      <c r="N619" s="87"/>
      <c r="O619" s="87"/>
      <c r="P619" s="118"/>
    </row>
    <row r="620" spans="2:17" ht="17.25" outlineLevel="1" x14ac:dyDescent="0.2">
      <c r="B620" s="118"/>
      <c r="C620" s="132"/>
      <c r="D620" s="118"/>
      <c r="E620" s="118"/>
      <c r="F620" s="118"/>
      <c r="G620" s="118"/>
      <c r="H620" s="95" t="s">
        <v>6</v>
      </c>
      <c r="I620" s="94">
        <f>SUM(J620:O620)</f>
        <v>9.3000000000000007</v>
      </c>
      <c r="J620" s="63">
        <v>4</v>
      </c>
      <c r="K620" s="87">
        <v>5.3</v>
      </c>
      <c r="L620" s="52">
        <v>0</v>
      </c>
      <c r="M620" s="52">
        <v>0</v>
      </c>
      <c r="N620" s="52">
        <v>0</v>
      </c>
      <c r="O620" s="52">
        <v>0</v>
      </c>
      <c r="P620" s="118"/>
    </row>
    <row r="621" spans="2:17" ht="15" customHeight="1" outlineLevel="1" x14ac:dyDescent="0.2">
      <c r="B621" s="119"/>
      <c r="C621" s="133"/>
      <c r="D621" s="119"/>
      <c r="E621" s="119"/>
      <c r="F621" s="119"/>
      <c r="G621" s="119"/>
      <c r="H621" s="95" t="s">
        <v>5</v>
      </c>
      <c r="I621" s="94">
        <f>SUM(J621:O621)</f>
        <v>0</v>
      </c>
      <c r="J621" s="87"/>
      <c r="K621" s="87"/>
      <c r="L621" s="87"/>
      <c r="M621" s="87"/>
      <c r="N621" s="87"/>
      <c r="O621" s="87"/>
      <c r="P621" s="119"/>
    </row>
    <row r="622" spans="2:17" ht="42.75" x14ac:dyDescent="0.2">
      <c r="B622" s="128" t="s">
        <v>560</v>
      </c>
      <c r="C622" s="128" t="s">
        <v>38</v>
      </c>
      <c r="D622" s="128" t="s">
        <v>38</v>
      </c>
      <c r="E622" s="128" t="s">
        <v>38</v>
      </c>
      <c r="F622" s="128" t="s">
        <v>38</v>
      </c>
      <c r="G622" s="128" t="s">
        <v>38</v>
      </c>
      <c r="H622" s="95" t="s">
        <v>3</v>
      </c>
      <c r="I622" s="14">
        <f t="shared" ref="I622:O622" si="200">SUMIF($H$618:$H$621,"Объем*",I$618:I$621)</f>
        <v>9.3000000000000007</v>
      </c>
      <c r="J622" s="14">
        <f t="shared" si="200"/>
        <v>4</v>
      </c>
      <c r="K622" s="14">
        <f t="shared" si="200"/>
        <v>5.3</v>
      </c>
      <c r="L622" s="14">
        <f t="shared" si="200"/>
        <v>0</v>
      </c>
      <c r="M622" s="14">
        <f t="shared" si="200"/>
        <v>0</v>
      </c>
      <c r="N622" s="14">
        <f t="shared" si="200"/>
        <v>0</v>
      </c>
      <c r="O622" s="14">
        <f t="shared" si="200"/>
        <v>0</v>
      </c>
      <c r="P622" s="128"/>
    </row>
    <row r="623" spans="2:17" ht="15.75" x14ac:dyDescent="0.2">
      <c r="B623" s="129"/>
      <c r="C623" s="129"/>
      <c r="D623" s="129"/>
      <c r="E623" s="129"/>
      <c r="F623" s="129"/>
      <c r="G623" s="129"/>
      <c r="H623" s="95" t="s">
        <v>4</v>
      </c>
      <c r="I623" s="14">
        <f t="shared" ref="I623:O623" si="201">SUMIF($H$618:$H$621,"фед*",I$618:I$621)</f>
        <v>0</v>
      </c>
      <c r="J623" s="14">
        <f t="shared" si="201"/>
        <v>0</v>
      </c>
      <c r="K623" s="14">
        <f t="shared" si="201"/>
        <v>0</v>
      </c>
      <c r="L623" s="14">
        <f t="shared" si="201"/>
        <v>0</v>
      </c>
      <c r="M623" s="14">
        <f t="shared" si="201"/>
        <v>0</v>
      </c>
      <c r="N623" s="14">
        <f t="shared" si="201"/>
        <v>0</v>
      </c>
      <c r="O623" s="14">
        <f t="shared" si="201"/>
        <v>0</v>
      </c>
      <c r="P623" s="129"/>
    </row>
    <row r="624" spans="2:17" ht="15.75" x14ac:dyDescent="0.2">
      <c r="B624" s="129"/>
      <c r="C624" s="129"/>
      <c r="D624" s="129"/>
      <c r="E624" s="129"/>
      <c r="F624" s="129"/>
      <c r="G624" s="129"/>
      <c r="H624" s="95" t="s">
        <v>6</v>
      </c>
      <c r="I624" s="14">
        <f t="shared" ref="I624:O624" si="202">SUMIF($H$618:$H$621,"конс*",I$618:I$621)</f>
        <v>9.3000000000000007</v>
      </c>
      <c r="J624" s="14">
        <f t="shared" si="202"/>
        <v>4</v>
      </c>
      <c r="K624" s="14">
        <f t="shared" si="202"/>
        <v>5.3</v>
      </c>
      <c r="L624" s="14">
        <f t="shared" si="202"/>
        <v>0</v>
      </c>
      <c r="M624" s="14">
        <f t="shared" si="202"/>
        <v>0</v>
      </c>
      <c r="N624" s="14">
        <f t="shared" si="202"/>
        <v>0</v>
      </c>
      <c r="O624" s="14">
        <f t="shared" si="202"/>
        <v>0</v>
      </c>
      <c r="P624" s="129"/>
    </row>
    <row r="625" spans="2:16" ht="15.75" x14ac:dyDescent="0.2">
      <c r="B625" s="130"/>
      <c r="C625" s="130"/>
      <c r="D625" s="130"/>
      <c r="E625" s="130"/>
      <c r="F625" s="130"/>
      <c r="G625" s="130"/>
      <c r="H625" s="95" t="s">
        <v>5</v>
      </c>
      <c r="I625" s="14">
        <f t="shared" ref="I625:O625" si="203">SUMIF($H$618:$H$621,"вне*",I$618:I$621)</f>
        <v>0</v>
      </c>
      <c r="J625" s="14">
        <f t="shared" si="203"/>
        <v>0</v>
      </c>
      <c r="K625" s="14">
        <f t="shared" si="203"/>
        <v>0</v>
      </c>
      <c r="L625" s="14">
        <f t="shared" si="203"/>
        <v>0</v>
      </c>
      <c r="M625" s="14">
        <f t="shared" si="203"/>
        <v>0</v>
      </c>
      <c r="N625" s="14">
        <f t="shared" si="203"/>
        <v>0</v>
      </c>
      <c r="O625" s="14">
        <f t="shared" si="203"/>
        <v>0</v>
      </c>
      <c r="P625" s="130"/>
    </row>
    <row r="626" spans="2:16" ht="25.5" customHeight="1" x14ac:dyDescent="0.2">
      <c r="B626" s="111" t="s">
        <v>65</v>
      </c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3"/>
    </row>
    <row r="627" spans="2:16" ht="42.75" outlineLevel="1" x14ac:dyDescent="0.2">
      <c r="B627" s="178" t="s">
        <v>1958</v>
      </c>
      <c r="C627" s="178"/>
      <c r="D627" s="178" t="s">
        <v>1212</v>
      </c>
      <c r="E627" s="178">
        <v>2022</v>
      </c>
      <c r="F627" s="178" t="s">
        <v>1959</v>
      </c>
      <c r="G627" s="178" t="s">
        <v>1213</v>
      </c>
      <c r="H627" s="95" t="s">
        <v>3</v>
      </c>
      <c r="I627" s="54">
        <f>SUM(J627:O627)</f>
        <v>144</v>
      </c>
      <c r="J627" s="94">
        <f t="shared" ref="J627:O627" si="204">SUM(J628:J630)</f>
        <v>0</v>
      </c>
      <c r="K627" s="94">
        <f t="shared" si="204"/>
        <v>0</v>
      </c>
      <c r="L627" s="94">
        <f t="shared" si="204"/>
        <v>144</v>
      </c>
      <c r="M627" s="94">
        <f t="shared" si="204"/>
        <v>0</v>
      </c>
      <c r="N627" s="94">
        <f t="shared" si="204"/>
        <v>0</v>
      </c>
      <c r="O627" s="94">
        <f t="shared" si="204"/>
        <v>0</v>
      </c>
      <c r="P627" s="178">
        <v>210000</v>
      </c>
    </row>
    <row r="628" spans="2:16" ht="15" customHeight="1" outlineLevel="1" x14ac:dyDescent="0.2">
      <c r="B628" s="178"/>
      <c r="C628" s="179"/>
      <c r="D628" s="178"/>
      <c r="E628" s="178"/>
      <c r="F628" s="178"/>
      <c r="G628" s="178"/>
      <c r="H628" s="95" t="s">
        <v>4</v>
      </c>
      <c r="I628" s="54">
        <f>SUM(J628:O628)</f>
        <v>115.2</v>
      </c>
      <c r="J628" s="87"/>
      <c r="K628" s="87"/>
      <c r="L628" s="87">
        <v>115.2</v>
      </c>
      <c r="M628" s="87"/>
      <c r="N628" s="87"/>
      <c r="O628" s="87"/>
      <c r="P628" s="178"/>
    </row>
    <row r="629" spans="2:16" ht="15" customHeight="1" outlineLevel="1" x14ac:dyDescent="0.2">
      <c r="B629" s="178"/>
      <c r="C629" s="179"/>
      <c r="D629" s="178"/>
      <c r="E629" s="178"/>
      <c r="F629" s="178"/>
      <c r="G629" s="178"/>
      <c r="H629" s="95" t="s">
        <v>6</v>
      </c>
      <c r="I629" s="54">
        <f>SUM(J629:O629)</f>
        <v>28.8</v>
      </c>
      <c r="J629" s="87"/>
      <c r="K629" s="87"/>
      <c r="L629" s="87">
        <v>28.8</v>
      </c>
      <c r="M629" s="87"/>
      <c r="N629" s="87"/>
      <c r="O629" s="87"/>
      <c r="P629" s="178"/>
    </row>
    <row r="630" spans="2:16" ht="15" customHeight="1" outlineLevel="1" x14ac:dyDescent="0.2">
      <c r="B630" s="178"/>
      <c r="C630" s="179"/>
      <c r="D630" s="178"/>
      <c r="E630" s="178"/>
      <c r="F630" s="178"/>
      <c r="G630" s="178"/>
      <c r="H630" s="95" t="s">
        <v>5</v>
      </c>
      <c r="I630" s="74"/>
      <c r="J630" s="87"/>
      <c r="K630" s="87"/>
      <c r="L630" s="87"/>
      <c r="M630" s="87"/>
      <c r="N630" s="87"/>
      <c r="O630" s="87"/>
      <c r="P630" s="178"/>
    </row>
    <row r="631" spans="2:16" ht="42.75" outlineLevel="1" x14ac:dyDescent="0.2">
      <c r="B631" s="178" t="s">
        <v>1960</v>
      </c>
      <c r="C631" s="178"/>
      <c r="D631" s="178" t="s">
        <v>1212</v>
      </c>
      <c r="E631" s="178" t="s">
        <v>209</v>
      </c>
      <c r="F631" s="178" t="s">
        <v>1961</v>
      </c>
      <c r="G631" s="178" t="s">
        <v>1213</v>
      </c>
      <c r="H631" s="95" t="s">
        <v>3</v>
      </c>
      <c r="I631" s="54">
        <f>SUM(J631:O631)</f>
        <v>362</v>
      </c>
      <c r="J631" s="94">
        <f t="shared" ref="J631:O631" si="205">SUM(J632:J634)</f>
        <v>0</v>
      </c>
      <c r="K631" s="94">
        <f t="shared" si="205"/>
        <v>0</v>
      </c>
      <c r="L631" s="94">
        <f t="shared" si="205"/>
        <v>0</v>
      </c>
      <c r="M631" s="94">
        <f t="shared" si="205"/>
        <v>100</v>
      </c>
      <c r="N631" s="94">
        <f t="shared" si="205"/>
        <v>262</v>
      </c>
      <c r="O631" s="94">
        <f t="shared" si="205"/>
        <v>0</v>
      </c>
      <c r="P631" s="178">
        <v>200000</v>
      </c>
    </row>
    <row r="632" spans="2:16" ht="15" customHeight="1" outlineLevel="1" x14ac:dyDescent="0.2">
      <c r="B632" s="178"/>
      <c r="C632" s="179"/>
      <c r="D632" s="178"/>
      <c r="E632" s="178"/>
      <c r="F632" s="178"/>
      <c r="G632" s="178"/>
      <c r="H632" s="95" t="s">
        <v>4</v>
      </c>
      <c r="I632" s="54">
        <f>SUM(J632:O632)</f>
        <v>289.60000000000002</v>
      </c>
      <c r="J632" s="87"/>
      <c r="K632" s="87"/>
      <c r="L632" s="87"/>
      <c r="M632" s="87">
        <v>80</v>
      </c>
      <c r="N632" s="87">
        <v>209.6</v>
      </c>
      <c r="O632" s="87"/>
      <c r="P632" s="178"/>
    </row>
    <row r="633" spans="2:16" ht="15" customHeight="1" outlineLevel="1" x14ac:dyDescent="0.2">
      <c r="B633" s="178"/>
      <c r="C633" s="179"/>
      <c r="D633" s="178"/>
      <c r="E633" s="178"/>
      <c r="F633" s="178"/>
      <c r="G633" s="178"/>
      <c r="H633" s="95" t="s">
        <v>6</v>
      </c>
      <c r="I633" s="54">
        <f>SUM(J633:O633)</f>
        <v>72.400000000000006</v>
      </c>
      <c r="J633" s="87"/>
      <c r="K633" s="87"/>
      <c r="L633" s="87"/>
      <c r="M633" s="87">
        <v>20</v>
      </c>
      <c r="N633" s="87">
        <v>52.4</v>
      </c>
      <c r="O633" s="87"/>
      <c r="P633" s="178"/>
    </row>
    <row r="634" spans="2:16" ht="15" customHeight="1" outlineLevel="1" x14ac:dyDescent="0.2">
      <c r="B634" s="178"/>
      <c r="C634" s="179"/>
      <c r="D634" s="178"/>
      <c r="E634" s="178"/>
      <c r="F634" s="178"/>
      <c r="G634" s="178"/>
      <c r="H634" s="95" t="s">
        <v>5</v>
      </c>
      <c r="I634" s="74"/>
      <c r="J634" s="87"/>
      <c r="K634" s="87"/>
      <c r="L634" s="87"/>
      <c r="M634" s="87"/>
      <c r="N634" s="87"/>
      <c r="O634" s="87"/>
      <c r="P634" s="178"/>
    </row>
    <row r="635" spans="2:16" ht="42.75" outlineLevel="1" x14ac:dyDescent="0.2">
      <c r="B635" s="178" t="s">
        <v>1214</v>
      </c>
      <c r="C635" s="178"/>
      <c r="D635" s="178" t="s">
        <v>1212</v>
      </c>
      <c r="E635" s="178">
        <v>2023</v>
      </c>
      <c r="F635" s="178" t="s">
        <v>1962</v>
      </c>
      <c r="G635" s="178" t="s">
        <v>1213</v>
      </c>
      <c r="H635" s="95" t="s">
        <v>3</v>
      </c>
      <c r="I635" s="54">
        <f>SUM(J635:O635)</f>
        <v>121</v>
      </c>
      <c r="J635" s="94">
        <f t="shared" ref="J635:O635" si="206">SUM(J636:J638)</f>
        <v>0</v>
      </c>
      <c r="K635" s="94">
        <f t="shared" si="206"/>
        <v>0</v>
      </c>
      <c r="L635" s="94">
        <f t="shared" si="206"/>
        <v>0</v>
      </c>
      <c r="M635" s="94">
        <f t="shared" si="206"/>
        <v>121</v>
      </c>
      <c r="N635" s="94">
        <f t="shared" si="206"/>
        <v>0</v>
      </c>
      <c r="O635" s="94">
        <f t="shared" si="206"/>
        <v>0</v>
      </c>
      <c r="P635" s="178">
        <v>195000</v>
      </c>
    </row>
    <row r="636" spans="2:16" ht="15" customHeight="1" outlineLevel="1" x14ac:dyDescent="0.2">
      <c r="B636" s="178"/>
      <c r="C636" s="179"/>
      <c r="D636" s="178"/>
      <c r="E636" s="178"/>
      <c r="F636" s="178"/>
      <c r="G636" s="178"/>
      <c r="H636" s="95" t="s">
        <v>4</v>
      </c>
      <c r="I636" s="54">
        <f>SUM(J636:O636)</f>
        <v>0</v>
      </c>
      <c r="J636" s="87"/>
      <c r="K636" s="87"/>
      <c r="L636" s="87"/>
      <c r="M636" s="87"/>
      <c r="N636" s="87"/>
      <c r="O636" s="87"/>
      <c r="P636" s="178"/>
    </row>
    <row r="637" spans="2:16" ht="15" customHeight="1" outlineLevel="1" x14ac:dyDescent="0.2">
      <c r="B637" s="178"/>
      <c r="C637" s="179"/>
      <c r="D637" s="178"/>
      <c r="E637" s="178"/>
      <c r="F637" s="178"/>
      <c r="G637" s="178"/>
      <c r="H637" s="95" t="s">
        <v>6</v>
      </c>
      <c r="I637" s="54">
        <f>SUM(J637:O637)</f>
        <v>121</v>
      </c>
      <c r="J637" s="87"/>
      <c r="K637" s="87"/>
      <c r="L637" s="87"/>
      <c r="M637" s="87">
        <v>121</v>
      </c>
      <c r="N637" s="87"/>
      <c r="O637" s="87"/>
      <c r="P637" s="178"/>
    </row>
    <row r="638" spans="2:16" ht="15" customHeight="1" outlineLevel="1" x14ac:dyDescent="0.2">
      <c r="B638" s="178"/>
      <c r="C638" s="179"/>
      <c r="D638" s="178"/>
      <c r="E638" s="178"/>
      <c r="F638" s="178"/>
      <c r="G638" s="178"/>
      <c r="H638" s="95" t="s">
        <v>5</v>
      </c>
      <c r="I638" s="74"/>
      <c r="J638" s="87"/>
      <c r="K638" s="87"/>
      <c r="L638" s="87"/>
      <c r="M638" s="87"/>
      <c r="N638" s="87"/>
      <c r="O638" s="87"/>
      <c r="P638" s="178"/>
    </row>
    <row r="639" spans="2:16" ht="42.75" outlineLevel="1" x14ac:dyDescent="0.2">
      <c r="B639" s="178" t="s">
        <v>1215</v>
      </c>
      <c r="C639" s="178"/>
      <c r="D639" s="178" t="s">
        <v>1212</v>
      </c>
      <c r="E639" s="178">
        <v>2024</v>
      </c>
      <c r="F639" s="178" t="s">
        <v>1963</v>
      </c>
      <c r="G639" s="178" t="s">
        <v>1213</v>
      </c>
      <c r="H639" s="95" t="s">
        <v>3</v>
      </c>
      <c r="I639" s="54">
        <f>SUM(J639:O639)</f>
        <v>121</v>
      </c>
      <c r="J639" s="94">
        <f t="shared" ref="J639:O639" si="207">SUM(J640:J642)</f>
        <v>0</v>
      </c>
      <c r="K639" s="94">
        <f t="shared" si="207"/>
        <v>0</v>
      </c>
      <c r="L639" s="94">
        <f t="shared" si="207"/>
        <v>0</v>
      </c>
      <c r="M639" s="94">
        <f t="shared" si="207"/>
        <v>0</v>
      </c>
      <c r="N639" s="94">
        <f t="shared" si="207"/>
        <v>121</v>
      </c>
      <c r="O639" s="94">
        <f t="shared" si="207"/>
        <v>0</v>
      </c>
      <c r="P639" s="178">
        <v>215000</v>
      </c>
    </row>
    <row r="640" spans="2:16" ht="15" customHeight="1" outlineLevel="1" x14ac:dyDescent="0.2">
      <c r="B640" s="178"/>
      <c r="C640" s="179"/>
      <c r="D640" s="178"/>
      <c r="E640" s="178"/>
      <c r="F640" s="178"/>
      <c r="G640" s="178"/>
      <c r="H640" s="95" t="s">
        <v>4</v>
      </c>
      <c r="I640" s="54"/>
      <c r="J640" s="87"/>
      <c r="K640" s="87"/>
      <c r="L640" s="87"/>
      <c r="M640" s="87"/>
      <c r="N640" s="87"/>
      <c r="O640" s="87"/>
      <c r="P640" s="178"/>
    </row>
    <row r="641" spans="2:16" ht="15" customHeight="1" outlineLevel="1" x14ac:dyDescent="0.2">
      <c r="B641" s="178"/>
      <c r="C641" s="179"/>
      <c r="D641" s="178"/>
      <c r="E641" s="178"/>
      <c r="F641" s="178"/>
      <c r="G641" s="178"/>
      <c r="H641" s="95" t="s">
        <v>6</v>
      </c>
      <c r="I641" s="54">
        <f>SUM(J641:O641)</f>
        <v>121</v>
      </c>
      <c r="J641" s="87"/>
      <c r="K641" s="87"/>
      <c r="L641" s="87"/>
      <c r="M641" s="87"/>
      <c r="N641" s="87">
        <v>121</v>
      </c>
      <c r="O641" s="87"/>
      <c r="P641" s="178"/>
    </row>
    <row r="642" spans="2:16" ht="15" customHeight="1" outlineLevel="1" x14ac:dyDescent="0.2">
      <c r="B642" s="178"/>
      <c r="C642" s="179"/>
      <c r="D642" s="178"/>
      <c r="E642" s="178"/>
      <c r="F642" s="178"/>
      <c r="G642" s="178"/>
      <c r="H642" s="95" t="s">
        <v>5</v>
      </c>
      <c r="I642" s="74"/>
      <c r="J642" s="87"/>
      <c r="K642" s="87"/>
      <c r="L642" s="87"/>
      <c r="M642" s="87"/>
      <c r="N642" s="87"/>
      <c r="O642" s="87"/>
      <c r="P642" s="178"/>
    </row>
    <row r="643" spans="2:16" ht="42.75" outlineLevel="1" x14ac:dyDescent="0.2">
      <c r="B643" s="178" t="s">
        <v>1964</v>
      </c>
      <c r="C643" s="178"/>
      <c r="D643" s="178" t="s">
        <v>1212</v>
      </c>
      <c r="E643" s="178" t="s">
        <v>286</v>
      </c>
      <c r="F643" s="178" t="s">
        <v>1965</v>
      </c>
      <c r="G643" s="178" t="s">
        <v>1216</v>
      </c>
      <c r="H643" s="95" t="s">
        <v>3</v>
      </c>
      <c r="I643" s="54">
        <f>SUM(J643:O643)</f>
        <v>801.5</v>
      </c>
      <c r="J643" s="94">
        <f t="shared" ref="J643:O643" si="208">SUM(J644:J646)</f>
        <v>0</v>
      </c>
      <c r="K643" s="94">
        <f t="shared" si="208"/>
        <v>0</v>
      </c>
      <c r="L643" s="94">
        <f t="shared" si="208"/>
        <v>0</v>
      </c>
      <c r="M643" s="94">
        <f t="shared" si="208"/>
        <v>201.5</v>
      </c>
      <c r="N643" s="94">
        <f t="shared" si="208"/>
        <v>300</v>
      </c>
      <c r="O643" s="94">
        <f t="shared" si="208"/>
        <v>300</v>
      </c>
      <c r="P643" s="178">
        <v>300000</v>
      </c>
    </row>
    <row r="644" spans="2:16" ht="15" customHeight="1" outlineLevel="1" x14ac:dyDescent="0.2">
      <c r="B644" s="178"/>
      <c r="C644" s="179"/>
      <c r="D644" s="178"/>
      <c r="E644" s="178"/>
      <c r="F644" s="178"/>
      <c r="G644" s="178"/>
      <c r="H644" s="95" t="s">
        <v>4</v>
      </c>
      <c r="I644" s="54">
        <f>SUM(J644:O644)</f>
        <v>641.20000000000005</v>
      </c>
      <c r="J644" s="87"/>
      <c r="K644" s="87"/>
      <c r="L644" s="87"/>
      <c r="M644" s="87">
        <v>161.19999999999999</v>
      </c>
      <c r="N644" s="87">
        <v>240</v>
      </c>
      <c r="O644" s="87">
        <v>240</v>
      </c>
      <c r="P644" s="178"/>
    </row>
    <row r="645" spans="2:16" ht="15" customHeight="1" outlineLevel="1" x14ac:dyDescent="0.2">
      <c r="B645" s="178"/>
      <c r="C645" s="179"/>
      <c r="D645" s="178"/>
      <c r="E645" s="178"/>
      <c r="F645" s="178"/>
      <c r="G645" s="178"/>
      <c r="H645" s="95" t="s">
        <v>6</v>
      </c>
      <c r="I645" s="54">
        <f>SUM(J645:O645)</f>
        <v>160.30000000000001</v>
      </c>
      <c r="J645" s="87"/>
      <c r="K645" s="87"/>
      <c r="L645" s="94"/>
      <c r="M645" s="94">
        <v>40.299999999999997</v>
      </c>
      <c r="N645" s="94">
        <v>60</v>
      </c>
      <c r="O645" s="94">
        <v>60</v>
      </c>
      <c r="P645" s="178"/>
    </row>
    <row r="646" spans="2:16" ht="15" customHeight="1" outlineLevel="1" x14ac:dyDescent="0.2">
      <c r="B646" s="178"/>
      <c r="C646" s="179"/>
      <c r="D646" s="178"/>
      <c r="E646" s="178"/>
      <c r="F646" s="178"/>
      <c r="G646" s="178"/>
      <c r="H646" s="95" t="s">
        <v>5</v>
      </c>
      <c r="I646" s="74"/>
      <c r="J646" s="87"/>
      <c r="K646" s="87"/>
      <c r="L646" s="87"/>
      <c r="M646" s="87"/>
      <c r="N646" s="87"/>
      <c r="O646" s="87"/>
      <c r="P646" s="178"/>
    </row>
    <row r="647" spans="2:16" ht="42.75" outlineLevel="1" x14ac:dyDescent="0.2">
      <c r="B647" s="178" t="s">
        <v>1966</v>
      </c>
      <c r="C647" s="178"/>
      <c r="D647" s="178" t="s">
        <v>1212</v>
      </c>
      <c r="E647" s="178" t="s">
        <v>69</v>
      </c>
      <c r="F647" s="178"/>
      <c r="G647" s="178" t="s">
        <v>1967</v>
      </c>
      <c r="H647" s="95" t="s">
        <v>3</v>
      </c>
      <c r="I647" s="54">
        <f>SUM(J647:O647)</f>
        <v>475</v>
      </c>
      <c r="J647" s="94">
        <f t="shared" ref="J647:K647" si="209">SUM(J648:J650)</f>
        <v>5</v>
      </c>
      <c r="K647" s="94">
        <f t="shared" si="209"/>
        <v>70</v>
      </c>
      <c r="L647" s="94">
        <v>100</v>
      </c>
      <c r="M647" s="94">
        <v>100</v>
      </c>
      <c r="N647" s="94">
        <v>100</v>
      </c>
      <c r="O647" s="94">
        <v>100</v>
      </c>
      <c r="P647" s="178"/>
    </row>
    <row r="648" spans="2:16" ht="15" customHeight="1" outlineLevel="1" x14ac:dyDescent="0.2">
      <c r="B648" s="178"/>
      <c r="C648" s="179"/>
      <c r="D648" s="178"/>
      <c r="E648" s="178"/>
      <c r="F648" s="178"/>
      <c r="G648" s="178"/>
      <c r="H648" s="95" t="s">
        <v>4</v>
      </c>
      <c r="I648" s="54">
        <f>SUM(J648:O648)</f>
        <v>50</v>
      </c>
      <c r="J648" s="87"/>
      <c r="K648" s="87">
        <v>10</v>
      </c>
      <c r="L648" s="87">
        <v>10</v>
      </c>
      <c r="M648" s="87">
        <v>10</v>
      </c>
      <c r="N648" s="87">
        <v>10</v>
      </c>
      <c r="O648" s="87">
        <v>10</v>
      </c>
      <c r="P648" s="178"/>
    </row>
    <row r="649" spans="2:16" ht="15" customHeight="1" outlineLevel="1" x14ac:dyDescent="0.2">
      <c r="B649" s="178"/>
      <c r="C649" s="179"/>
      <c r="D649" s="178"/>
      <c r="E649" s="178"/>
      <c r="F649" s="178"/>
      <c r="G649" s="178"/>
      <c r="H649" s="95" t="s">
        <v>6</v>
      </c>
      <c r="I649" s="54">
        <f>SUM(J649:O649)</f>
        <v>425</v>
      </c>
      <c r="J649" s="87">
        <v>5</v>
      </c>
      <c r="K649" s="87">
        <v>60</v>
      </c>
      <c r="L649" s="94">
        <v>90</v>
      </c>
      <c r="M649" s="94">
        <v>90</v>
      </c>
      <c r="N649" s="94">
        <v>90</v>
      </c>
      <c r="O649" s="94">
        <v>90</v>
      </c>
      <c r="P649" s="178"/>
    </row>
    <row r="650" spans="2:16" ht="15" customHeight="1" outlineLevel="1" x14ac:dyDescent="0.2">
      <c r="B650" s="178"/>
      <c r="C650" s="179"/>
      <c r="D650" s="178"/>
      <c r="E650" s="178"/>
      <c r="F650" s="178"/>
      <c r="G650" s="178"/>
      <c r="H650" s="95" t="s">
        <v>5</v>
      </c>
      <c r="I650" s="74"/>
      <c r="J650" s="87"/>
      <c r="K650" s="87"/>
      <c r="L650" s="87"/>
      <c r="M650" s="87"/>
      <c r="N650" s="87"/>
      <c r="O650" s="87"/>
      <c r="P650" s="178"/>
    </row>
    <row r="651" spans="2:16" ht="42.75" outlineLevel="1" x14ac:dyDescent="0.2">
      <c r="B651" s="178" t="s">
        <v>1968</v>
      </c>
      <c r="C651" s="178"/>
      <c r="D651" s="178" t="s">
        <v>1212</v>
      </c>
      <c r="E651" s="178" t="s">
        <v>34</v>
      </c>
      <c r="F651" s="178"/>
      <c r="G651" s="178" t="s">
        <v>67</v>
      </c>
      <c r="H651" s="95" t="s">
        <v>3</v>
      </c>
      <c r="I651" s="54">
        <f>SUM(J651:O651)</f>
        <v>122.49</v>
      </c>
      <c r="J651" s="94">
        <f t="shared" ref="J651:O651" si="210">SUM(J652:J654)</f>
        <v>0</v>
      </c>
      <c r="K651" s="94">
        <f t="shared" si="210"/>
        <v>71.5</v>
      </c>
      <c r="L651" s="94">
        <f t="shared" si="210"/>
        <v>13.16</v>
      </c>
      <c r="M651" s="94">
        <f t="shared" si="210"/>
        <v>37.83</v>
      </c>
      <c r="N651" s="94">
        <f t="shared" si="210"/>
        <v>0</v>
      </c>
      <c r="O651" s="94">
        <f t="shared" si="210"/>
        <v>0</v>
      </c>
      <c r="P651" s="178"/>
    </row>
    <row r="652" spans="2:16" ht="15" customHeight="1" outlineLevel="1" x14ac:dyDescent="0.2">
      <c r="B652" s="178"/>
      <c r="C652" s="179"/>
      <c r="D652" s="178"/>
      <c r="E652" s="178"/>
      <c r="F652" s="178"/>
      <c r="G652" s="178"/>
      <c r="H652" s="95" t="s">
        <v>4</v>
      </c>
      <c r="I652" s="54">
        <f>SUM(J652:O652)</f>
        <v>0</v>
      </c>
      <c r="J652" s="87"/>
      <c r="K652" s="87">
        <v>0</v>
      </c>
      <c r="L652" s="87">
        <v>0</v>
      </c>
      <c r="M652" s="87">
        <v>0</v>
      </c>
      <c r="N652" s="87">
        <v>0</v>
      </c>
      <c r="O652" s="87">
        <v>0</v>
      </c>
      <c r="P652" s="178"/>
    </row>
    <row r="653" spans="2:16" ht="15" customHeight="1" outlineLevel="1" x14ac:dyDescent="0.2">
      <c r="B653" s="178"/>
      <c r="C653" s="179"/>
      <c r="D653" s="178"/>
      <c r="E653" s="178"/>
      <c r="F653" s="178"/>
      <c r="G653" s="178"/>
      <c r="H653" s="95" t="s">
        <v>6</v>
      </c>
      <c r="I653" s="54">
        <f>SUM(J653:O653)</f>
        <v>122.49</v>
      </c>
      <c r="J653" s="87"/>
      <c r="K653" s="87">
        <v>71.5</v>
      </c>
      <c r="L653" s="94">
        <v>13.16</v>
      </c>
      <c r="M653" s="94">
        <v>37.83</v>
      </c>
      <c r="N653" s="96">
        <v>0</v>
      </c>
      <c r="O653" s="96">
        <v>0</v>
      </c>
      <c r="P653" s="178"/>
    </row>
    <row r="654" spans="2:16" ht="15" customHeight="1" outlineLevel="1" x14ac:dyDescent="0.2">
      <c r="B654" s="178"/>
      <c r="C654" s="179"/>
      <c r="D654" s="178"/>
      <c r="E654" s="178"/>
      <c r="F654" s="178"/>
      <c r="G654" s="178"/>
      <c r="H654" s="95" t="s">
        <v>5</v>
      </c>
      <c r="I654" s="74"/>
      <c r="J654" s="87"/>
      <c r="K654" s="87"/>
      <c r="L654" s="87"/>
      <c r="M654" s="87"/>
      <c r="N654" s="87"/>
      <c r="O654" s="87"/>
      <c r="P654" s="178"/>
    </row>
    <row r="655" spans="2:16" ht="42.75" outlineLevel="1" x14ac:dyDescent="0.2">
      <c r="B655" s="178" t="s">
        <v>1969</v>
      </c>
      <c r="C655" s="178"/>
      <c r="D655" s="178" t="s">
        <v>1212</v>
      </c>
      <c r="E655" s="178" t="s">
        <v>50</v>
      </c>
      <c r="F655" s="178"/>
      <c r="G655" s="178" t="s">
        <v>1970</v>
      </c>
      <c r="H655" s="95" t="s">
        <v>3</v>
      </c>
      <c r="I655" s="54">
        <f>SUM(J655:O655)</f>
        <v>177.8</v>
      </c>
      <c r="J655" s="94">
        <f t="shared" ref="J655:O655" si="211">SUM(J656:J658)</f>
        <v>5.4</v>
      </c>
      <c r="K655" s="94">
        <f t="shared" si="211"/>
        <v>16.3</v>
      </c>
      <c r="L655" s="94">
        <f t="shared" si="211"/>
        <v>67.599999999999994</v>
      </c>
      <c r="M655" s="94">
        <f t="shared" si="211"/>
        <v>46</v>
      </c>
      <c r="N655" s="94">
        <f t="shared" si="211"/>
        <v>32</v>
      </c>
      <c r="O655" s="94">
        <f t="shared" si="211"/>
        <v>10.5</v>
      </c>
      <c r="P655" s="178"/>
    </row>
    <row r="656" spans="2:16" ht="15" customHeight="1" outlineLevel="1" x14ac:dyDescent="0.2">
      <c r="B656" s="178"/>
      <c r="C656" s="179"/>
      <c r="D656" s="178"/>
      <c r="E656" s="178"/>
      <c r="F656" s="178"/>
      <c r="G656" s="178"/>
      <c r="H656" s="95" t="s">
        <v>4</v>
      </c>
      <c r="I656" s="54"/>
      <c r="J656" s="87"/>
      <c r="K656" s="87">
        <v>0</v>
      </c>
      <c r="L656" s="87">
        <v>0</v>
      </c>
      <c r="M656" s="87">
        <v>0</v>
      </c>
      <c r="N656" s="87">
        <v>0</v>
      </c>
      <c r="O656" s="87">
        <v>0</v>
      </c>
      <c r="P656" s="178"/>
    </row>
    <row r="657" spans="2:16" ht="15" customHeight="1" outlineLevel="1" x14ac:dyDescent="0.2">
      <c r="B657" s="178"/>
      <c r="C657" s="179"/>
      <c r="D657" s="178"/>
      <c r="E657" s="178"/>
      <c r="F657" s="178"/>
      <c r="G657" s="178"/>
      <c r="H657" s="95" t="s">
        <v>6</v>
      </c>
      <c r="I657" s="54">
        <f>SUM(J657:O657)</f>
        <v>177.8</v>
      </c>
      <c r="J657" s="87">
        <v>5.4</v>
      </c>
      <c r="K657" s="87">
        <v>16.3</v>
      </c>
      <c r="L657" s="94">
        <v>67.599999999999994</v>
      </c>
      <c r="M657" s="94">
        <v>46</v>
      </c>
      <c r="N657" s="96">
        <v>32</v>
      </c>
      <c r="O657" s="96">
        <v>10.5</v>
      </c>
      <c r="P657" s="178"/>
    </row>
    <row r="658" spans="2:16" ht="15" customHeight="1" outlineLevel="1" x14ac:dyDescent="0.2">
      <c r="B658" s="178"/>
      <c r="C658" s="179"/>
      <c r="D658" s="178"/>
      <c r="E658" s="178"/>
      <c r="F658" s="178"/>
      <c r="G658" s="178"/>
      <c r="H658" s="95" t="s">
        <v>5</v>
      </c>
      <c r="I658" s="74"/>
      <c r="J658" s="87"/>
      <c r="K658" s="87"/>
      <c r="L658" s="87"/>
      <c r="M658" s="87"/>
      <c r="N658" s="87"/>
      <c r="O658" s="87"/>
      <c r="P658" s="178"/>
    </row>
    <row r="659" spans="2:16" ht="42.75" outlineLevel="1" x14ac:dyDescent="0.2">
      <c r="B659" s="178" t="s">
        <v>1971</v>
      </c>
      <c r="C659" s="178"/>
      <c r="D659" s="178" t="s">
        <v>1212</v>
      </c>
      <c r="E659" s="178" t="s">
        <v>209</v>
      </c>
      <c r="F659" s="178"/>
      <c r="G659" s="178" t="s">
        <v>67</v>
      </c>
      <c r="H659" s="95" t="s">
        <v>3</v>
      </c>
      <c r="I659" s="54">
        <f>SUM(J659:O659)</f>
        <v>29.4</v>
      </c>
      <c r="J659" s="94">
        <f t="shared" ref="J659:O659" si="212">SUM(J660:J662)</f>
        <v>0</v>
      </c>
      <c r="K659" s="94">
        <f t="shared" si="212"/>
        <v>0</v>
      </c>
      <c r="L659" s="94">
        <f t="shared" si="212"/>
        <v>9.4</v>
      </c>
      <c r="M659" s="94">
        <f t="shared" si="212"/>
        <v>10</v>
      </c>
      <c r="N659" s="94">
        <v>10</v>
      </c>
      <c r="O659" s="94">
        <f t="shared" si="212"/>
        <v>0</v>
      </c>
      <c r="P659" s="178"/>
    </row>
    <row r="660" spans="2:16" ht="15" customHeight="1" outlineLevel="1" x14ac:dyDescent="0.2">
      <c r="B660" s="178"/>
      <c r="C660" s="179"/>
      <c r="D660" s="178"/>
      <c r="E660" s="178"/>
      <c r="F660" s="178"/>
      <c r="G660" s="178"/>
      <c r="H660" s="95" t="s">
        <v>4</v>
      </c>
      <c r="I660" s="54"/>
      <c r="J660" s="87"/>
      <c r="K660" s="87">
        <v>0</v>
      </c>
      <c r="L660" s="87">
        <v>0</v>
      </c>
      <c r="M660" s="87">
        <v>0</v>
      </c>
      <c r="N660" s="87">
        <v>0</v>
      </c>
      <c r="O660" s="87">
        <v>0</v>
      </c>
      <c r="P660" s="178"/>
    </row>
    <row r="661" spans="2:16" ht="15" customHeight="1" outlineLevel="1" x14ac:dyDescent="0.2">
      <c r="B661" s="178"/>
      <c r="C661" s="179"/>
      <c r="D661" s="178"/>
      <c r="E661" s="178"/>
      <c r="F661" s="178"/>
      <c r="G661" s="178"/>
      <c r="H661" s="95" t="s">
        <v>6</v>
      </c>
      <c r="I661" s="54">
        <f>SUM(J661:O661)</f>
        <v>29.4</v>
      </c>
      <c r="J661" s="87"/>
      <c r="K661" s="87"/>
      <c r="L661" s="94">
        <v>9.4</v>
      </c>
      <c r="M661" s="94">
        <v>10</v>
      </c>
      <c r="N661" s="96">
        <v>10</v>
      </c>
      <c r="O661" s="96">
        <v>0</v>
      </c>
      <c r="P661" s="178"/>
    </row>
    <row r="662" spans="2:16" ht="15" customHeight="1" outlineLevel="1" x14ac:dyDescent="0.2">
      <c r="B662" s="178"/>
      <c r="C662" s="179"/>
      <c r="D662" s="178"/>
      <c r="E662" s="178"/>
      <c r="F662" s="178"/>
      <c r="G662" s="178"/>
      <c r="H662" s="95" t="s">
        <v>5</v>
      </c>
      <c r="I662" s="74"/>
      <c r="J662" s="87"/>
      <c r="K662" s="87"/>
      <c r="L662" s="87"/>
      <c r="M662" s="87"/>
      <c r="N662" s="87"/>
      <c r="O662" s="87"/>
      <c r="P662" s="178"/>
    </row>
    <row r="663" spans="2:16" ht="42.75" outlineLevel="1" x14ac:dyDescent="0.2">
      <c r="B663" s="178" t="s">
        <v>1972</v>
      </c>
      <c r="C663" s="178"/>
      <c r="D663" s="178" t="s">
        <v>1212</v>
      </c>
      <c r="E663" s="178" t="s">
        <v>75</v>
      </c>
      <c r="F663" s="178"/>
      <c r="G663" s="178" t="s">
        <v>1973</v>
      </c>
      <c r="H663" s="95" t="s">
        <v>3</v>
      </c>
      <c r="I663" s="54">
        <f>SUM(J663:O663)</f>
        <v>45.6</v>
      </c>
      <c r="J663" s="94">
        <f t="shared" ref="J663:O663" si="213">SUM(J664:J666)</f>
        <v>0</v>
      </c>
      <c r="K663" s="94">
        <f t="shared" si="213"/>
        <v>0</v>
      </c>
      <c r="L663" s="94">
        <f t="shared" si="213"/>
        <v>2.2000000000000002</v>
      </c>
      <c r="M663" s="94">
        <f t="shared" si="213"/>
        <v>3.4</v>
      </c>
      <c r="N663" s="94">
        <f t="shared" si="213"/>
        <v>40</v>
      </c>
      <c r="O663" s="94">
        <f t="shared" si="213"/>
        <v>0</v>
      </c>
      <c r="P663" s="178"/>
    </row>
    <row r="664" spans="2:16" ht="15" customHeight="1" outlineLevel="1" x14ac:dyDescent="0.2">
      <c r="B664" s="178"/>
      <c r="C664" s="179"/>
      <c r="D664" s="178"/>
      <c r="E664" s="178"/>
      <c r="F664" s="178"/>
      <c r="G664" s="178"/>
      <c r="H664" s="95" t="s">
        <v>4</v>
      </c>
      <c r="I664" s="54">
        <f>SUM(J664:O664)</f>
        <v>0</v>
      </c>
      <c r="J664" s="87"/>
      <c r="K664" s="87">
        <v>0</v>
      </c>
      <c r="L664" s="87">
        <v>0</v>
      </c>
      <c r="M664" s="87">
        <v>0</v>
      </c>
      <c r="N664" s="87">
        <v>0</v>
      </c>
      <c r="O664" s="87">
        <v>0</v>
      </c>
      <c r="P664" s="178"/>
    </row>
    <row r="665" spans="2:16" ht="15" customHeight="1" outlineLevel="1" x14ac:dyDescent="0.2">
      <c r="B665" s="178"/>
      <c r="C665" s="179"/>
      <c r="D665" s="178"/>
      <c r="E665" s="178"/>
      <c r="F665" s="178"/>
      <c r="G665" s="178"/>
      <c r="H665" s="95" t="s">
        <v>6</v>
      </c>
      <c r="I665" s="54">
        <f>SUM(J665:O665)</f>
        <v>45.6</v>
      </c>
      <c r="J665" s="87"/>
      <c r="K665" s="87"/>
      <c r="L665" s="94">
        <v>2.2000000000000002</v>
      </c>
      <c r="M665" s="94">
        <v>3.4</v>
      </c>
      <c r="N665" s="96">
        <v>40</v>
      </c>
      <c r="O665" s="96">
        <v>0</v>
      </c>
      <c r="P665" s="178"/>
    </row>
    <row r="666" spans="2:16" ht="15" customHeight="1" outlineLevel="1" x14ac:dyDescent="0.2">
      <c r="B666" s="178"/>
      <c r="C666" s="179"/>
      <c r="D666" s="178"/>
      <c r="E666" s="178"/>
      <c r="F666" s="178"/>
      <c r="G666" s="178"/>
      <c r="H666" s="95" t="s">
        <v>5</v>
      </c>
      <c r="I666" s="74"/>
      <c r="J666" s="87"/>
      <c r="K666" s="87"/>
      <c r="L666" s="87"/>
      <c r="M666" s="87"/>
      <c r="N666" s="87"/>
      <c r="O666" s="87"/>
      <c r="P666" s="178"/>
    </row>
    <row r="667" spans="2:16" ht="42.75" outlineLevel="1" x14ac:dyDescent="0.2">
      <c r="B667" s="178" t="s">
        <v>1974</v>
      </c>
      <c r="C667" s="107"/>
      <c r="D667" s="178" t="s">
        <v>1212</v>
      </c>
      <c r="E667" s="178" t="s">
        <v>34</v>
      </c>
      <c r="F667" s="178"/>
      <c r="G667" s="178" t="s">
        <v>1975</v>
      </c>
      <c r="H667" s="95" t="s">
        <v>3</v>
      </c>
      <c r="I667" s="54">
        <f>SUM(J667:O667)</f>
        <v>5.7</v>
      </c>
      <c r="J667" s="94">
        <f t="shared" ref="J667:O667" si="214">SUM(J668:J670)</f>
        <v>0</v>
      </c>
      <c r="K667" s="94">
        <f t="shared" si="214"/>
        <v>3.7</v>
      </c>
      <c r="L667" s="94">
        <f t="shared" si="214"/>
        <v>0</v>
      </c>
      <c r="M667" s="94">
        <f t="shared" si="214"/>
        <v>2</v>
      </c>
      <c r="N667" s="94">
        <f t="shared" si="214"/>
        <v>0</v>
      </c>
      <c r="O667" s="94">
        <f t="shared" si="214"/>
        <v>0</v>
      </c>
      <c r="P667" s="178"/>
    </row>
    <row r="668" spans="2:16" ht="15" customHeight="1" outlineLevel="1" x14ac:dyDescent="0.2">
      <c r="B668" s="178"/>
      <c r="C668" s="107"/>
      <c r="D668" s="178"/>
      <c r="E668" s="178"/>
      <c r="F668" s="178"/>
      <c r="G668" s="178"/>
      <c r="H668" s="95" t="s">
        <v>4</v>
      </c>
      <c r="I668" s="54"/>
      <c r="J668" s="87"/>
      <c r="K668" s="87">
        <v>0</v>
      </c>
      <c r="L668" s="87">
        <v>0</v>
      </c>
      <c r="M668" s="87">
        <v>0</v>
      </c>
      <c r="N668" s="87">
        <v>0</v>
      </c>
      <c r="O668" s="87">
        <v>0</v>
      </c>
      <c r="P668" s="178"/>
    </row>
    <row r="669" spans="2:16" ht="15" customHeight="1" outlineLevel="1" x14ac:dyDescent="0.2">
      <c r="B669" s="178"/>
      <c r="C669" s="107"/>
      <c r="D669" s="178"/>
      <c r="E669" s="178"/>
      <c r="F669" s="178"/>
      <c r="G669" s="178"/>
      <c r="H669" s="95" t="s">
        <v>6</v>
      </c>
      <c r="I669" s="54">
        <f>SUM(J669:O669)</f>
        <v>5.7</v>
      </c>
      <c r="J669" s="87"/>
      <c r="K669" s="87">
        <v>3.7</v>
      </c>
      <c r="L669" s="94">
        <v>0</v>
      </c>
      <c r="M669" s="94">
        <v>2</v>
      </c>
      <c r="N669" s="96">
        <v>0</v>
      </c>
      <c r="O669" s="96">
        <v>0</v>
      </c>
      <c r="P669" s="178"/>
    </row>
    <row r="670" spans="2:16" ht="15" customHeight="1" outlineLevel="1" x14ac:dyDescent="0.2">
      <c r="B670" s="178"/>
      <c r="C670" s="107"/>
      <c r="D670" s="178"/>
      <c r="E670" s="178"/>
      <c r="F670" s="178"/>
      <c r="G670" s="178"/>
      <c r="H670" s="95" t="s">
        <v>5</v>
      </c>
      <c r="I670" s="74"/>
      <c r="J670" s="87"/>
      <c r="K670" s="87"/>
      <c r="L670" s="87"/>
      <c r="M670" s="87"/>
      <c r="N670" s="87"/>
      <c r="O670" s="87"/>
      <c r="P670" s="178"/>
    </row>
    <row r="671" spans="2:16" ht="42.75" outlineLevel="1" x14ac:dyDescent="0.2">
      <c r="B671" s="178" t="s">
        <v>1976</v>
      </c>
      <c r="C671" s="107"/>
      <c r="D671" s="178" t="s">
        <v>1212</v>
      </c>
      <c r="E671" s="178" t="s">
        <v>50</v>
      </c>
      <c r="F671" s="178"/>
      <c r="G671" s="178" t="s">
        <v>1213</v>
      </c>
      <c r="H671" s="95" t="s">
        <v>3</v>
      </c>
      <c r="I671" s="54">
        <f>SUM(J671:O671)</f>
        <v>7</v>
      </c>
      <c r="J671" s="94">
        <f t="shared" ref="J671:O671" si="215">SUM(J672:J674)</f>
        <v>0</v>
      </c>
      <c r="K671" s="94">
        <f t="shared" si="215"/>
        <v>0</v>
      </c>
      <c r="L671" s="94">
        <f t="shared" si="215"/>
        <v>7</v>
      </c>
      <c r="M671" s="94">
        <f t="shared" si="215"/>
        <v>0</v>
      </c>
      <c r="N671" s="94">
        <f t="shared" si="215"/>
        <v>0</v>
      </c>
      <c r="O671" s="94">
        <f t="shared" si="215"/>
        <v>0</v>
      </c>
      <c r="P671" s="178"/>
    </row>
    <row r="672" spans="2:16" ht="15" customHeight="1" outlineLevel="1" x14ac:dyDescent="0.2">
      <c r="B672" s="178"/>
      <c r="C672" s="107"/>
      <c r="D672" s="178"/>
      <c r="E672" s="178"/>
      <c r="F672" s="178"/>
      <c r="G672" s="178"/>
      <c r="H672" s="95" t="s">
        <v>4</v>
      </c>
      <c r="I672" s="54"/>
      <c r="J672" s="87"/>
      <c r="K672" s="87">
        <v>0</v>
      </c>
      <c r="L672" s="87">
        <v>0</v>
      </c>
      <c r="M672" s="87">
        <v>0</v>
      </c>
      <c r="N672" s="87">
        <v>0</v>
      </c>
      <c r="O672" s="87">
        <v>0</v>
      </c>
      <c r="P672" s="178"/>
    </row>
    <row r="673" spans="2:16" ht="15" customHeight="1" outlineLevel="1" x14ac:dyDescent="0.2">
      <c r="B673" s="178"/>
      <c r="C673" s="107"/>
      <c r="D673" s="178"/>
      <c r="E673" s="178"/>
      <c r="F673" s="178"/>
      <c r="G673" s="178"/>
      <c r="H673" s="95" t="s">
        <v>6</v>
      </c>
      <c r="I673" s="54">
        <f>SUM(J673:O673)</f>
        <v>7</v>
      </c>
      <c r="J673" s="87"/>
      <c r="K673" s="87"/>
      <c r="L673" s="94">
        <v>7</v>
      </c>
      <c r="M673" s="94"/>
      <c r="N673" s="96"/>
      <c r="O673" s="96">
        <v>0</v>
      </c>
      <c r="P673" s="178"/>
    </row>
    <row r="674" spans="2:16" ht="15" customHeight="1" outlineLevel="1" x14ac:dyDescent="0.2">
      <c r="B674" s="178"/>
      <c r="C674" s="107"/>
      <c r="D674" s="178"/>
      <c r="E674" s="178"/>
      <c r="F674" s="178"/>
      <c r="G674" s="178"/>
      <c r="H674" s="95" t="s">
        <v>5</v>
      </c>
      <c r="I674" s="74"/>
      <c r="J674" s="87"/>
      <c r="K674" s="87"/>
      <c r="L674" s="87"/>
      <c r="M674" s="87"/>
      <c r="N674" s="87"/>
      <c r="O674" s="87"/>
      <c r="P674" s="178"/>
    </row>
    <row r="675" spans="2:16" ht="42.75" outlineLevel="1" x14ac:dyDescent="0.2">
      <c r="B675" s="178" t="s">
        <v>1977</v>
      </c>
      <c r="C675" s="107"/>
      <c r="D675" s="178" t="s">
        <v>1212</v>
      </c>
      <c r="E675" s="178" t="s">
        <v>61</v>
      </c>
      <c r="F675" s="178"/>
      <c r="G675" s="178" t="s">
        <v>1213</v>
      </c>
      <c r="H675" s="95" t="s">
        <v>3</v>
      </c>
      <c r="I675" s="54">
        <f>SUM(J675:O675)</f>
        <v>10</v>
      </c>
      <c r="J675" s="94">
        <f t="shared" ref="J675:O675" si="216">SUM(J676:J678)</f>
        <v>0</v>
      </c>
      <c r="K675" s="94">
        <f t="shared" si="216"/>
        <v>0</v>
      </c>
      <c r="L675" s="94">
        <f t="shared" si="216"/>
        <v>10</v>
      </c>
      <c r="M675" s="94"/>
      <c r="N675" s="94"/>
      <c r="O675" s="94">
        <f t="shared" si="216"/>
        <v>0</v>
      </c>
      <c r="P675" s="178"/>
    </row>
    <row r="676" spans="2:16" ht="15" customHeight="1" outlineLevel="1" x14ac:dyDescent="0.2">
      <c r="B676" s="178"/>
      <c r="C676" s="107"/>
      <c r="D676" s="178"/>
      <c r="E676" s="178"/>
      <c r="F676" s="178"/>
      <c r="G676" s="178"/>
      <c r="H676" s="95" t="s">
        <v>4</v>
      </c>
      <c r="I676" s="54"/>
      <c r="J676" s="87"/>
      <c r="K676" s="87">
        <v>0</v>
      </c>
      <c r="L676" s="87">
        <v>0</v>
      </c>
      <c r="M676" s="87">
        <v>0</v>
      </c>
      <c r="N676" s="87">
        <v>0</v>
      </c>
      <c r="O676" s="87">
        <v>0</v>
      </c>
      <c r="P676" s="178"/>
    </row>
    <row r="677" spans="2:16" ht="15" customHeight="1" outlineLevel="1" x14ac:dyDescent="0.2">
      <c r="B677" s="178"/>
      <c r="C677" s="107"/>
      <c r="D677" s="178"/>
      <c r="E677" s="178"/>
      <c r="F677" s="178"/>
      <c r="G677" s="178"/>
      <c r="H677" s="95" t="s">
        <v>6</v>
      </c>
      <c r="I677" s="54">
        <f>SUM(J677:O677)</f>
        <v>10</v>
      </c>
      <c r="J677" s="87"/>
      <c r="K677" s="87"/>
      <c r="L677" s="94">
        <v>10</v>
      </c>
      <c r="M677" s="94">
        <v>0</v>
      </c>
      <c r="N677" s="96"/>
      <c r="O677" s="96">
        <v>0</v>
      </c>
      <c r="P677" s="178"/>
    </row>
    <row r="678" spans="2:16" ht="15" customHeight="1" outlineLevel="1" x14ac:dyDescent="0.2">
      <c r="B678" s="178"/>
      <c r="C678" s="107"/>
      <c r="D678" s="178"/>
      <c r="E678" s="178"/>
      <c r="F678" s="178"/>
      <c r="G678" s="178"/>
      <c r="H678" s="95" t="s">
        <v>5</v>
      </c>
      <c r="I678" s="74"/>
      <c r="J678" s="87"/>
      <c r="K678" s="87"/>
      <c r="L678" s="87"/>
      <c r="M678" s="87"/>
      <c r="N678" s="87"/>
      <c r="O678" s="87"/>
      <c r="P678" s="178"/>
    </row>
    <row r="679" spans="2:16" ht="42.75" outlineLevel="1" x14ac:dyDescent="0.2">
      <c r="B679" s="117" t="s">
        <v>1978</v>
      </c>
      <c r="C679" s="107"/>
      <c r="D679" s="178" t="s">
        <v>1212</v>
      </c>
      <c r="E679" s="178" t="s">
        <v>286</v>
      </c>
      <c r="F679" s="178"/>
      <c r="G679" s="178" t="s">
        <v>1213</v>
      </c>
      <c r="H679" s="95" t="s">
        <v>3</v>
      </c>
      <c r="I679" s="54">
        <f>SUM(J679:O679)</f>
        <v>20</v>
      </c>
      <c r="J679" s="94">
        <f t="shared" ref="J679:L679" si="217">SUM(J680:J682)</f>
        <v>0</v>
      </c>
      <c r="K679" s="94">
        <f t="shared" si="217"/>
        <v>0</v>
      </c>
      <c r="L679" s="94">
        <f t="shared" si="217"/>
        <v>0</v>
      </c>
      <c r="M679" s="94">
        <v>10</v>
      </c>
      <c r="N679" s="94">
        <v>10</v>
      </c>
      <c r="O679" s="94"/>
      <c r="P679" s="178"/>
    </row>
    <row r="680" spans="2:16" ht="15" customHeight="1" outlineLevel="1" x14ac:dyDescent="0.2">
      <c r="B680" s="118"/>
      <c r="C680" s="107"/>
      <c r="D680" s="178"/>
      <c r="E680" s="178"/>
      <c r="F680" s="178"/>
      <c r="G680" s="178"/>
      <c r="H680" s="95" t="s">
        <v>4</v>
      </c>
      <c r="I680" s="54">
        <f>SUM(J680:O680)</f>
        <v>0</v>
      </c>
      <c r="J680" s="87"/>
      <c r="K680" s="87">
        <v>0</v>
      </c>
      <c r="L680" s="87">
        <v>0</v>
      </c>
      <c r="M680" s="87">
        <v>0</v>
      </c>
      <c r="N680" s="87">
        <v>0</v>
      </c>
      <c r="O680" s="87">
        <v>0</v>
      </c>
      <c r="P680" s="178"/>
    </row>
    <row r="681" spans="2:16" ht="15" customHeight="1" outlineLevel="1" x14ac:dyDescent="0.2">
      <c r="B681" s="118"/>
      <c r="C681" s="107"/>
      <c r="D681" s="178"/>
      <c r="E681" s="178"/>
      <c r="F681" s="178"/>
      <c r="G681" s="178"/>
      <c r="H681" s="95" t="s">
        <v>6</v>
      </c>
      <c r="I681" s="54">
        <f>SUM(J681:O681)</f>
        <v>20</v>
      </c>
      <c r="J681" s="87"/>
      <c r="K681" s="87"/>
      <c r="L681" s="94"/>
      <c r="M681" s="94">
        <v>10</v>
      </c>
      <c r="N681" s="96">
        <v>10</v>
      </c>
      <c r="O681" s="96"/>
      <c r="P681" s="178"/>
    </row>
    <row r="682" spans="2:16" ht="15" customHeight="1" outlineLevel="1" x14ac:dyDescent="0.2">
      <c r="B682" s="119"/>
      <c r="C682" s="107"/>
      <c r="D682" s="178"/>
      <c r="E682" s="178"/>
      <c r="F682" s="178"/>
      <c r="G682" s="178"/>
      <c r="H682" s="95" t="s">
        <v>5</v>
      </c>
      <c r="I682" s="74"/>
      <c r="J682" s="87"/>
      <c r="K682" s="87"/>
      <c r="L682" s="87"/>
      <c r="M682" s="87"/>
      <c r="N682" s="87"/>
      <c r="O682" s="87"/>
      <c r="P682" s="178"/>
    </row>
    <row r="683" spans="2:16" ht="42.75" outlineLevel="1" x14ac:dyDescent="0.2">
      <c r="B683" s="178" t="s">
        <v>1979</v>
      </c>
      <c r="C683" s="107"/>
      <c r="D683" s="178" t="s">
        <v>1212</v>
      </c>
      <c r="E683" s="178">
        <v>2022</v>
      </c>
      <c r="F683" s="178"/>
      <c r="G683" s="178" t="s">
        <v>1213</v>
      </c>
      <c r="H683" s="95" t="s">
        <v>3</v>
      </c>
      <c r="I683" s="54">
        <f>SUM(J683:O683)</f>
        <v>6</v>
      </c>
      <c r="J683" s="94">
        <f t="shared" ref="J683:O683" si="218">SUM(J684:J686)</f>
        <v>0</v>
      </c>
      <c r="K683" s="94">
        <f t="shared" si="218"/>
        <v>0</v>
      </c>
      <c r="L683" s="94">
        <f t="shared" si="218"/>
        <v>6</v>
      </c>
      <c r="M683" s="94"/>
      <c r="N683" s="94"/>
      <c r="O683" s="94">
        <f t="shared" si="218"/>
        <v>0</v>
      </c>
      <c r="P683" s="178"/>
    </row>
    <row r="684" spans="2:16" ht="15" customHeight="1" outlineLevel="1" x14ac:dyDescent="0.2">
      <c r="B684" s="178"/>
      <c r="C684" s="107"/>
      <c r="D684" s="178"/>
      <c r="E684" s="178"/>
      <c r="F684" s="178"/>
      <c r="G684" s="178"/>
      <c r="H684" s="95" t="s">
        <v>4</v>
      </c>
      <c r="I684" s="54"/>
      <c r="J684" s="87"/>
      <c r="K684" s="87">
        <v>0</v>
      </c>
      <c r="L684" s="87">
        <v>0</v>
      </c>
      <c r="M684" s="87">
        <v>0</v>
      </c>
      <c r="N684" s="87">
        <v>0</v>
      </c>
      <c r="O684" s="87">
        <v>0</v>
      </c>
      <c r="P684" s="178"/>
    </row>
    <row r="685" spans="2:16" ht="15" customHeight="1" outlineLevel="1" x14ac:dyDescent="0.2">
      <c r="B685" s="178"/>
      <c r="C685" s="107"/>
      <c r="D685" s="178"/>
      <c r="E685" s="178"/>
      <c r="F685" s="178"/>
      <c r="G685" s="178"/>
      <c r="H685" s="95" t="s">
        <v>6</v>
      </c>
      <c r="I685" s="54">
        <f>SUM(J685:O685)</f>
        <v>6</v>
      </c>
      <c r="J685" s="87"/>
      <c r="K685" s="87"/>
      <c r="L685" s="94">
        <v>6</v>
      </c>
      <c r="M685" s="94"/>
      <c r="N685" s="96"/>
      <c r="O685" s="96">
        <v>0</v>
      </c>
      <c r="P685" s="178"/>
    </row>
    <row r="686" spans="2:16" ht="15" customHeight="1" outlineLevel="1" x14ac:dyDescent="0.2">
      <c r="B686" s="178"/>
      <c r="C686" s="107"/>
      <c r="D686" s="178"/>
      <c r="E686" s="178"/>
      <c r="F686" s="178"/>
      <c r="G686" s="178"/>
      <c r="H686" s="95" t="s">
        <v>5</v>
      </c>
      <c r="I686" s="74"/>
      <c r="J686" s="87"/>
      <c r="K686" s="87"/>
      <c r="L686" s="87"/>
      <c r="M686" s="87"/>
      <c r="N686" s="87"/>
      <c r="O686" s="87"/>
      <c r="P686" s="178"/>
    </row>
    <row r="687" spans="2:16" ht="42.75" outlineLevel="1" x14ac:dyDescent="0.2">
      <c r="B687" s="178" t="s">
        <v>1980</v>
      </c>
      <c r="C687" s="107"/>
      <c r="D687" s="178" t="s">
        <v>1212</v>
      </c>
      <c r="E687" s="178" t="s">
        <v>1981</v>
      </c>
      <c r="F687" s="178"/>
      <c r="G687" s="178" t="s">
        <v>1982</v>
      </c>
      <c r="H687" s="95" t="s">
        <v>3</v>
      </c>
      <c r="I687" s="54">
        <f>SUM(J687:O687)</f>
        <v>27.4</v>
      </c>
      <c r="J687" s="94">
        <f t="shared" ref="J687:O687" si="219">SUM(J688:J690)</f>
        <v>0</v>
      </c>
      <c r="K687" s="94">
        <f t="shared" si="219"/>
        <v>2.4</v>
      </c>
      <c r="L687" s="94">
        <f t="shared" si="219"/>
        <v>0</v>
      </c>
      <c r="M687" s="94">
        <v>20</v>
      </c>
      <c r="N687" s="94">
        <v>5</v>
      </c>
      <c r="O687" s="94">
        <f t="shared" si="219"/>
        <v>0</v>
      </c>
      <c r="P687" s="178"/>
    </row>
    <row r="688" spans="2:16" ht="15" customHeight="1" outlineLevel="1" x14ac:dyDescent="0.2">
      <c r="B688" s="178"/>
      <c r="C688" s="107"/>
      <c r="D688" s="178"/>
      <c r="E688" s="178"/>
      <c r="F688" s="178"/>
      <c r="G688" s="178"/>
      <c r="H688" s="95" t="s">
        <v>4</v>
      </c>
      <c r="I688" s="54"/>
      <c r="J688" s="87"/>
      <c r="K688" s="87">
        <v>0</v>
      </c>
      <c r="L688" s="87">
        <v>0</v>
      </c>
      <c r="M688" s="87">
        <v>0</v>
      </c>
      <c r="N688" s="87"/>
      <c r="O688" s="87">
        <v>0</v>
      </c>
      <c r="P688" s="178"/>
    </row>
    <row r="689" spans="2:16" ht="15" customHeight="1" outlineLevel="1" x14ac:dyDescent="0.2">
      <c r="B689" s="178"/>
      <c r="C689" s="107"/>
      <c r="D689" s="178"/>
      <c r="E689" s="178"/>
      <c r="F689" s="178"/>
      <c r="G689" s="178"/>
      <c r="H689" s="95" t="s">
        <v>6</v>
      </c>
      <c r="I689" s="54">
        <f>SUM(J689:O689)</f>
        <v>27.4</v>
      </c>
      <c r="J689" s="87"/>
      <c r="K689" s="87">
        <v>2.4</v>
      </c>
      <c r="L689" s="94"/>
      <c r="M689" s="94">
        <v>20</v>
      </c>
      <c r="N689" s="96">
        <v>5</v>
      </c>
      <c r="O689" s="96">
        <v>0</v>
      </c>
      <c r="P689" s="178"/>
    </row>
    <row r="690" spans="2:16" ht="15" customHeight="1" outlineLevel="1" x14ac:dyDescent="0.2">
      <c r="B690" s="178"/>
      <c r="C690" s="107"/>
      <c r="D690" s="178"/>
      <c r="E690" s="178"/>
      <c r="F690" s="178"/>
      <c r="G690" s="178"/>
      <c r="H690" s="95" t="s">
        <v>5</v>
      </c>
      <c r="I690" s="74"/>
      <c r="J690" s="87"/>
      <c r="K690" s="87"/>
      <c r="L690" s="87"/>
      <c r="M690" s="87"/>
      <c r="N690" s="87"/>
      <c r="O690" s="87"/>
      <c r="P690" s="178"/>
    </row>
    <row r="691" spans="2:16" ht="42.75" outlineLevel="1" x14ac:dyDescent="0.2">
      <c r="B691" s="178" t="s">
        <v>1983</v>
      </c>
      <c r="C691" s="107"/>
      <c r="D691" s="178" t="s">
        <v>1212</v>
      </c>
      <c r="E691" s="178" t="s">
        <v>34</v>
      </c>
      <c r="F691" s="178"/>
      <c r="G691" s="178" t="s">
        <v>1984</v>
      </c>
      <c r="H691" s="95" t="s">
        <v>3</v>
      </c>
      <c r="I691" s="54">
        <f>SUM(J691:O691)</f>
        <v>19.200000000000003</v>
      </c>
      <c r="J691" s="94">
        <f t="shared" ref="J691:O691" si="220">SUM(J692:J694)</f>
        <v>0</v>
      </c>
      <c r="K691" s="94">
        <f t="shared" si="220"/>
        <v>1</v>
      </c>
      <c r="L691" s="94">
        <f t="shared" si="220"/>
        <v>4.9000000000000004</v>
      </c>
      <c r="M691" s="94">
        <f t="shared" si="220"/>
        <v>13.3</v>
      </c>
      <c r="N691" s="94">
        <f t="shared" si="220"/>
        <v>0</v>
      </c>
      <c r="O691" s="94">
        <f t="shared" si="220"/>
        <v>0</v>
      </c>
      <c r="P691" s="178"/>
    </row>
    <row r="692" spans="2:16" ht="15" customHeight="1" outlineLevel="1" x14ac:dyDescent="0.2">
      <c r="B692" s="178"/>
      <c r="C692" s="107"/>
      <c r="D692" s="178"/>
      <c r="E692" s="178"/>
      <c r="F692" s="178"/>
      <c r="G692" s="178"/>
      <c r="H692" s="95" t="s">
        <v>4</v>
      </c>
      <c r="I692" s="54">
        <f>SUM(J692:O692)</f>
        <v>0</v>
      </c>
      <c r="J692" s="87"/>
      <c r="K692" s="87">
        <v>0</v>
      </c>
      <c r="L692" s="87">
        <v>0</v>
      </c>
      <c r="M692" s="87">
        <v>0</v>
      </c>
      <c r="N692" s="87">
        <v>0</v>
      </c>
      <c r="O692" s="87">
        <v>0</v>
      </c>
      <c r="P692" s="178"/>
    </row>
    <row r="693" spans="2:16" ht="15" customHeight="1" outlineLevel="1" x14ac:dyDescent="0.2">
      <c r="B693" s="178"/>
      <c r="C693" s="107"/>
      <c r="D693" s="178"/>
      <c r="E693" s="178"/>
      <c r="F693" s="178"/>
      <c r="G693" s="178"/>
      <c r="H693" s="95" t="s">
        <v>6</v>
      </c>
      <c r="I693" s="54">
        <f>SUM(J693:O693)</f>
        <v>19.200000000000003</v>
      </c>
      <c r="J693" s="87"/>
      <c r="K693" s="87">
        <v>1</v>
      </c>
      <c r="L693" s="94">
        <v>4.9000000000000004</v>
      </c>
      <c r="M693" s="94">
        <v>13.3</v>
      </c>
      <c r="N693" s="96"/>
      <c r="O693" s="96">
        <v>0</v>
      </c>
      <c r="P693" s="178"/>
    </row>
    <row r="694" spans="2:16" ht="15" customHeight="1" outlineLevel="1" x14ac:dyDescent="0.2">
      <c r="B694" s="178"/>
      <c r="C694" s="107"/>
      <c r="D694" s="178"/>
      <c r="E694" s="178"/>
      <c r="F694" s="178"/>
      <c r="G694" s="178"/>
      <c r="H694" s="95" t="s">
        <v>5</v>
      </c>
      <c r="I694" s="74"/>
      <c r="J694" s="87"/>
      <c r="K694" s="87"/>
      <c r="L694" s="87"/>
      <c r="M694" s="87"/>
      <c r="N694" s="87"/>
      <c r="O694" s="87"/>
      <c r="P694" s="178"/>
    </row>
    <row r="695" spans="2:16" ht="42.75" outlineLevel="1" x14ac:dyDescent="0.2">
      <c r="B695" s="178" t="s">
        <v>1985</v>
      </c>
      <c r="C695" s="107"/>
      <c r="D695" s="178" t="s">
        <v>1212</v>
      </c>
      <c r="E695" s="178" t="s">
        <v>1986</v>
      </c>
      <c r="F695" s="178"/>
      <c r="G695" s="178" t="s">
        <v>1984</v>
      </c>
      <c r="H695" s="95" t="s">
        <v>3</v>
      </c>
      <c r="I695" s="54">
        <f>SUM(J695:O695)</f>
        <v>31</v>
      </c>
      <c r="J695" s="94">
        <f t="shared" ref="J695:O695" si="221">SUM(J696:J698)</f>
        <v>0</v>
      </c>
      <c r="K695" s="94">
        <f t="shared" si="221"/>
        <v>1</v>
      </c>
      <c r="L695" s="94">
        <f t="shared" si="221"/>
        <v>0</v>
      </c>
      <c r="M695" s="94">
        <f t="shared" si="221"/>
        <v>30</v>
      </c>
      <c r="N695" s="94">
        <f t="shared" si="221"/>
        <v>0</v>
      </c>
      <c r="O695" s="94">
        <f t="shared" si="221"/>
        <v>0</v>
      </c>
      <c r="P695" s="178"/>
    </row>
    <row r="696" spans="2:16" ht="15" customHeight="1" outlineLevel="1" x14ac:dyDescent="0.2">
      <c r="B696" s="178"/>
      <c r="C696" s="107"/>
      <c r="D696" s="178"/>
      <c r="E696" s="178"/>
      <c r="F696" s="178"/>
      <c r="G696" s="178"/>
      <c r="H696" s="95" t="s">
        <v>4</v>
      </c>
      <c r="I696" s="54">
        <f>SUM(J696:O696)</f>
        <v>0</v>
      </c>
      <c r="J696" s="87"/>
      <c r="K696" s="87">
        <v>0</v>
      </c>
      <c r="L696" s="87">
        <v>0</v>
      </c>
      <c r="M696" s="87">
        <v>0</v>
      </c>
      <c r="N696" s="87">
        <v>0</v>
      </c>
      <c r="O696" s="87">
        <v>0</v>
      </c>
      <c r="P696" s="178"/>
    </row>
    <row r="697" spans="2:16" ht="15" customHeight="1" outlineLevel="1" x14ac:dyDescent="0.2">
      <c r="B697" s="178"/>
      <c r="C697" s="107"/>
      <c r="D697" s="178"/>
      <c r="E697" s="178"/>
      <c r="F697" s="178"/>
      <c r="G697" s="178"/>
      <c r="H697" s="95" t="s">
        <v>6</v>
      </c>
      <c r="I697" s="54">
        <f>SUM(J697:O697)</f>
        <v>31</v>
      </c>
      <c r="J697" s="87"/>
      <c r="K697" s="87">
        <v>1</v>
      </c>
      <c r="L697" s="94"/>
      <c r="M697" s="94">
        <v>30</v>
      </c>
      <c r="N697" s="96"/>
      <c r="O697" s="96">
        <v>0</v>
      </c>
      <c r="P697" s="178"/>
    </row>
    <row r="698" spans="2:16" ht="15" customHeight="1" outlineLevel="1" x14ac:dyDescent="0.2">
      <c r="B698" s="178"/>
      <c r="C698" s="107"/>
      <c r="D698" s="178"/>
      <c r="E698" s="178"/>
      <c r="F698" s="178"/>
      <c r="G698" s="178"/>
      <c r="H698" s="95" t="s">
        <v>5</v>
      </c>
      <c r="I698" s="74"/>
      <c r="J698" s="87"/>
      <c r="K698" s="87"/>
      <c r="L698" s="87"/>
      <c r="M698" s="87"/>
      <c r="N698" s="87"/>
      <c r="O698" s="87"/>
      <c r="P698" s="178"/>
    </row>
    <row r="699" spans="2:16" ht="42.75" outlineLevel="1" x14ac:dyDescent="0.2">
      <c r="B699" s="178" t="s">
        <v>1987</v>
      </c>
      <c r="C699" s="107"/>
      <c r="D699" s="178" t="s">
        <v>1212</v>
      </c>
      <c r="E699" s="178" t="s">
        <v>34</v>
      </c>
      <c r="F699" s="178"/>
      <c r="G699" s="178" t="s">
        <v>1984</v>
      </c>
      <c r="H699" s="95" t="s">
        <v>3</v>
      </c>
      <c r="I699" s="54">
        <f>SUM(J699:O699)</f>
        <v>25</v>
      </c>
      <c r="J699" s="94">
        <f t="shared" ref="J699:O699" si="222">SUM(J700:J702)</f>
        <v>0</v>
      </c>
      <c r="K699" s="94">
        <f t="shared" si="222"/>
        <v>1</v>
      </c>
      <c r="L699" s="94">
        <f t="shared" si="222"/>
        <v>19</v>
      </c>
      <c r="M699" s="94">
        <f t="shared" si="222"/>
        <v>5</v>
      </c>
      <c r="N699" s="94"/>
      <c r="O699" s="94">
        <f t="shared" si="222"/>
        <v>0</v>
      </c>
      <c r="P699" s="178"/>
    </row>
    <row r="700" spans="2:16" ht="15" customHeight="1" outlineLevel="1" x14ac:dyDescent="0.2">
      <c r="B700" s="178"/>
      <c r="C700" s="107"/>
      <c r="D700" s="178"/>
      <c r="E700" s="178"/>
      <c r="F700" s="178"/>
      <c r="G700" s="178"/>
      <c r="H700" s="95" t="s">
        <v>4</v>
      </c>
      <c r="I700" s="54"/>
      <c r="J700" s="87"/>
      <c r="K700" s="87">
        <v>0</v>
      </c>
      <c r="L700" s="87">
        <v>0</v>
      </c>
      <c r="M700" s="87">
        <v>0</v>
      </c>
      <c r="N700" s="87">
        <v>0</v>
      </c>
      <c r="O700" s="87">
        <v>0</v>
      </c>
      <c r="P700" s="178"/>
    </row>
    <row r="701" spans="2:16" ht="15" customHeight="1" outlineLevel="1" x14ac:dyDescent="0.2">
      <c r="B701" s="178"/>
      <c r="C701" s="107"/>
      <c r="D701" s="178"/>
      <c r="E701" s="178"/>
      <c r="F701" s="178"/>
      <c r="G701" s="178"/>
      <c r="H701" s="95" t="s">
        <v>6</v>
      </c>
      <c r="I701" s="54">
        <f>SUM(J701:O701)</f>
        <v>25</v>
      </c>
      <c r="J701" s="87"/>
      <c r="K701" s="87">
        <v>1</v>
      </c>
      <c r="L701" s="94">
        <v>19</v>
      </c>
      <c r="M701" s="94">
        <v>5</v>
      </c>
      <c r="N701" s="96"/>
      <c r="O701" s="96">
        <v>0</v>
      </c>
      <c r="P701" s="178"/>
    </row>
    <row r="702" spans="2:16" ht="15" customHeight="1" outlineLevel="1" x14ac:dyDescent="0.2">
      <c r="B702" s="178"/>
      <c r="C702" s="107"/>
      <c r="D702" s="178"/>
      <c r="E702" s="178"/>
      <c r="F702" s="178"/>
      <c r="G702" s="178"/>
      <c r="H702" s="95" t="s">
        <v>5</v>
      </c>
      <c r="I702" s="74"/>
      <c r="J702" s="87"/>
      <c r="K702" s="87"/>
      <c r="L702" s="87"/>
      <c r="M702" s="87"/>
      <c r="N702" s="87"/>
      <c r="O702" s="87"/>
      <c r="P702" s="178"/>
    </row>
    <row r="703" spans="2:16" ht="42.75" outlineLevel="1" x14ac:dyDescent="0.2">
      <c r="B703" s="178" t="s">
        <v>1988</v>
      </c>
      <c r="C703" s="107"/>
      <c r="D703" s="178" t="s">
        <v>1212</v>
      </c>
      <c r="E703" s="178" t="s">
        <v>1989</v>
      </c>
      <c r="F703" s="178"/>
      <c r="G703" s="178" t="s">
        <v>1990</v>
      </c>
      <c r="H703" s="95" t="s">
        <v>3</v>
      </c>
      <c r="I703" s="54">
        <f>SUM(J703:O703)</f>
        <v>30</v>
      </c>
      <c r="J703" s="94">
        <f t="shared" ref="J703:K703" si="223">SUM(J704:J706)</f>
        <v>0</v>
      </c>
      <c r="K703" s="94">
        <f t="shared" si="223"/>
        <v>0</v>
      </c>
      <c r="L703" s="94">
        <v>10</v>
      </c>
      <c r="M703" s="94">
        <v>10</v>
      </c>
      <c r="N703" s="94">
        <v>10</v>
      </c>
      <c r="O703" s="94"/>
      <c r="P703" s="178"/>
    </row>
    <row r="704" spans="2:16" ht="15" customHeight="1" outlineLevel="1" x14ac:dyDescent="0.2">
      <c r="B704" s="178"/>
      <c r="C704" s="107"/>
      <c r="D704" s="178"/>
      <c r="E704" s="178"/>
      <c r="F704" s="178"/>
      <c r="G704" s="178"/>
      <c r="H704" s="95" t="s">
        <v>4</v>
      </c>
      <c r="I704" s="54"/>
      <c r="J704" s="87"/>
      <c r="K704" s="87">
        <v>0</v>
      </c>
      <c r="L704" s="87">
        <v>0</v>
      </c>
      <c r="M704" s="87">
        <v>0</v>
      </c>
      <c r="N704" s="87">
        <v>0</v>
      </c>
      <c r="O704" s="87">
        <v>0</v>
      </c>
      <c r="P704" s="178"/>
    </row>
    <row r="705" spans="2:17" ht="15" customHeight="1" outlineLevel="1" x14ac:dyDescent="0.2">
      <c r="B705" s="178"/>
      <c r="C705" s="107"/>
      <c r="D705" s="178"/>
      <c r="E705" s="178"/>
      <c r="F705" s="178"/>
      <c r="G705" s="178"/>
      <c r="H705" s="95" t="s">
        <v>6</v>
      </c>
      <c r="I705" s="54">
        <f>SUM(J705:O705)</f>
        <v>30</v>
      </c>
      <c r="J705" s="87"/>
      <c r="K705" s="87"/>
      <c r="L705" s="94">
        <v>10</v>
      </c>
      <c r="M705" s="94">
        <v>10</v>
      </c>
      <c r="N705" s="96">
        <v>10</v>
      </c>
      <c r="O705" s="96">
        <v>0</v>
      </c>
      <c r="P705" s="178"/>
    </row>
    <row r="706" spans="2:17" ht="15" customHeight="1" outlineLevel="1" x14ac:dyDescent="0.2">
      <c r="B706" s="178"/>
      <c r="C706" s="107"/>
      <c r="D706" s="178"/>
      <c r="E706" s="178"/>
      <c r="F706" s="178"/>
      <c r="G706" s="178"/>
      <c r="H706" s="95" t="s">
        <v>5</v>
      </c>
      <c r="I706" s="74"/>
      <c r="J706" s="87"/>
      <c r="K706" s="87"/>
      <c r="L706" s="87"/>
      <c r="M706" s="87"/>
      <c r="N706" s="87"/>
      <c r="O706" s="87"/>
      <c r="P706" s="178"/>
    </row>
    <row r="707" spans="2:17" ht="42.75" outlineLevel="1" x14ac:dyDescent="0.2">
      <c r="B707" s="178" t="s">
        <v>1991</v>
      </c>
      <c r="C707" s="107"/>
      <c r="D707" s="178" t="s">
        <v>1212</v>
      </c>
      <c r="E707" s="178" t="s">
        <v>1992</v>
      </c>
      <c r="F707" s="178"/>
      <c r="G707" s="178" t="s">
        <v>1993</v>
      </c>
      <c r="H707" s="95" t="s">
        <v>3</v>
      </c>
      <c r="I707" s="54">
        <f>SUM(J707:O707)</f>
        <v>52.6</v>
      </c>
      <c r="J707" s="94">
        <f t="shared" ref="J707" si="224">SUM(J708:J710)</f>
        <v>0</v>
      </c>
      <c r="K707" s="94">
        <v>2.6</v>
      </c>
      <c r="L707" s="94">
        <v>30</v>
      </c>
      <c r="M707" s="94">
        <v>20</v>
      </c>
      <c r="N707" s="94">
        <v>0</v>
      </c>
      <c r="O707" s="94">
        <v>0</v>
      </c>
      <c r="P707" s="178"/>
    </row>
    <row r="708" spans="2:17" ht="15" customHeight="1" outlineLevel="1" x14ac:dyDescent="0.2">
      <c r="B708" s="178"/>
      <c r="C708" s="107"/>
      <c r="D708" s="178"/>
      <c r="E708" s="178"/>
      <c r="F708" s="178"/>
      <c r="G708" s="178"/>
      <c r="H708" s="95" t="s">
        <v>4</v>
      </c>
      <c r="I708" s="54">
        <f>SUM(J708:O708)</f>
        <v>0</v>
      </c>
      <c r="J708" s="87"/>
      <c r="K708" s="87">
        <v>0</v>
      </c>
      <c r="L708" s="87">
        <v>0</v>
      </c>
      <c r="M708" s="87">
        <v>0</v>
      </c>
      <c r="N708" s="87">
        <v>0</v>
      </c>
      <c r="O708" s="87">
        <v>0</v>
      </c>
      <c r="P708" s="178"/>
    </row>
    <row r="709" spans="2:17" ht="15" customHeight="1" outlineLevel="1" x14ac:dyDescent="0.2">
      <c r="B709" s="178"/>
      <c r="C709" s="107"/>
      <c r="D709" s="178"/>
      <c r="E709" s="178"/>
      <c r="F709" s="178"/>
      <c r="G709" s="178"/>
      <c r="H709" s="95" t="s">
        <v>6</v>
      </c>
      <c r="I709" s="54">
        <f>SUM(J709:O709)</f>
        <v>52.6</v>
      </c>
      <c r="J709" s="87"/>
      <c r="K709" s="87">
        <v>2.6</v>
      </c>
      <c r="L709" s="94">
        <v>30</v>
      </c>
      <c r="M709" s="94">
        <v>20</v>
      </c>
      <c r="N709" s="96">
        <v>0</v>
      </c>
      <c r="O709" s="96">
        <v>0</v>
      </c>
      <c r="P709" s="178"/>
    </row>
    <row r="710" spans="2:17" ht="15" customHeight="1" outlineLevel="1" x14ac:dyDescent="0.2">
      <c r="B710" s="178"/>
      <c r="C710" s="107"/>
      <c r="D710" s="178"/>
      <c r="E710" s="178"/>
      <c r="F710" s="178"/>
      <c r="G710" s="178"/>
      <c r="H710" s="95" t="s">
        <v>5</v>
      </c>
      <c r="I710" s="74"/>
      <c r="J710" s="87"/>
      <c r="K710" s="87"/>
      <c r="L710" s="87"/>
      <c r="M710" s="87"/>
      <c r="N710" s="87"/>
      <c r="O710" s="87">
        <f>+O706+O702+O698+O694+O690+O686+O682+O678+O674+O670</f>
        <v>0</v>
      </c>
      <c r="P710" s="178"/>
    </row>
    <row r="711" spans="2:17" ht="42.75" x14ac:dyDescent="0.2">
      <c r="B711" s="128" t="s">
        <v>76</v>
      </c>
      <c r="C711" s="128" t="s">
        <v>38</v>
      </c>
      <c r="D711" s="128" t="s">
        <v>38</v>
      </c>
      <c r="E711" s="128" t="s">
        <v>38</v>
      </c>
      <c r="F711" s="128" t="s">
        <v>38</v>
      </c>
      <c r="G711" s="128" t="s">
        <v>38</v>
      </c>
      <c r="H711" s="95" t="s">
        <v>3</v>
      </c>
      <c r="I711" s="14">
        <f>SUMIF($H$627:$H$710,"Объем*",I$627:I$710)</f>
        <v>2633.6899999999996</v>
      </c>
      <c r="J711" s="14">
        <f t="shared" ref="J711:O711" si="225">SUMIF($H$627:$H$710,"Объем*",J$627:J$710)</f>
        <v>10.4</v>
      </c>
      <c r="K711" s="14">
        <f t="shared" si="225"/>
        <v>169.5</v>
      </c>
      <c r="L711" s="14">
        <f t="shared" si="225"/>
        <v>423.25999999999993</v>
      </c>
      <c r="M711" s="14">
        <f t="shared" si="225"/>
        <v>730.03</v>
      </c>
      <c r="N711" s="14">
        <f t="shared" si="225"/>
        <v>890</v>
      </c>
      <c r="O711" s="14">
        <f t="shared" si="225"/>
        <v>410.5</v>
      </c>
      <c r="P711" s="128"/>
      <c r="Q711" s="15"/>
    </row>
    <row r="712" spans="2:17" ht="15.75" x14ac:dyDescent="0.2">
      <c r="B712" s="129"/>
      <c r="C712" s="129"/>
      <c r="D712" s="129"/>
      <c r="E712" s="129"/>
      <c r="F712" s="129"/>
      <c r="G712" s="129"/>
      <c r="H712" s="95" t="s">
        <v>4</v>
      </c>
      <c r="I712" s="14">
        <f>SUMIF($H$627:$H$710,"фед*",I$627:I$710)</f>
        <v>1096</v>
      </c>
      <c r="J712" s="14">
        <f t="shared" ref="J712:O712" si="226">SUMIF($H$627:$H$710,"фед*",J$627:J$710)</f>
        <v>0</v>
      </c>
      <c r="K712" s="14">
        <f t="shared" si="226"/>
        <v>10</v>
      </c>
      <c r="L712" s="14">
        <f t="shared" si="226"/>
        <v>125.2</v>
      </c>
      <c r="M712" s="14">
        <f t="shared" si="226"/>
        <v>251.2</v>
      </c>
      <c r="N712" s="14">
        <f t="shared" si="226"/>
        <v>459.6</v>
      </c>
      <c r="O712" s="14">
        <f t="shared" si="226"/>
        <v>250</v>
      </c>
      <c r="P712" s="129"/>
      <c r="Q712" s="15"/>
    </row>
    <row r="713" spans="2:17" ht="15.75" x14ac:dyDescent="0.2">
      <c r="B713" s="129"/>
      <c r="C713" s="129"/>
      <c r="D713" s="129"/>
      <c r="E713" s="129"/>
      <c r="F713" s="129"/>
      <c r="G713" s="129"/>
      <c r="H713" s="95" t="s">
        <v>6</v>
      </c>
      <c r="I713" s="14">
        <f>SUMIF($H$627:$H$710,"конс*",I$627:I$710)</f>
        <v>1537.69</v>
      </c>
      <c r="J713" s="14">
        <f t="shared" ref="J713:O713" si="227">SUMIF($H$627:$H$710,"конс*",J$627:J$710)</f>
        <v>10.4</v>
      </c>
      <c r="K713" s="14">
        <f t="shared" si="227"/>
        <v>159.5</v>
      </c>
      <c r="L713" s="14">
        <f t="shared" si="227"/>
        <v>298.06</v>
      </c>
      <c r="M713" s="14">
        <f t="shared" si="227"/>
        <v>478.83</v>
      </c>
      <c r="N713" s="14">
        <f t="shared" si="227"/>
        <v>430.4</v>
      </c>
      <c r="O713" s="14">
        <f t="shared" si="227"/>
        <v>160.5</v>
      </c>
      <c r="P713" s="129"/>
      <c r="Q713" s="15"/>
    </row>
    <row r="714" spans="2:17" ht="15.75" x14ac:dyDescent="0.2">
      <c r="B714" s="130"/>
      <c r="C714" s="130"/>
      <c r="D714" s="130"/>
      <c r="E714" s="130"/>
      <c r="F714" s="130"/>
      <c r="G714" s="130"/>
      <c r="H714" s="95" t="s">
        <v>5</v>
      </c>
      <c r="I714" s="14">
        <f>SUMIF($H$627:$H$710,"вне*",I$627:I$710)</f>
        <v>0</v>
      </c>
      <c r="J714" s="14">
        <f t="shared" ref="J714:O714" si="228">SUMIF($H$627:$H$710,"вне*",J$627:J$710)</f>
        <v>0</v>
      </c>
      <c r="K714" s="14">
        <f t="shared" si="228"/>
        <v>0</v>
      </c>
      <c r="L714" s="14">
        <f t="shared" si="228"/>
        <v>0</v>
      </c>
      <c r="M714" s="14">
        <f t="shared" si="228"/>
        <v>0</v>
      </c>
      <c r="N714" s="14">
        <f t="shared" si="228"/>
        <v>0</v>
      </c>
      <c r="O714" s="14">
        <f t="shared" si="228"/>
        <v>0</v>
      </c>
      <c r="P714" s="130"/>
      <c r="Q714" s="15"/>
    </row>
    <row r="715" spans="2:17" ht="25.5" customHeight="1" x14ac:dyDescent="0.2">
      <c r="B715" s="111" t="s">
        <v>613</v>
      </c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3"/>
    </row>
    <row r="716" spans="2:17" ht="42.75" outlineLevel="1" x14ac:dyDescent="0.2">
      <c r="B716" s="178" t="s">
        <v>1217</v>
      </c>
      <c r="C716" s="178"/>
      <c r="D716" s="178" t="s">
        <v>1218</v>
      </c>
      <c r="E716" s="178" t="s">
        <v>319</v>
      </c>
      <c r="F716" s="178"/>
      <c r="G716" s="178" t="s">
        <v>83</v>
      </c>
      <c r="H716" s="95" t="s">
        <v>3</v>
      </c>
      <c r="I716" s="93">
        <f t="shared" ref="I716:I719" si="229">SUM(J716:O716)</f>
        <v>16.2</v>
      </c>
      <c r="J716" s="94">
        <f t="shared" ref="J716:O716" si="230">J717+J718+J719</f>
        <v>16.2</v>
      </c>
      <c r="K716" s="94">
        <f t="shared" si="230"/>
        <v>0</v>
      </c>
      <c r="L716" s="94">
        <f t="shared" si="230"/>
        <v>0</v>
      </c>
      <c r="M716" s="94">
        <f t="shared" si="230"/>
        <v>0</v>
      </c>
      <c r="N716" s="94">
        <f t="shared" si="230"/>
        <v>0</v>
      </c>
      <c r="O716" s="94">
        <f t="shared" si="230"/>
        <v>0</v>
      </c>
      <c r="P716" s="178"/>
    </row>
    <row r="717" spans="2:17" outlineLevel="1" x14ac:dyDescent="0.2">
      <c r="B717" s="178"/>
      <c r="C717" s="143"/>
      <c r="D717" s="178"/>
      <c r="E717" s="178"/>
      <c r="F717" s="178"/>
      <c r="G717" s="178"/>
      <c r="H717" s="95" t="s">
        <v>4</v>
      </c>
      <c r="I717" s="93">
        <f t="shared" si="229"/>
        <v>0</v>
      </c>
      <c r="J717" s="87"/>
      <c r="K717" s="87"/>
      <c r="L717" s="87"/>
      <c r="M717" s="87"/>
      <c r="N717" s="87"/>
      <c r="O717" s="87"/>
      <c r="P717" s="178"/>
    </row>
    <row r="718" spans="2:17" outlineLevel="1" x14ac:dyDescent="0.2">
      <c r="B718" s="178"/>
      <c r="C718" s="143"/>
      <c r="D718" s="178"/>
      <c r="E718" s="178"/>
      <c r="F718" s="178"/>
      <c r="G718" s="178"/>
      <c r="H718" s="95" t="s">
        <v>6</v>
      </c>
      <c r="I718" s="93">
        <f t="shared" si="229"/>
        <v>16.2</v>
      </c>
      <c r="J718" s="87">
        <v>16.2</v>
      </c>
      <c r="K718" s="87"/>
      <c r="L718" s="87"/>
      <c r="M718" s="87"/>
      <c r="N718" s="87"/>
      <c r="O718" s="87"/>
      <c r="P718" s="178"/>
    </row>
    <row r="719" spans="2:17" outlineLevel="1" x14ac:dyDescent="0.2">
      <c r="B719" s="178"/>
      <c r="C719" s="143"/>
      <c r="D719" s="178"/>
      <c r="E719" s="178"/>
      <c r="F719" s="178"/>
      <c r="G719" s="178"/>
      <c r="H719" s="95" t="s">
        <v>5</v>
      </c>
      <c r="I719" s="93">
        <f t="shared" si="229"/>
        <v>0</v>
      </c>
      <c r="J719" s="87"/>
      <c r="K719" s="87"/>
      <c r="L719" s="87"/>
      <c r="M719" s="87"/>
      <c r="N719" s="87"/>
      <c r="O719" s="87"/>
      <c r="P719" s="178"/>
    </row>
    <row r="720" spans="2:17" ht="42.75" x14ac:dyDescent="0.2">
      <c r="B720" s="128" t="s">
        <v>624</v>
      </c>
      <c r="C720" s="128" t="s">
        <v>38</v>
      </c>
      <c r="D720" s="128" t="s">
        <v>38</v>
      </c>
      <c r="E720" s="128" t="s">
        <v>38</v>
      </c>
      <c r="F720" s="128" t="s">
        <v>38</v>
      </c>
      <c r="G720" s="128" t="s">
        <v>38</v>
      </c>
      <c r="H720" s="95" t="s">
        <v>3</v>
      </c>
      <c r="I720" s="14">
        <f t="shared" ref="I720:O720" si="231">SUMIF($H$716:$H$719,"Объем*",I$716:I$719)</f>
        <v>16.2</v>
      </c>
      <c r="J720" s="14">
        <f t="shared" si="231"/>
        <v>16.2</v>
      </c>
      <c r="K720" s="14">
        <f t="shared" si="231"/>
        <v>0</v>
      </c>
      <c r="L720" s="14">
        <f t="shared" si="231"/>
        <v>0</v>
      </c>
      <c r="M720" s="14">
        <f t="shared" si="231"/>
        <v>0</v>
      </c>
      <c r="N720" s="14">
        <f t="shared" si="231"/>
        <v>0</v>
      </c>
      <c r="O720" s="14">
        <f t="shared" si="231"/>
        <v>0</v>
      </c>
      <c r="P720" s="128"/>
      <c r="Q720" s="7"/>
    </row>
    <row r="721" spans="2:18" ht="15.75" x14ac:dyDescent="0.2">
      <c r="B721" s="129"/>
      <c r="C721" s="129"/>
      <c r="D721" s="129"/>
      <c r="E721" s="129"/>
      <c r="F721" s="129"/>
      <c r="G721" s="129"/>
      <c r="H721" s="95" t="s">
        <v>4</v>
      </c>
      <c r="I721" s="14">
        <f t="shared" ref="I721:O721" si="232">SUMIF($H$716:$H$719,"фед*",I$716:I$719)</f>
        <v>0</v>
      </c>
      <c r="J721" s="14">
        <f t="shared" si="232"/>
        <v>0</v>
      </c>
      <c r="K721" s="14">
        <f t="shared" si="232"/>
        <v>0</v>
      </c>
      <c r="L721" s="14">
        <f t="shared" si="232"/>
        <v>0</v>
      </c>
      <c r="M721" s="14">
        <f t="shared" si="232"/>
        <v>0</v>
      </c>
      <c r="N721" s="14">
        <f t="shared" si="232"/>
        <v>0</v>
      </c>
      <c r="O721" s="14">
        <f t="shared" si="232"/>
        <v>0</v>
      </c>
      <c r="P721" s="129"/>
    </row>
    <row r="722" spans="2:18" ht="15.75" x14ac:dyDescent="0.2">
      <c r="B722" s="129"/>
      <c r="C722" s="129"/>
      <c r="D722" s="129"/>
      <c r="E722" s="129"/>
      <c r="F722" s="129"/>
      <c r="G722" s="129"/>
      <c r="H722" s="95" t="s">
        <v>6</v>
      </c>
      <c r="I722" s="14">
        <f t="shared" ref="I722:O722" si="233">SUMIF($H$716:$H$719,"конс*",I$716:I$719)</f>
        <v>16.2</v>
      </c>
      <c r="J722" s="14">
        <f t="shared" si="233"/>
        <v>16.2</v>
      </c>
      <c r="K722" s="14">
        <f t="shared" si="233"/>
        <v>0</v>
      </c>
      <c r="L722" s="14">
        <f t="shared" si="233"/>
        <v>0</v>
      </c>
      <c r="M722" s="14">
        <f t="shared" si="233"/>
        <v>0</v>
      </c>
      <c r="N722" s="14">
        <f t="shared" si="233"/>
        <v>0</v>
      </c>
      <c r="O722" s="14">
        <f t="shared" si="233"/>
        <v>0</v>
      </c>
      <c r="P722" s="129"/>
    </row>
    <row r="723" spans="2:18" ht="15.75" x14ac:dyDescent="0.2">
      <c r="B723" s="130"/>
      <c r="C723" s="130"/>
      <c r="D723" s="130"/>
      <c r="E723" s="130"/>
      <c r="F723" s="130"/>
      <c r="G723" s="130"/>
      <c r="H723" s="95" t="s">
        <v>5</v>
      </c>
      <c r="I723" s="14">
        <f t="shared" ref="I723:O723" si="234">SUMIF($H$716:$H$719,"вне*",I$716:I$719)</f>
        <v>0</v>
      </c>
      <c r="J723" s="14">
        <f t="shared" si="234"/>
        <v>0</v>
      </c>
      <c r="K723" s="14">
        <f t="shared" si="234"/>
        <v>0</v>
      </c>
      <c r="L723" s="14">
        <f t="shared" si="234"/>
        <v>0</v>
      </c>
      <c r="M723" s="14">
        <f t="shared" si="234"/>
        <v>0</v>
      </c>
      <c r="N723" s="14">
        <f t="shared" si="234"/>
        <v>0</v>
      </c>
      <c r="O723" s="14">
        <f t="shared" si="234"/>
        <v>0</v>
      </c>
      <c r="P723" s="130"/>
    </row>
    <row r="724" spans="2:18" ht="42.75" x14ac:dyDescent="0.2">
      <c r="B724" s="128" t="s">
        <v>77</v>
      </c>
      <c r="C724" s="128" t="s">
        <v>38</v>
      </c>
      <c r="D724" s="128" t="s">
        <v>38</v>
      </c>
      <c r="E724" s="128" t="s">
        <v>38</v>
      </c>
      <c r="F724" s="128" t="s">
        <v>38</v>
      </c>
      <c r="G724" s="128" t="s">
        <v>38</v>
      </c>
      <c r="H724" s="95" t="s">
        <v>3</v>
      </c>
      <c r="I724" s="14">
        <f t="shared" ref="I724:O727" si="235">I10+I87+I152+I161+I182+I239+I260+I289+I314+I327+I340+I369+I390+I423+I468+I477+I494+I559+I584+I613+I622+I711+I720</f>
        <v>5730.9099999999989</v>
      </c>
      <c r="J724" s="14">
        <f t="shared" si="235"/>
        <v>212.48999999999998</v>
      </c>
      <c r="K724" s="14">
        <f t="shared" si="235"/>
        <v>565.5</v>
      </c>
      <c r="L724" s="14">
        <f t="shared" si="235"/>
        <v>1626.66</v>
      </c>
      <c r="M724" s="14">
        <f t="shared" si="235"/>
        <v>1428.36</v>
      </c>
      <c r="N724" s="14">
        <f t="shared" si="235"/>
        <v>1257.5999999999999</v>
      </c>
      <c r="O724" s="14">
        <f t="shared" si="235"/>
        <v>640.29999999999995</v>
      </c>
      <c r="P724" s="128"/>
      <c r="Q724" s="7"/>
      <c r="R724" s="7"/>
    </row>
    <row r="725" spans="2:18" ht="15.75" x14ac:dyDescent="0.2">
      <c r="B725" s="129"/>
      <c r="C725" s="129"/>
      <c r="D725" s="129"/>
      <c r="E725" s="129"/>
      <c r="F725" s="129"/>
      <c r="G725" s="129"/>
      <c r="H725" s="95" t="s">
        <v>4</v>
      </c>
      <c r="I725" s="14">
        <f t="shared" si="235"/>
        <v>2327.19</v>
      </c>
      <c r="J725" s="14">
        <f t="shared" si="235"/>
        <v>88.399999999999991</v>
      </c>
      <c r="K725" s="14">
        <f t="shared" si="235"/>
        <v>155.25</v>
      </c>
      <c r="L725" s="14">
        <f t="shared" si="235"/>
        <v>687.71000000000015</v>
      </c>
      <c r="M725" s="14">
        <f t="shared" si="235"/>
        <v>586.13</v>
      </c>
      <c r="N725" s="14">
        <f t="shared" si="235"/>
        <v>530.20000000000005</v>
      </c>
      <c r="O725" s="14">
        <f t="shared" si="235"/>
        <v>279.5</v>
      </c>
      <c r="P725" s="129"/>
      <c r="Q725" s="7"/>
    </row>
    <row r="726" spans="2:18" ht="15.75" x14ac:dyDescent="0.2">
      <c r="B726" s="129"/>
      <c r="C726" s="129"/>
      <c r="D726" s="129"/>
      <c r="E726" s="129"/>
      <c r="F726" s="129"/>
      <c r="G726" s="129"/>
      <c r="H726" s="95" t="s">
        <v>6</v>
      </c>
      <c r="I726" s="14">
        <f t="shared" si="235"/>
        <v>3402.5199999999995</v>
      </c>
      <c r="J726" s="14">
        <f t="shared" si="235"/>
        <v>124.09</v>
      </c>
      <c r="K726" s="14">
        <f t="shared" si="235"/>
        <v>410.25</v>
      </c>
      <c r="L726" s="14">
        <f t="shared" si="235"/>
        <v>938.95</v>
      </c>
      <c r="M726" s="14">
        <f t="shared" si="235"/>
        <v>841.63</v>
      </c>
      <c r="N726" s="14">
        <f t="shared" si="235"/>
        <v>726.8</v>
      </c>
      <c r="O726" s="14">
        <f t="shared" si="235"/>
        <v>360.8</v>
      </c>
      <c r="P726" s="129"/>
      <c r="Q726" s="7"/>
    </row>
    <row r="727" spans="2:18" ht="15.75" x14ac:dyDescent="0.2">
      <c r="B727" s="130"/>
      <c r="C727" s="130"/>
      <c r="D727" s="130"/>
      <c r="E727" s="130"/>
      <c r="F727" s="130"/>
      <c r="G727" s="130"/>
      <c r="H727" s="95" t="s">
        <v>5</v>
      </c>
      <c r="I727" s="97">
        <f t="shared" si="235"/>
        <v>1.2</v>
      </c>
      <c r="J727" s="14">
        <f t="shared" si="235"/>
        <v>0</v>
      </c>
      <c r="K727" s="14">
        <f t="shared" si="235"/>
        <v>0</v>
      </c>
      <c r="L727" s="14">
        <f t="shared" si="235"/>
        <v>0</v>
      </c>
      <c r="M727" s="14">
        <f t="shared" si="235"/>
        <v>0.6</v>
      </c>
      <c r="N727" s="14">
        <f t="shared" si="235"/>
        <v>0.6</v>
      </c>
      <c r="O727" s="14">
        <f t="shared" si="235"/>
        <v>0</v>
      </c>
      <c r="P727" s="130"/>
      <c r="Q727" s="7"/>
    </row>
    <row r="728" spans="2:18" x14ac:dyDescent="0.2">
      <c r="Q728" s="7"/>
    </row>
  </sheetData>
  <mergeCells count="1257"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  <mergeCell ref="P19:P22"/>
    <mergeCell ref="B23:B26"/>
    <mergeCell ref="C23:C26"/>
    <mergeCell ref="D23:D26"/>
    <mergeCell ref="E23:E26"/>
    <mergeCell ref="F23:F26"/>
    <mergeCell ref="G23:G26"/>
    <mergeCell ref="P23:P26"/>
    <mergeCell ref="B19:B22"/>
    <mergeCell ref="C19:C22"/>
    <mergeCell ref="D19:D22"/>
    <mergeCell ref="E19:E22"/>
    <mergeCell ref="F19:F22"/>
    <mergeCell ref="G19:G22"/>
    <mergeCell ref="P10:P13"/>
    <mergeCell ref="B14:P14"/>
    <mergeCell ref="B15:B18"/>
    <mergeCell ref="C15:C18"/>
    <mergeCell ref="D15:D18"/>
    <mergeCell ref="E15:E18"/>
    <mergeCell ref="F15:F18"/>
    <mergeCell ref="G15:G18"/>
    <mergeCell ref="P15:P18"/>
    <mergeCell ref="B10:B13"/>
    <mergeCell ref="C10:C13"/>
    <mergeCell ref="D10:D13"/>
    <mergeCell ref="E10:E13"/>
    <mergeCell ref="F10:F13"/>
    <mergeCell ref="G10:G13"/>
    <mergeCell ref="P35:P38"/>
    <mergeCell ref="B39:B42"/>
    <mergeCell ref="C39:C42"/>
    <mergeCell ref="D39:D42"/>
    <mergeCell ref="E39:E42"/>
    <mergeCell ref="F39:F42"/>
    <mergeCell ref="G39:G42"/>
    <mergeCell ref="P39:P42"/>
    <mergeCell ref="B35:B38"/>
    <mergeCell ref="C35:C38"/>
    <mergeCell ref="D35:D38"/>
    <mergeCell ref="E35:E38"/>
    <mergeCell ref="F35:F38"/>
    <mergeCell ref="G35:G38"/>
    <mergeCell ref="P27:P30"/>
    <mergeCell ref="B31:B34"/>
    <mergeCell ref="C31:C34"/>
    <mergeCell ref="D31:D34"/>
    <mergeCell ref="E31:E34"/>
    <mergeCell ref="F31:F34"/>
    <mergeCell ref="G31:G34"/>
    <mergeCell ref="P31:P34"/>
    <mergeCell ref="B27:B30"/>
    <mergeCell ref="C27:C30"/>
    <mergeCell ref="D27:D30"/>
    <mergeCell ref="E27:E30"/>
    <mergeCell ref="F27:F30"/>
    <mergeCell ref="G27:G30"/>
    <mergeCell ref="P51:P54"/>
    <mergeCell ref="B55:B58"/>
    <mergeCell ref="C55:C58"/>
    <mergeCell ref="D55:D58"/>
    <mergeCell ref="E55:E58"/>
    <mergeCell ref="F55:F58"/>
    <mergeCell ref="G55:G58"/>
    <mergeCell ref="P55:P58"/>
    <mergeCell ref="B51:B54"/>
    <mergeCell ref="C51:C54"/>
    <mergeCell ref="D51:D54"/>
    <mergeCell ref="E51:E54"/>
    <mergeCell ref="F51:F54"/>
    <mergeCell ref="G51:G54"/>
    <mergeCell ref="P43:P46"/>
    <mergeCell ref="B47:B50"/>
    <mergeCell ref="C47:C50"/>
    <mergeCell ref="D47:D50"/>
    <mergeCell ref="E47:E50"/>
    <mergeCell ref="F47:F50"/>
    <mergeCell ref="G47:G50"/>
    <mergeCell ref="P47:P50"/>
    <mergeCell ref="B43:B46"/>
    <mergeCell ref="C43:C46"/>
    <mergeCell ref="D43:D46"/>
    <mergeCell ref="E43:E46"/>
    <mergeCell ref="F43:F46"/>
    <mergeCell ref="G43:G46"/>
    <mergeCell ref="P67:P70"/>
    <mergeCell ref="B71:B74"/>
    <mergeCell ref="C71:C74"/>
    <mergeCell ref="D71:D74"/>
    <mergeCell ref="E71:E74"/>
    <mergeCell ref="F71:F74"/>
    <mergeCell ref="G71:G74"/>
    <mergeCell ref="P71:P74"/>
    <mergeCell ref="B67:B70"/>
    <mergeCell ref="C67:C70"/>
    <mergeCell ref="D67:D70"/>
    <mergeCell ref="E67:E70"/>
    <mergeCell ref="F67:F70"/>
    <mergeCell ref="G67:G70"/>
    <mergeCell ref="P59:P62"/>
    <mergeCell ref="B63:B66"/>
    <mergeCell ref="C63:C66"/>
    <mergeCell ref="D63:D66"/>
    <mergeCell ref="E63:E66"/>
    <mergeCell ref="F63:F66"/>
    <mergeCell ref="G63:G66"/>
    <mergeCell ref="P63:P66"/>
    <mergeCell ref="B59:B62"/>
    <mergeCell ref="C59:C62"/>
    <mergeCell ref="D59:D62"/>
    <mergeCell ref="E59:E62"/>
    <mergeCell ref="F59:F62"/>
    <mergeCell ref="G59:G62"/>
    <mergeCell ref="P83:P86"/>
    <mergeCell ref="B87:B90"/>
    <mergeCell ref="C87:C90"/>
    <mergeCell ref="D87:D90"/>
    <mergeCell ref="E87:E90"/>
    <mergeCell ref="F87:F90"/>
    <mergeCell ref="G87:G90"/>
    <mergeCell ref="P87:P90"/>
    <mergeCell ref="B83:B86"/>
    <mergeCell ref="C83:C86"/>
    <mergeCell ref="D83:D86"/>
    <mergeCell ref="E83:E86"/>
    <mergeCell ref="F83:F86"/>
    <mergeCell ref="G83:G86"/>
    <mergeCell ref="P75:P78"/>
    <mergeCell ref="B79:B82"/>
    <mergeCell ref="C79:C82"/>
    <mergeCell ref="D79:D82"/>
    <mergeCell ref="E79:E82"/>
    <mergeCell ref="F79:F82"/>
    <mergeCell ref="G79:G82"/>
    <mergeCell ref="P79:P82"/>
    <mergeCell ref="B75:B78"/>
    <mergeCell ref="C75:C78"/>
    <mergeCell ref="D75:D78"/>
    <mergeCell ref="E75:E78"/>
    <mergeCell ref="F75:F78"/>
    <mergeCell ref="G75:G78"/>
    <mergeCell ref="P96:P99"/>
    <mergeCell ref="B100:B103"/>
    <mergeCell ref="C100:C103"/>
    <mergeCell ref="D100:D103"/>
    <mergeCell ref="E100:E103"/>
    <mergeCell ref="F100:F103"/>
    <mergeCell ref="G100:G103"/>
    <mergeCell ref="P100:P103"/>
    <mergeCell ref="B96:B99"/>
    <mergeCell ref="C96:C99"/>
    <mergeCell ref="D96:D99"/>
    <mergeCell ref="E96:E99"/>
    <mergeCell ref="F96:F99"/>
    <mergeCell ref="G96:G99"/>
    <mergeCell ref="B91:P91"/>
    <mergeCell ref="B92:B95"/>
    <mergeCell ref="C92:C95"/>
    <mergeCell ref="D92:D95"/>
    <mergeCell ref="E92:E95"/>
    <mergeCell ref="F92:F95"/>
    <mergeCell ref="G92:G95"/>
    <mergeCell ref="P92:P95"/>
    <mergeCell ref="P112:P115"/>
    <mergeCell ref="B116:B119"/>
    <mergeCell ref="C116:C119"/>
    <mergeCell ref="D116:D119"/>
    <mergeCell ref="E116:E119"/>
    <mergeCell ref="F116:F119"/>
    <mergeCell ref="G116:G119"/>
    <mergeCell ref="P116:P119"/>
    <mergeCell ref="B112:B115"/>
    <mergeCell ref="C112:C115"/>
    <mergeCell ref="D112:D115"/>
    <mergeCell ref="E112:E115"/>
    <mergeCell ref="F112:F115"/>
    <mergeCell ref="G112:G115"/>
    <mergeCell ref="P104:P107"/>
    <mergeCell ref="B108:B111"/>
    <mergeCell ref="C108:C111"/>
    <mergeCell ref="D108:D111"/>
    <mergeCell ref="E108:E111"/>
    <mergeCell ref="F108:F111"/>
    <mergeCell ref="G108:G111"/>
    <mergeCell ref="P108:P111"/>
    <mergeCell ref="B104:B107"/>
    <mergeCell ref="C104:C107"/>
    <mergeCell ref="D104:D107"/>
    <mergeCell ref="E104:E107"/>
    <mergeCell ref="F104:F107"/>
    <mergeCell ref="G104:G107"/>
    <mergeCell ref="P128:P131"/>
    <mergeCell ref="B132:B135"/>
    <mergeCell ref="C132:C135"/>
    <mergeCell ref="D132:D135"/>
    <mergeCell ref="E132:E135"/>
    <mergeCell ref="F132:F135"/>
    <mergeCell ref="G132:G135"/>
    <mergeCell ref="P132:P135"/>
    <mergeCell ref="B128:B131"/>
    <mergeCell ref="C128:C131"/>
    <mergeCell ref="D128:D131"/>
    <mergeCell ref="E128:E131"/>
    <mergeCell ref="F128:F131"/>
    <mergeCell ref="G128:G131"/>
    <mergeCell ref="P120:P123"/>
    <mergeCell ref="B124:B127"/>
    <mergeCell ref="C124:C127"/>
    <mergeCell ref="D124:D127"/>
    <mergeCell ref="E124:E127"/>
    <mergeCell ref="F124:F127"/>
    <mergeCell ref="G124:G127"/>
    <mergeCell ref="P124:P127"/>
    <mergeCell ref="B120:B123"/>
    <mergeCell ref="C120:C123"/>
    <mergeCell ref="D120:D123"/>
    <mergeCell ref="E120:E123"/>
    <mergeCell ref="F120:F123"/>
    <mergeCell ref="G120:G123"/>
    <mergeCell ref="P144:P147"/>
    <mergeCell ref="B148:B151"/>
    <mergeCell ref="C148:C151"/>
    <mergeCell ref="D148:D151"/>
    <mergeCell ref="E148:E151"/>
    <mergeCell ref="F148:F151"/>
    <mergeCell ref="G148:G151"/>
    <mergeCell ref="P148:P151"/>
    <mergeCell ref="B144:B147"/>
    <mergeCell ref="C144:C147"/>
    <mergeCell ref="D144:D147"/>
    <mergeCell ref="E144:E147"/>
    <mergeCell ref="F144:F147"/>
    <mergeCell ref="G144:G147"/>
    <mergeCell ref="P136:P139"/>
    <mergeCell ref="B140:B143"/>
    <mergeCell ref="C140:C143"/>
    <mergeCell ref="D140:D143"/>
    <mergeCell ref="E140:E143"/>
    <mergeCell ref="F140:F143"/>
    <mergeCell ref="G140:G143"/>
    <mergeCell ref="P140:P143"/>
    <mergeCell ref="B136:B139"/>
    <mergeCell ref="C136:C139"/>
    <mergeCell ref="D136:D139"/>
    <mergeCell ref="E136:E139"/>
    <mergeCell ref="F136:F139"/>
    <mergeCell ref="G136:G139"/>
    <mergeCell ref="P161:P164"/>
    <mergeCell ref="B165:P165"/>
    <mergeCell ref="B166:B169"/>
    <mergeCell ref="C166:C169"/>
    <mergeCell ref="D166:D169"/>
    <mergeCell ref="E166:E169"/>
    <mergeCell ref="F166:F169"/>
    <mergeCell ref="G166:G169"/>
    <mergeCell ref="P166:P169"/>
    <mergeCell ref="B161:B164"/>
    <mergeCell ref="C161:C164"/>
    <mergeCell ref="D161:D164"/>
    <mergeCell ref="E161:E164"/>
    <mergeCell ref="F161:F164"/>
    <mergeCell ref="G161:G164"/>
    <mergeCell ref="P152:P155"/>
    <mergeCell ref="B156:P156"/>
    <mergeCell ref="B157:B160"/>
    <mergeCell ref="C157:C160"/>
    <mergeCell ref="D157:D160"/>
    <mergeCell ref="E157:E160"/>
    <mergeCell ref="F157:F160"/>
    <mergeCell ref="G157:G160"/>
    <mergeCell ref="P157:P160"/>
    <mergeCell ref="B152:B155"/>
    <mergeCell ref="C152:C155"/>
    <mergeCell ref="D152:D155"/>
    <mergeCell ref="E152:E155"/>
    <mergeCell ref="F152:F155"/>
    <mergeCell ref="G152:G155"/>
    <mergeCell ref="P178:P181"/>
    <mergeCell ref="B182:B185"/>
    <mergeCell ref="C182:C185"/>
    <mergeCell ref="D182:D185"/>
    <mergeCell ref="E182:E185"/>
    <mergeCell ref="F182:F185"/>
    <mergeCell ref="G182:G185"/>
    <mergeCell ref="P182:P185"/>
    <mergeCell ref="B178:B181"/>
    <mergeCell ref="C178:C181"/>
    <mergeCell ref="D178:D181"/>
    <mergeCell ref="E178:E181"/>
    <mergeCell ref="F178:F181"/>
    <mergeCell ref="G178:G181"/>
    <mergeCell ref="P170:P173"/>
    <mergeCell ref="B174:B177"/>
    <mergeCell ref="C174:C177"/>
    <mergeCell ref="D174:D177"/>
    <mergeCell ref="E174:E177"/>
    <mergeCell ref="F174:F177"/>
    <mergeCell ref="G174:G177"/>
    <mergeCell ref="P174:P177"/>
    <mergeCell ref="B170:B173"/>
    <mergeCell ref="C170:C173"/>
    <mergeCell ref="D170:D173"/>
    <mergeCell ref="E170:E173"/>
    <mergeCell ref="F170:F173"/>
    <mergeCell ref="G170:G173"/>
    <mergeCell ref="P191:P194"/>
    <mergeCell ref="B195:B198"/>
    <mergeCell ref="C195:C198"/>
    <mergeCell ref="D195:D198"/>
    <mergeCell ref="E195:E198"/>
    <mergeCell ref="F195:F198"/>
    <mergeCell ref="G195:G198"/>
    <mergeCell ref="P195:P198"/>
    <mergeCell ref="B191:B194"/>
    <mergeCell ref="C191:C194"/>
    <mergeCell ref="D191:D194"/>
    <mergeCell ref="E191:E194"/>
    <mergeCell ref="F191:F194"/>
    <mergeCell ref="G191:G194"/>
    <mergeCell ref="B186:P186"/>
    <mergeCell ref="B187:B190"/>
    <mergeCell ref="C187:C190"/>
    <mergeCell ref="D187:D190"/>
    <mergeCell ref="E187:E190"/>
    <mergeCell ref="F187:F190"/>
    <mergeCell ref="G187:G190"/>
    <mergeCell ref="P187:P190"/>
    <mergeCell ref="P207:P210"/>
    <mergeCell ref="B211:B214"/>
    <mergeCell ref="C211:C214"/>
    <mergeCell ref="D211:D214"/>
    <mergeCell ref="E211:E214"/>
    <mergeCell ref="F211:F214"/>
    <mergeCell ref="G211:G214"/>
    <mergeCell ref="P211:P214"/>
    <mergeCell ref="B207:B210"/>
    <mergeCell ref="C207:C210"/>
    <mergeCell ref="D207:D210"/>
    <mergeCell ref="E207:E210"/>
    <mergeCell ref="F207:F210"/>
    <mergeCell ref="G207:G210"/>
    <mergeCell ref="P199:P202"/>
    <mergeCell ref="B203:B206"/>
    <mergeCell ref="C203:C206"/>
    <mergeCell ref="D203:D206"/>
    <mergeCell ref="E203:E206"/>
    <mergeCell ref="F203:F206"/>
    <mergeCell ref="G203:G206"/>
    <mergeCell ref="P203:P206"/>
    <mergeCell ref="B199:B202"/>
    <mergeCell ref="C199:C202"/>
    <mergeCell ref="D199:D202"/>
    <mergeCell ref="E199:E202"/>
    <mergeCell ref="F199:F202"/>
    <mergeCell ref="G199:G202"/>
    <mergeCell ref="P223:P226"/>
    <mergeCell ref="B227:B230"/>
    <mergeCell ref="C227:C230"/>
    <mergeCell ref="D227:D230"/>
    <mergeCell ref="E227:E230"/>
    <mergeCell ref="F227:F230"/>
    <mergeCell ref="G227:G230"/>
    <mergeCell ref="P227:P230"/>
    <mergeCell ref="B223:B226"/>
    <mergeCell ref="C223:C226"/>
    <mergeCell ref="D223:D226"/>
    <mergeCell ref="E223:E226"/>
    <mergeCell ref="F223:F226"/>
    <mergeCell ref="G223:G226"/>
    <mergeCell ref="P215:P218"/>
    <mergeCell ref="B219:B222"/>
    <mergeCell ref="C219:C222"/>
    <mergeCell ref="D219:D222"/>
    <mergeCell ref="E219:E222"/>
    <mergeCell ref="F219:F222"/>
    <mergeCell ref="G219:G222"/>
    <mergeCell ref="P219:P222"/>
    <mergeCell ref="B215:B218"/>
    <mergeCell ref="C215:C218"/>
    <mergeCell ref="D215:D218"/>
    <mergeCell ref="E215:E218"/>
    <mergeCell ref="F215:F218"/>
    <mergeCell ref="G215:G218"/>
    <mergeCell ref="P239:P242"/>
    <mergeCell ref="B243:P243"/>
    <mergeCell ref="B244:B247"/>
    <mergeCell ref="C244:C247"/>
    <mergeCell ref="D244:D247"/>
    <mergeCell ref="E244:E247"/>
    <mergeCell ref="F244:F247"/>
    <mergeCell ref="G244:G247"/>
    <mergeCell ref="P244:P247"/>
    <mergeCell ref="B239:B242"/>
    <mergeCell ref="C239:C242"/>
    <mergeCell ref="D239:D242"/>
    <mergeCell ref="E239:E242"/>
    <mergeCell ref="F239:F242"/>
    <mergeCell ref="G239:G242"/>
    <mergeCell ref="P231:P234"/>
    <mergeCell ref="B235:B238"/>
    <mergeCell ref="C235:C238"/>
    <mergeCell ref="D235:D238"/>
    <mergeCell ref="E235:E238"/>
    <mergeCell ref="F235:F238"/>
    <mergeCell ref="G235:G238"/>
    <mergeCell ref="P235:P238"/>
    <mergeCell ref="B231:B234"/>
    <mergeCell ref="C231:C234"/>
    <mergeCell ref="D231:D234"/>
    <mergeCell ref="E231:E234"/>
    <mergeCell ref="F231:F234"/>
    <mergeCell ref="G231:G234"/>
    <mergeCell ref="P256:P259"/>
    <mergeCell ref="B260:B263"/>
    <mergeCell ref="C260:C263"/>
    <mergeCell ref="D260:D263"/>
    <mergeCell ref="E260:E263"/>
    <mergeCell ref="F260:F263"/>
    <mergeCell ref="G260:G263"/>
    <mergeCell ref="P260:P263"/>
    <mergeCell ref="B256:B259"/>
    <mergeCell ref="C256:C259"/>
    <mergeCell ref="D256:D259"/>
    <mergeCell ref="E256:E259"/>
    <mergeCell ref="F256:F259"/>
    <mergeCell ref="G256:G259"/>
    <mergeCell ref="P248:P251"/>
    <mergeCell ref="B252:B255"/>
    <mergeCell ref="C252:C255"/>
    <mergeCell ref="D252:D255"/>
    <mergeCell ref="E252:E255"/>
    <mergeCell ref="F252:F255"/>
    <mergeCell ref="G252:G255"/>
    <mergeCell ref="P252:P255"/>
    <mergeCell ref="B248:B251"/>
    <mergeCell ref="C248:C251"/>
    <mergeCell ref="D248:D251"/>
    <mergeCell ref="E248:E251"/>
    <mergeCell ref="F248:F251"/>
    <mergeCell ref="G248:G251"/>
    <mergeCell ref="P269:P272"/>
    <mergeCell ref="B273:B276"/>
    <mergeCell ref="C273:C276"/>
    <mergeCell ref="D273:D276"/>
    <mergeCell ref="E273:E276"/>
    <mergeCell ref="F273:F276"/>
    <mergeCell ref="G273:G276"/>
    <mergeCell ref="P273:P276"/>
    <mergeCell ref="B269:B272"/>
    <mergeCell ref="C269:C272"/>
    <mergeCell ref="D269:D272"/>
    <mergeCell ref="E269:E272"/>
    <mergeCell ref="F269:F272"/>
    <mergeCell ref="G269:G272"/>
    <mergeCell ref="B264:P264"/>
    <mergeCell ref="B265:B268"/>
    <mergeCell ref="C265:C268"/>
    <mergeCell ref="D265:D268"/>
    <mergeCell ref="E265:E268"/>
    <mergeCell ref="F265:F268"/>
    <mergeCell ref="G265:G268"/>
    <mergeCell ref="P265:P268"/>
    <mergeCell ref="P285:P288"/>
    <mergeCell ref="B289:B292"/>
    <mergeCell ref="C289:C292"/>
    <mergeCell ref="D289:D292"/>
    <mergeCell ref="E289:E292"/>
    <mergeCell ref="F289:F292"/>
    <mergeCell ref="G289:G292"/>
    <mergeCell ref="P289:P292"/>
    <mergeCell ref="B285:B288"/>
    <mergeCell ref="C285:C288"/>
    <mergeCell ref="D285:D288"/>
    <mergeCell ref="E285:E288"/>
    <mergeCell ref="F285:F288"/>
    <mergeCell ref="G285:G288"/>
    <mergeCell ref="P277:P280"/>
    <mergeCell ref="B281:B284"/>
    <mergeCell ref="C281:C284"/>
    <mergeCell ref="D281:D284"/>
    <mergeCell ref="E281:E284"/>
    <mergeCell ref="F281:F284"/>
    <mergeCell ref="G281:G284"/>
    <mergeCell ref="P281:P284"/>
    <mergeCell ref="B277:B280"/>
    <mergeCell ref="C277:C280"/>
    <mergeCell ref="D277:D280"/>
    <mergeCell ref="E277:E280"/>
    <mergeCell ref="F277:F280"/>
    <mergeCell ref="G277:G280"/>
    <mergeCell ref="P298:P301"/>
    <mergeCell ref="B302:B305"/>
    <mergeCell ref="C302:C305"/>
    <mergeCell ref="D302:D305"/>
    <mergeCell ref="E302:E305"/>
    <mergeCell ref="F302:F305"/>
    <mergeCell ref="G302:G305"/>
    <mergeCell ref="P302:P305"/>
    <mergeCell ref="B298:B301"/>
    <mergeCell ref="C298:C301"/>
    <mergeCell ref="D298:D301"/>
    <mergeCell ref="E298:E301"/>
    <mergeCell ref="F298:F301"/>
    <mergeCell ref="G298:G301"/>
    <mergeCell ref="B293:P293"/>
    <mergeCell ref="B294:B297"/>
    <mergeCell ref="C294:C297"/>
    <mergeCell ref="D294:D297"/>
    <mergeCell ref="E294:E297"/>
    <mergeCell ref="F294:F297"/>
    <mergeCell ref="G294:G297"/>
    <mergeCell ref="P294:P297"/>
    <mergeCell ref="P314:P317"/>
    <mergeCell ref="B318:P318"/>
    <mergeCell ref="B319:B322"/>
    <mergeCell ref="C319:C322"/>
    <mergeCell ref="D319:D322"/>
    <mergeCell ref="E319:E322"/>
    <mergeCell ref="F319:F322"/>
    <mergeCell ref="G319:G322"/>
    <mergeCell ref="P319:P322"/>
    <mergeCell ref="B314:B317"/>
    <mergeCell ref="C314:C317"/>
    <mergeCell ref="D314:D317"/>
    <mergeCell ref="E314:E317"/>
    <mergeCell ref="F314:F317"/>
    <mergeCell ref="G314:G317"/>
    <mergeCell ref="P306:P309"/>
    <mergeCell ref="B310:B313"/>
    <mergeCell ref="C310:C313"/>
    <mergeCell ref="D310:D313"/>
    <mergeCell ref="E310:E313"/>
    <mergeCell ref="F310:F313"/>
    <mergeCell ref="G310:G313"/>
    <mergeCell ref="P310:P313"/>
    <mergeCell ref="B306:B309"/>
    <mergeCell ref="C306:C309"/>
    <mergeCell ref="D306:D309"/>
    <mergeCell ref="E306:E309"/>
    <mergeCell ref="F306:F309"/>
    <mergeCell ref="G306:G309"/>
    <mergeCell ref="B331:P331"/>
    <mergeCell ref="B332:B335"/>
    <mergeCell ref="C332:C335"/>
    <mergeCell ref="D332:D335"/>
    <mergeCell ref="E332:E335"/>
    <mergeCell ref="F332:F335"/>
    <mergeCell ref="G332:G335"/>
    <mergeCell ref="P332:P335"/>
    <mergeCell ref="P323:P326"/>
    <mergeCell ref="B327:B330"/>
    <mergeCell ref="C327:C330"/>
    <mergeCell ref="D327:D330"/>
    <mergeCell ref="E327:E330"/>
    <mergeCell ref="F327:F330"/>
    <mergeCell ref="G327:G330"/>
    <mergeCell ref="P327:P330"/>
    <mergeCell ref="B323:B326"/>
    <mergeCell ref="C323:C326"/>
    <mergeCell ref="D323:D326"/>
    <mergeCell ref="E323:E326"/>
    <mergeCell ref="F323:F326"/>
    <mergeCell ref="G323:G326"/>
    <mergeCell ref="B344:P344"/>
    <mergeCell ref="B345:B348"/>
    <mergeCell ref="C345:C348"/>
    <mergeCell ref="D345:D348"/>
    <mergeCell ref="E345:E348"/>
    <mergeCell ref="F345:F348"/>
    <mergeCell ref="G345:G348"/>
    <mergeCell ref="P345:P348"/>
    <mergeCell ref="P336:P339"/>
    <mergeCell ref="B340:B343"/>
    <mergeCell ref="C340:C343"/>
    <mergeCell ref="D340:D343"/>
    <mergeCell ref="E340:E343"/>
    <mergeCell ref="F340:F343"/>
    <mergeCell ref="G340:G343"/>
    <mergeCell ref="P340:P343"/>
    <mergeCell ref="B336:B339"/>
    <mergeCell ref="C336:C339"/>
    <mergeCell ref="D336:D339"/>
    <mergeCell ref="E336:E339"/>
    <mergeCell ref="F336:F339"/>
    <mergeCell ref="G336:G339"/>
    <mergeCell ref="P357:P360"/>
    <mergeCell ref="B361:B364"/>
    <mergeCell ref="C361:C364"/>
    <mergeCell ref="D361:D364"/>
    <mergeCell ref="E361:E364"/>
    <mergeCell ref="F361:F364"/>
    <mergeCell ref="G361:G364"/>
    <mergeCell ref="P361:P364"/>
    <mergeCell ref="B357:B360"/>
    <mergeCell ref="C357:C360"/>
    <mergeCell ref="D357:D360"/>
    <mergeCell ref="E357:E360"/>
    <mergeCell ref="F357:F360"/>
    <mergeCell ref="G357:G360"/>
    <mergeCell ref="P349:P352"/>
    <mergeCell ref="B353:B356"/>
    <mergeCell ref="C353:C356"/>
    <mergeCell ref="D353:D356"/>
    <mergeCell ref="E353:E356"/>
    <mergeCell ref="F353:F356"/>
    <mergeCell ref="G353:G356"/>
    <mergeCell ref="P353:P356"/>
    <mergeCell ref="B349:B352"/>
    <mergeCell ref="C349:C352"/>
    <mergeCell ref="D349:D352"/>
    <mergeCell ref="E349:E352"/>
    <mergeCell ref="F349:F352"/>
    <mergeCell ref="G349:G352"/>
    <mergeCell ref="B373:P373"/>
    <mergeCell ref="B374:B377"/>
    <mergeCell ref="C374:C377"/>
    <mergeCell ref="D374:D377"/>
    <mergeCell ref="E374:E377"/>
    <mergeCell ref="F374:F377"/>
    <mergeCell ref="G374:G377"/>
    <mergeCell ref="P374:P377"/>
    <mergeCell ref="P365:P368"/>
    <mergeCell ref="B369:B372"/>
    <mergeCell ref="C369:C372"/>
    <mergeCell ref="D369:D372"/>
    <mergeCell ref="E369:E372"/>
    <mergeCell ref="F369:F372"/>
    <mergeCell ref="G369:G372"/>
    <mergeCell ref="P369:P372"/>
    <mergeCell ref="B365:B368"/>
    <mergeCell ref="C365:C368"/>
    <mergeCell ref="D365:D368"/>
    <mergeCell ref="E365:E368"/>
    <mergeCell ref="F365:F368"/>
    <mergeCell ref="G365:G368"/>
    <mergeCell ref="P386:P389"/>
    <mergeCell ref="B390:B393"/>
    <mergeCell ref="C390:C393"/>
    <mergeCell ref="D390:D393"/>
    <mergeCell ref="E390:E393"/>
    <mergeCell ref="F390:F393"/>
    <mergeCell ref="G390:G393"/>
    <mergeCell ref="P390:P393"/>
    <mergeCell ref="B386:B389"/>
    <mergeCell ref="C386:C389"/>
    <mergeCell ref="D386:D389"/>
    <mergeCell ref="E386:E389"/>
    <mergeCell ref="F386:F389"/>
    <mergeCell ref="G386:G389"/>
    <mergeCell ref="P378:P381"/>
    <mergeCell ref="B382:B385"/>
    <mergeCell ref="C382:C385"/>
    <mergeCell ref="D382:D385"/>
    <mergeCell ref="E382:E385"/>
    <mergeCell ref="F382:F385"/>
    <mergeCell ref="G382:G385"/>
    <mergeCell ref="P382:P385"/>
    <mergeCell ref="B378:B381"/>
    <mergeCell ref="C378:C381"/>
    <mergeCell ref="D378:D381"/>
    <mergeCell ref="E378:E381"/>
    <mergeCell ref="F378:F381"/>
    <mergeCell ref="G378:G381"/>
    <mergeCell ref="P399:P402"/>
    <mergeCell ref="B403:B406"/>
    <mergeCell ref="C403:C406"/>
    <mergeCell ref="D403:D406"/>
    <mergeCell ref="E403:E406"/>
    <mergeCell ref="F403:F406"/>
    <mergeCell ref="G403:G406"/>
    <mergeCell ref="P403:P406"/>
    <mergeCell ref="B399:B402"/>
    <mergeCell ref="C399:C402"/>
    <mergeCell ref="D399:D402"/>
    <mergeCell ref="E399:E402"/>
    <mergeCell ref="F399:F402"/>
    <mergeCell ref="G399:G402"/>
    <mergeCell ref="B394:P394"/>
    <mergeCell ref="B395:B398"/>
    <mergeCell ref="C395:C398"/>
    <mergeCell ref="D395:D398"/>
    <mergeCell ref="E395:E398"/>
    <mergeCell ref="F395:F398"/>
    <mergeCell ref="G395:G398"/>
    <mergeCell ref="P395:P398"/>
    <mergeCell ref="P415:P418"/>
    <mergeCell ref="B419:B422"/>
    <mergeCell ref="C419:C422"/>
    <mergeCell ref="D419:D422"/>
    <mergeCell ref="E419:E422"/>
    <mergeCell ref="F419:F422"/>
    <mergeCell ref="G419:G422"/>
    <mergeCell ref="P419:P422"/>
    <mergeCell ref="B415:B418"/>
    <mergeCell ref="C415:C418"/>
    <mergeCell ref="D415:D418"/>
    <mergeCell ref="E415:E418"/>
    <mergeCell ref="F415:F418"/>
    <mergeCell ref="G415:G418"/>
    <mergeCell ref="P407:P410"/>
    <mergeCell ref="B411:B414"/>
    <mergeCell ref="C411:C414"/>
    <mergeCell ref="D411:D414"/>
    <mergeCell ref="E411:E414"/>
    <mergeCell ref="F411:F414"/>
    <mergeCell ref="G411:G414"/>
    <mergeCell ref="P411:P414"/>
    <mergeCell ref="B407:B410"/>
    <mergeCell ref="C407:C410"/>
    <mergeCell ref="D407:D410"/>
    <mergeCell ref="E407:E410"/>
    <mergeCell ref="F407:F410"/>
    <mergeCell ref="G407:G410"/>
    <mergeCell ref="P432:P435"/>
    <mergeCell ref="B436:B439"/>
    <mergeCell ref="C436:C439"/>
    <mergeCell ref="D436:D439"/>
    <mergeCell ref="E436:E439"/>
    <mergeCell ref="F436:F439"/>
    <mergeCell ref="G436:G439"/>
    <mergeCell ref="P436:P439"/>
    <mergeCell ref="B432:B435"/>
    <mergeCell ref="C432:C435"/>
    <mergeCell ref="D432:D435"/>
    <mergeCell ref="E432:E435"/>
    <mergeCell ref="F432:F435"/>
    <mergeCell ref="G432:G435"/>
    <mergeCell ref="P423:P426"/>
    <mergeCell ref="B427:P427"/>
    <mergeCell ref="B428:B431"/>
    <mergeCell ref="C428:C431"/>
    <mergeCell ref="D428:D431"/>
    <mergeCell ref="E428:E431"/>
    <mergeCell ref="F428:F431"/>
    <mergeCell ref="G428:G431"/>
    <mergeCell ref="P428:P431"/>
    <mergeCell ref="B423:B426"/>
    <mergeCell ref="C423:C426"/>
    <mergeCell ref="D423:D426"/>
    <mergeCell ref="E423:E426"/>
    <mergeCell ref="F423:F426"/>
    <mergeCell ref="G423:G426"/>
    <mergeCell ref="P448:P451"/>
    <mergeCell ref="B452:B455"/>
    <mergeCell ref="C452:C455"/>
    <mergeCell ref="D452:D455"/>
    <mergeCell ref="E452:E455"/>
    <mergeCell ref="F452:F455"/>
    <mergeCell ref="G452:G455"/>
    <mergeCell ref="P452:P455"/>
    <mergeCell ref="B448:B451"/>
    <mergeCell ref="C448:C451"/>
    <mergeCell ref="D448:D451"/>
    <mergeCell ref="E448:E451"/>
    <mergeCell ref="F448:F451"/>
    <mergeCell ref="G448:G451"/>
    <mergeCell ref="P440:P443"/>
    <mergeCell ref="B444:B447"/>
    <mergeCell ref="C444:C447"/>
    <mergeCell ref="D444:D447"/>
    <mergeCell ref="E444:E447"/>
    <mergeCell ref="F444:F447"/>
    <mergeCell ref="G444:G447"/>
    <mergeCell ref="P444:P447"/>
    <mergeCell ref="B440:B443"/>
    <mergeCell ref="C440:C443"/>
    <mergeCell ref="D440:D443"/>
    <mergeCell ref="E440:E443"/>
    <mergeCell ref="F440:F443"/>
    <mergeCell ref="G440:G443"/>
    <mergeCell ref="P464:P467"/>
    <mergeCell ref="B468:B471"/>
    <mergeCell ref="C468:C471"/>
    <mergeCell ref="D468:D471"/>
    <mergeCell ref="E468:E471"/>
    <mergeCell ref="F468:F471"/>
    <mergeCell ref="G468:G471"/>
    <mergeCell ref="P468:P471"/>
    <mergeCell ref="B464:B467"/>
    <mergeCell ref="C464:C467"/>
    <mergeCell ref="D464:D467"/>
    <mergeCell ref="E464:E467"/>
    <mergeCell ref="F464:F467"/>
    <mergeCell ref="G464:G467"/>
    <mergeCell ref="P456:P459"/>
    <mergeCell ref="B460:B463"/>
    <mergeCell ref="C460:C463"/>
    <mergeCell ref="D460:D463"/>
    <mergeCell ref="E460:E463"/>
    <mergeCell ref="F460:F463"/>
    <mergeCell ref="G460:G463"/>
    <mergeCell ref="P460:P463"/>
    <mergeCell ref="B456:B459"/>
    <mergeCell ref="C456:C459"/>
    <mergeCell ref="D456:D459"/>
    <mergeCell ref="E456:E459"/>
    <mergeCell ref="F456:F459"/>
    <mergeCell ref="G456:G459"/>
    <mergeCell ref="P477:P480"/>
    <mergeCell ref="B481:P481"/>
    <mergeCell ref="B482:B485"/>
    <mergeCell ref="C482:C485"/>
    <mergeCell ref="D482:D485"/>
    <mergeCell ref="E482:E485"/>
    <mergeCell ref="F482:F485"/>
    <mergeCell ref="G482:G485"/>
    <mergeCell ref="P482:P485"/>
    <mergeCell ref="B477:B480"/>
    <mergeCell ref="C477:C480"/>
    <mergeCell ref="D477:D480"/>
    <mergeCell ref="E477:E480"/>
    <mergeCell ref="F477:F480"/>
    <mergeCell ref="G477:G480"/>
    <mergeCell ref="B472:P472"/>
    <mergeCell ref="B473:B476"/>
    <mergeCell ref="C473:C476"/>
    <mergeCell ref="D473:D476"/>
    <mergeCell ref="E473:E476"/>
    <mergeCell ref="F473:F476"/>
    <mergeCell ref="G473:G476"/>
    <mergeCell ref="P473:P476"/>
    <mergeCell ref="P494:P497"/>
    <mergeCell ref="B498:P498"/>
    <mergeCell ref="B499:B502"/>
    <mergeCell ref="C499:C502"/>
    <mergeCell ref="D499:D502"/>
    <mergeCell ref="E499:E502"/>
    <mergeCell ref="F499:F502"/>
    <mergeCell ref="G499:G502"/>
    <mergeCell ref="P499:P502"/>
    <mergeCell ref="B494:B497"/>
    <mergeCell ref="C494:C497"/>
    <mergeCell ref="D494:D497"/>
    <mergeCell ref="E494:E497"/>
    <mergeCell ref="F494:F497"/>
    <mergeCell ref="G494:G497"/>
    <mergeCell ref="P486:P489"/>
    <mergeCell ref="B490:B493"/>
    <mergeCell ref="C490:C493"/>
    <mergeCell ref="D490:D493"/>
    <mergeCell ref="E490:E493"/>
    <mergeCell ref="F490:F493"/>
    <mergeCell ref="G490:G493"/>
    <mergeCell ref="P490:P493"/>
    <mergeCell ref="B486:B489"/>
    <mergeCell ref="C486:C489"/>
    <mergeCell ref="D486:D489"/>
    <mergeCell ref="E486:E489"/>
    <mergeCell ref="F486:F489"/>
    <mergeCell ref="G486:G489"/>
    <mergeCell ref="P511:P514"/>
    <mergeCell ref="B515:B518"/>
    <mergeCell ref="C515:C518"/>
    <mergeCell ref="D515:D518"/>
    <mergeCell ref="E515:E518"/>
    <mergeCell ref="F515:F518"/>
    <mergeCell ref="G515:G518"/>
    <mergeCell ref="P515:P518"/>
    <mergeCell ref="B511:B514"/>
    <mergeCell ref="C511:C514"/>
    <mergeCell ref="D511:D514"/>
    <mergeCell ref="E511:E514"/>
    <mergeCell ref="F511:F514"/>
    <mergeCell ref="G511:G514"/>
    <mergeCell ref="P503:P506"/>
    <mergeCell ref="B507:B510"/>
    <mergeCell ref="C507:C510"/>
    <mergeCell ref="D507:D510"/>
    <mergeCell ref="E507:E510"/>
    <mergeCell ref="F507:F510"/>
    <mergeCell ref="G507:G510"/>
    <mergeCell ref="P507:P510"/>
    <mergeCell ref="B503:B506"/>
    <mergeCell ref="C503:C506"/>
    <mergeCell ref="D503:D506"/>
    <mergeCell ref="E503:E506"/>
    <mergeCell ref="F503:F506"/>
    <mergeCell ref="G503:G506"/>
    <mergeCell ref="P527:P530"/>
    <mergeCell ref="B531:B534"/>
    <mergeCell ref="C531:C534"/>
    <mergeCell ref="D531:D534"/>
    <mergeCell ref="E531:E534"/>
    <mergeCell ref="F531:F534"/>
    <mergeCell ref="G531:G534"/>
    <mergeCell ref="P531:P534"/>
    <mergeCell ref="B527:B530"/>
    <mergeCell ref="C527:C530"/>
    <mergeCell ref="D527:D530"/>
    <mergeCell ref="E527:E530"/>
    <mergeCell ref="F527:F530"/>
    <mergeCell ref="G527:G530"/>
    <mergeCell ref="P519:P522"/>
    <mergeCell ref="B523:B526"/>
    <mergeCell ref="C523:C526"/>
    <mergeCell ref="D523:D526"/>
    <mergeCell ref="E523:E526"/>
    <mergeCell ref="F523:F526"/>
    <mergeCell ref="G523:G526"/>
    <mergeCell ref="P523:P526"/>
    <mergeCell ref="B519:B522"/>
    <mergeCell ref="C519:C522"/>
    <mergeCell ref="D519:D522"/>
    <mergeCell ref="E519:E522"/>
    <mergeCell ref="F519:F522"/>
    <mergeCell ref="G519:G522"/>
    <mergeCell ref="P543:P546"/>
    <mergeCell ref="B547:B550"/>
    <mergeCell ref="C547:C550"/>
    <mergeCell ref="D547:D550"/>
    <mergeCell ref="E547:E550"/>
    <mergeCell ref="F547:F550"/>
    <mergeCell ref="G547:G550"/>
    <mergeCell ref="P547:P550"/>
    <mergeCell ref="B543:B546"/>
    <mergeCell ref="C543:C546"/>
    <mergeCell ref="D543:D546"/>
    <mergeCell ref="E543:E546"/>
    <mergeCell ref="F543:F546"/>
    <mergeCell ref="G543:G546"/>
    <mergeCell ref="P535:P538"/>
    <mergeCell ref="B539:B542"/>
    <mergeCell ref="C539:C542"/>
    <mergeCell ref="D539:D542"/>
    <mergeCell ref="E539:E542"/>
    <mergeCell ref="F539:F542"/>
    <mergeCell ref="G539:G542"/>
    <mergeCell ref="P539:P542"/>
    <mergeCell ref="B535:B538"/>
    <mergeCell ref="C535:C538"/>
    <mergeCell ref="D535:D538"/>
    <mergeCell ref="E535:E538"/>
    <mergeCell ref="F535:F538"/>
    <mergeCell ref="G535:G538"/>
    <mergeCell ref="P559:P562"/>
    <mergeCell ref="B563:P563"/>
    <mergeCell ref="B564:B567"/>
    <mergeCell ref="C564:C567"/>
    <mergeCell ref="D564:D567"/>
    <mergeCell ref="E564:E567"/>
    <mergeCell ref="F564:F567"/>
    <mergeCell ref="G564:G567"/>
    <mergeCell ref="P564:P567"/>
    <mergeCell ref="B559:B562"/>
    <mergeCell ref="C559:C562"/>
    <mergeCell ref="D559:D562"/>
    <mergeCell ref="E559:E562"/>
    <mergeCell ref="F559:F562"/>
    <mergeCell ref="G559:G562"/>
    <mergeCell ref="P551:P554"/>
    <mergeCell ref="B555:B558"/>
    <mergeCell ref="C555:C558"/>
    <mergeCell ref="D555:D558"/>
    <mergeCell ref="E555:E558"/>
    <mergeCell ref="F555:F558"/>
    <mergeCell ref="G555:G558"/>
    <mergeCell ref="P555:P558"/>
    <mergeCell ref="B551:B554"/>
    <mergeCell ref="C551:C554"/>
    <mergeCell ref="D551:D554"/>
    <mergeCell ref="E551:E554"/>
    <mergeCell ref="F551:F554"/>
    <mergeCell ref="G551:G554"/>
    <mergeCell ref="P576:P579"/>
    <mergeCell ref="B580:B583"/>
    <mergeCell ref="C580:C583"/>
    <mergeCell ref="D580:D583"/>
    <mergeCell ref="E580:E583"/>
    <mergeCell ref="F580:F583"/>
    <mergeCell ref="G580:G583"/>
    <mergeCell ref="P580:P583"/>
    <mergeCell ref="B576:B579"/>
    <mergeCell ref="C576:C579"/>
    <mergeCell ref="D576:D579"/>
    <mergeCell ref="E576:E579"/>
    <mergeCell ref="F576:F579"/>
    <mergeCell ref="G576:G579"/>
    <mergeCell ref="P568:P571"/>
    <mergeCell ref="B572:B575"/>
    <mergeCell ref="C572:C575"/>
    <mergeCell ref="D572:D575"/>
    <mergeCell ref="E572:E575"/>
    <mergeCell ref="F572:F575"/>
    <mergeCell ref="G572:G575"/>
    <mergeCell ref="P572:P575"/>
    <mergeCell ref="B568:B571"/>
    <mergeCell ref="C568:C571"/>
    <mergeCell ref="D568:D571"/>
    <mergeCell ref="E568:E571"/>
    <mergeCell ref="F568:F571"/>
    <mergeCell ref="G568:G571"/>
    <mergeCell ref="P593:P596"/>
    <mergeCell ref="B597:B600"/>
    <mergeCell ref="C597:C600"/>
    <mergeCell ref="D597:D600"/>
    <mergeCell ref="E597:E600"/>
    <mergeCell ref="F597:F600"/>
    <mergeCell ref="G597:G600"/>
    <mergeCell ref="P597:P600"/>
    <mergeCell ref="B593:B596"/>
    <mergeCell ref="C593:C596"/>
    <mergeCell ref="D593:D596"/>
    <mergeCell ref="E593:E596"/>
    <mergeCell ref="F593:F596"/>
    <mergeCell ref="G593:G596"/>
    <mergeCell ref="P584:P587"/>
    <mergeCell ref="B588:P588"/>
    <mergeCell ref="B589:B592"/>
    <mergeCell ref="C589:C592"/>
    <mergeCell ref="D589:D592"/>
    <mergeCell ref="E589:E592"/>
    <mergeCell ref="F589:F592"/>
    <mergeCell ref="G589:G592"/>
    <mergeCell ref="P589:P592"/>
    <mergeCell ref="B584:B587"/>
    <mergeCell ref="C584:C587"/>
    <mergeCell ref="D584:D587"/>
    <mergeCell ref="E584:E587"/>
    <mergeCell ref="F584:F587"/>
    <mergeCell ref="G584:G587"/>
    <mergeCell ref="P609:P612"/>
    <mergeCell ref="B613:B616"/>
    <mergeCell ref="C613:C616"/>
    <mergeCell ref="D613:D616"/>
    <mergeCell ref="E613:E616"/>
    <mergeCell ref="F613:F616"/>
    <mergeCell ref="G613:G616"/>
    <mergeCell ref="P613:P616"/>
    <mergeCell ref="B609:B612"/>
    <mergeCell ref="C609:C612"/>
    <mergeCell ref="D609:D612"/>
    <mergeCell ref="E609:E612"/>
    <mergeCell ref="F609:F612"/>
    <mergeCell ref="G609:G612"/>
    <mergeCell ref="P601:P604"/>
    <mergeCell ref="B605:B608"/>
    <mergeCell ref="C605:C608"/>
    <mergeCell ref="D605:D608"/>
    <mergeCell ref="E605:E608"/>
    <mergeCell ref="F605:F608"/>
    <mergeCell ref="G605:G608"/>
    <mergeCell ref="P605:P608"/>
    <mergeCell ref="B601:B604"/>
    <mergeCell ref="C601:C604"/>
    <mergeCell ref="D601:D604"/>
    <mergeCell ref="E601:E604"/>
    <mergeCell ref="F601:F604"/>
    <mergeCell ref="G601:G604"/>
    <mergeCell ref="P622:P625"/>
    <mergeCell ref="B626:P626"/>
    <mergeCell ref="B627:B630"/>
    <mergeCell ref="C627:C630"/>
    <mergeCell ref="D627:D630"/>
    <mergeCell ref="E627:E630"/>
    <mergeCell ref="F627:F630"/>
    <mergeCell ref="G627:G630"/>
    <mergeCell ref="P627:P630"/>
    <mergeCell ref="B622:B625"/>
    <mergeCell ref="C622:C625"/>
    <mergeCell ref="D622:D625"/>
    <mergeCell ref="E622:E625"/>
    <mergeCell ref="F622:F625"/>
    <mergeCell ref="G622:G625"/>
    <mergeCell ref="B617:P617"/>
    <mergeCell ref="B618:B621"/>
    <mergeCell ref="C618:C621"/>
    <mergeCell ref="D618:D621"/>
    <mergeCell ref="E618:E621"/>
    <mergeCell ref="F618:F621"/>
    <mergeCell ref="G618:G621"/>
    <mergeCell ref="P618:P621"/>
    <mergeCell ref="P639:P642"/>
    <mergeCell ref="B643:B646"/>
    <mergeCell ref="C643:C646"/>
    <mergeCell ref="D643:D646"/>
    <mergeCell ref="E643:E646"/>
    <mergeCell ref="F643:F646"/>
    <mergeCell ref="G643:G646"/>
    <mergeCell ref="P643:P646"/>
    <mergeCell ref="B639:B642"/>
    <mergeCell ref="C639:C642"/>
    <mergeCell ref="D639:D642"/>
    <mergeCell ref="E639:E642"/>
    <mergeCell ref="F639:F642"/>
    <mergeCell ref="G639:G642"/>
    <mergeCell ref="P631:P634"/>
    <mergeCell ref="B635:B638"/>
    <mergeCell ref="C635:C638"/>
    <mergeCell ref="D635:D638"/>
    <mergeCell ref="E635:E638"/>
    <mergeCell ref="F635:F638"/>
    <mergeCell ref="G635:G638"/>
    <mergeCell ref="P635:P638"/>
    <mergeCell ref="B631:B634"/>
    <mergeCell ref="C631:C634"/>
    <mergeCell ref="D631:D634"/>
    <mergeCell ref="E631:E634"/>
    <mergeCell ref="F631:F634"/>
    <mergeCell ref="G631:G634"/>
    <mergeCell ref="P655:P658"/>
    <mergeCell ref="B659:B662"/>
    <mergeCell ref="C659:C662"/>
    <mergeCell ref="D659:D662"/>
    <mergeCell ref="E659:E662"/>
    <mergeCell ref="F659:F662"/>
    <mergeCell ref="G659:G662"/>
    <mergeCell ref="P659:P662"/>
    <mergeCell ref="B655:B658"/>
    <mergeCell ref="C655:C658"/>
    <mergeCell ref="D655:D658"/>
    <mergeCell ref="E655:E658"/>
    <mergeCell ref="F655:F658"/>
    <mergeCell ref="G655:G658"/>
    <mergeCell ref="P647:P650"/>
    <mergeCell ref="B651:B654"/>
    <mergeCell ref="C651:C654"/>
    <mergeCell ref="D651:D654"/>
    <mergeCell ref="E651:E654"/>
    <mergeCell ref="F651:F654"/>
    <mergeCell ref="G651:G654"/>
    <mergeCell ref="P651:P654"/>
    <mergeCell ref="B647:B650"/>
    <mergeCell ref="C647:C650"/>
    <mergeCell ref="D647:D650"/>
    <mergeCell ref="E647:E650"/>
    <mergeCell ref="F647:F650"/>
    <mergeCell ref="G647:G650"/>
    <mergeCell ref="P671:P674"/>
    <mergeCell ref="B675:B678"/>
    <mergeCell ref="C675:C678"/>
    <mergeCell ref="D675:D678"/>
    <mergeCell ref="E675:E678"/>
    <mergeCell ref="F675:F678"/>
    <mergeCell ref="G675:G678"/>
    <mergeCell ref="P675:P678"/>
    <mergeCell ref="B671:B674"/>
    <mergeCell ref="C671:C674"/>
    <mergeCell ref="D671:D674"/>
    <mergeCell ref="E671:E674"/>
    <mergeCell ref="F671:F674"/>
    <mergeCell ref="G671:G674"/>
    <mergeCell ref="P663:P666"/>
    <mergeCell ref="B667:B670"/>
    <mergeCell ref="C667:C670"/>
    <mergeCell ref="D667:D670"/>
    <mergeCell ref="E667:E670"/>
    <mergeCell ref="F667:F670"/>
    <mergeCell ref="G667:G670"/>
    <mergeCell ref="P667:P670"/>
    <mergeCell ref="B663:B666"/>
    <mergeCell ref="C663:C666"/>
    <mergeCell ref="D663:D666"/>
    <mergeCell ref="E663:E666"/>
    <mergeCell ref="F663:F666"/>
    <mergeCell ref="G663:G666"/>
    <mergeCell ref="P687:P690"/>
    <mergeCell ref="B691:B694"/>
    <mergeCell ref="C691:C694"/>
    <mergeCell ref="D691:D694"/>
    <mergeCell ref="E691:E694"/>
    <mergeCell ref="F691:F694"/>
    <mergeCell ref="G691:G694"/>
    <mergeCell ref="P691:P694"/>
    <mergeCell ref="B687:B690"/>
    <mergeCell ref="C687:C690"/>
    <mergeCell ref="D687:D690"/>
    <mergeCell ref="E687:E690"/>
    <mergeCell ref="F687:F690"/>
    <mergeCell ref="G687:G690"/>
    <mergeCell ref="P679:P682"/>
    <mergeCell ref="B683:B686"/>
    <mergeCell ref="C683:C686"/>
    <mergeCell ref="D683:D686"/>
    <mergeCell ref="E683:E686"/>
    <mergeCell ref="F683:F686"/>
    <mergeCell ref="G683:G686"/>
    <mergeCell ref="P683:P686"/>
    <mergeCell ref="B679:B682"/>
    <mergeCell ref="C679:C682"/>
    <mergeCell ref="D679:D682"/>
    <mergeCell ref="E679:E682"/>
    <mergeCell ref="F679:F682"/>
    <mergeCell ref="G679:G682"/>
    <mergeCell ref="P703:P706"/>
    <mergeCell ref="B707:B710"/>
    <mergeCell ref="C707:C710"/>
    <mergeCell ref="D707:D710"/>
    <mergeCell ref="E707:E710"/>
    <mergeCell ref="F707:F710"/>
    <mergeCell ref="G707:G710"/>
    <mergeCell ref="P707:P710"/>
    <mergeCell ref="B703:B706"/>
    <mergeCell ref="C703:C706"/>
    <mergeCell ref="D703:D706"/>
    <mergeCell ref="E703:E706"/>
    <mergeCell ref="F703:F706"/>
    <mergeCell ref="G703:G706"/>
    <mergeCell ref="P695:P698"/>
    <mergeCell ref="B699:B702"/>
    <mergeCell ref="C699:C702"/>
    <mergeCell ref="D699:D702"/>
    <mergeCell ref="E699:E702"/>
    <mergeCell ref="F699:F702"/>
    <mergeCell ref="G699:G702"/>
    <mergeCell ref="P699:P702"/>
    <mergeCell ref="B695:B698"/>
    <mergeCell ref="C695:C698"/>
    <mergeCell ref="D695:D698"/>
    <mergeCell ref="E695:E698"/>
    <mergeCell ref="F695:F698"/>
    <mergeCell ref="G695:G698"/>
    <mergeCell ref="P720:P723"/>
    <mergeCell ref="B724:B727"/>
    <mergeCell ref="C724:C727"/>
    <mergeCell ref="D724:D727"/>
    <mergeCell ref="E724:E727"/>
    <mergeCell ref="F724:F727"/>
    <mergeCell ref="G724:G727"/>
    <mergeCell ref="P724:P727"/>
    <mergeCell ref="B720:B723"/>
    <mergeCell ref="C720:C723"/>
    <mergeCell ref="D720:D723"/>
    <mergeCell ref="E720:E723"/>
    <mergeCell ref="F720:F723"/>
    <mergeCell ref="G720:G723"/>
    <mergeCell ref="P711:P714"/>
    <mergeCell ref="B715:P715"/>
    <mergeCell ref="B716:B719"/>
    <mergeCell ref="C716:C719"/>
    <mergeCell ref="D716:D719"/>
    <mergeCell ref="E716:E719"/>
    <mergeCell ref="F716:F719"/>
    <mergeCell ref="G716:G719"/>
    <mergeCell ref="P716:P719"/>
    <mergeCell ref="B711:B714"/>
    <mergeCell ref="C711:C714"/>
    <mergeCell ref="D711:D714"/>
    <mergeCell ref="E711:E714"/>
    <mergeCell ref="F711:F714"/>
    <mergeCell ref="G711:G714"/>
  </mergeCells>
  <conditionalFormatting sqref="A728:XFD1048576 A588:XFD616 I87:O90 I152:O155 I161:O164 I182:O185 I239:O242 I260:O263 I289:O292 I314:O317 I327:O330 I390:O393 I468:O471 I494:O497 I559:O562 I369:O372 I477:O480 I622:O625 I340:O343 I423:O426 A3:C4 E3:G4 I4:XFD4 P3:XFD3 I720:O727 I584:O587 I711:O714 A1:XFD2">
    <cfRule type="cellIs" dxfId="86" priority="14" operator="equal">
      <formula>0</formula>
    </cfRule>
  </conditionalFormatting>
  <conditionalFormatting sqref="B419:B426 B394:B398">
    <cfRule type="duplicateValues" dxfId="85" priority="13"/>
  </conditionalFormatting>
  <conditionalFormatting sqref="B399:B402">
    <cfRule type="duplicateValues" dxfId="84" priority="12"/>
  </conditionalFormatting>
  <conditionalFormatting sqref="B407:B410">
    <cfRule type="duplicateValues" dxfId="83" priority="11"/>
  </conditionalFormatting>
  <conditionalFormatting sqref="B411:B414">
    <cfRule type="duplicateValues" dxfId="82" priority="10"/>
  </conditionalFormatting>
  <conditionalFormatting sqref="B415:B418">
    <cfRule type="duplicateValues" dxfId="81" priority="9"/>
  </conditionalFormatting>
  <conditionalFormatting sqref="B403:B406">
    <cfRule type="duplicateValues" dxfId="80" priority="8"/>
  </conditionalFormatting>
  <conditionalFormatting sqref="D3:D4">
    <cfRule type="cellIs" dxfId="79" priority="7" operator="equal">
      <formula>0</formula>
    </cfRule>
  </conditionalFormatting>
  <conditionalFormatting sqref="H4">
    <cfRule type="cellIs" dxfId="78" priority="6" operator="equal">
      <formula>0</formula>
    </cfRule>
  </conditionalFormatting>
  <conditionalFormatting sqref="H3:O3">
    <cfRule type="cellIs" dxfId="77" priority="5" operator="equal">
      <formula>0</formula>
    </cfRule>
  </conditionalFormatting>
  <conditionalFormatting sqref="I10:O13">
    <cfRule type="cellIs" dxfId="76" priority="4" operator="equal">
      <formula>0</formula>
    </cfRule>
  </conditionalFormatting>
  <conditionalFormatting sqref="B6:C9 F6:G9">
    <cfRule type="cellIs" dxfId="75" priority="3" operator="equal">
      <formula>0</formula>
    </cfRule>
  </conditionalFormatting>
  <conditionalFormatting sqref="D6:D9">
    <cfRule type="cellIs" dxfId="74" priority="2" operator="equal">
      <formula>0</formula>
    </cfRule>
  </conditionalFormatting>
  <conditionalFormatting sqref="E6:E9">
    <cfRule type="cellIs" dxfId="73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6129-29DD-4E4D-B0FB-CF30729E22B5}">
  <sheetPr>
    <pageSetUpPr fitToPage="1"/>
  </sheetPr>
  <dimension ref="B1:R719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8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8" width="10.85546875" style="2" bestFit="1" customWidth="1"/>
    <col min="19" max="16384" width="9.140625" style="2"/>
  </cols>
  <sheetData>
    <row r="1" spans="2:17" ht="21.75" customHeight="1" x14ac:dyDescent="0.25">
      <c r="B1" s="120" t="s">
        <v>1219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7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7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7" ht="25.5" customHeight="1" x14ac:dyDescent="0.2">
      <c r="B5" s="111" t="s">
        <v>79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7" ht="42.75" outlineLevel="1" x14ac:dyDescent="0.2">
      <c r="B6" s="114" t="s">
        <v>1883</v>
      </c>
      <c r="C6" s="114"/>
      <c r="D6" s="114" t="s">
        <v>79</v>
      </c>
      <c r="E6" s="114">
        <v>2022</v>
      </c>
      <c r="F6" s="114" t="s">
        <v>1884</v>
      </c>
      <c r="G6" s="114"/>
      <c r="H6" s="95" t="s">
        <v>3</v>
      </c>
      <c r="I6" s="94">
        <f>SUM(J6:O6)</f>
        <v>315.8</v>
      </c>
      <c r="J6" s="94">
        <f t="shared" ref="J6:O6" si="0">J7+J8+J9</f>
        <v>0</v>
      </c>
      <c r="K6" s="94">
        <f t="shared" si="0"/>
        <v>0</v>
      </c>
      <c r="L6" s="94">
        <f t="shared" si="0"/>
        <v>315.8</v>
      </c>
      <c r="M6" s="94">
        <f t="shared" si="0"/>
        <v>0</v>
      </c>
      <c r="N6" s="94">
        <f t="shared" si="0"/>
        <v>0</v>
      </c>
      <c r="O6" s="94">
        <f t="shared" si="0"/>
        <v>0</v>
      </c>
      <c r="P6" s="114">
        <v>1650</v>
      </c>
    </row>
    <row r="7" spans="2:17" outlineLevel="1" x14ac:dyDescent="0.2">
      <c r="B7" s="115"/>
      <c r="C7" s="137"/>
      <c r="D7" s="115"/>
      <c r="E7" s="115"/>
      <c r="F7" s="115"/>
      <c r="G7" s="115"/>
      <c r="H7" s="95" t="s">
        <v>4</v>
      </c>
      <c r="I7" s="94">
        <f t="shared" ref="I7:I9" si="1">SUM(J7:O7)</f>
        <v>315.8</v>
      </c>
      <c r="J7" s="94"/>
      <c r="K7" s="94"/>
      <c r="L7" s="96">
        <v>315.8</v>
      </c>
      <c r="M7" s="94">
        <v>0</v>
      </c>
      <c r="N7" s="94">
        <v>0</v>
      </c>
      <c r="O7" s="94">
        <v>0</v>
      </c>
      <c r="P7" s="115"/>
    </row>
    <row r="8" spans="2:17" outlineLevel="1" x14ac:dyDescent="0.2">
      <c r="B8" s="115"/>
      <c r="C8" s="137"/>
      <c r="D8" s="115"/>
      <c r="E8" s="115"/>
      <c r="F8" s="115"/>
      <c r="G8" s="115"/>
      <c r="H8" s="95" t="s">
        <v>6</v>
      </c>
      <c r="I8" s="94">
        <f t="shared" si="1"/>
        <v>0</v>
      </c>
      <c r="J8" s="94"/>
      <c r="K8" s="94"/>
      <c r="L8" s="94">
        <v>0</v>
      </c>
      <c r="M8" s="94">
        <v>0</v>
      </c>
      <c r="N8" s="94">
        <v>0</v>
      </c>
      <c r="O8" s="94">
        <v>0</v>
      </c>
      <c r="P8" s="115"/>
    </row>
    <row r="9" spans="2:17" outlineLevel="1" x14ac:dyDescent="0.2">
      <c r="B9" s="116"/>
      <c r="C9" s="138"/>
      <c r="D9" s="116"/>
      <c r="E9" s="116"/>
      <c r="F9" s="116"/>
      <c r="G9" s="116"/>
      <c r="H9" s="95" t="s">
        <v>5</v>
      </c>
      <c r="I9" s="94">
        <f t="shared" si="1"/>
        <v>0</v>
      </c>
      <c r="J9" s="94"/>
      <c r="K9" s="94"/>
      <c r="L9" s="94"/>
      <c r="M9" s="94"/>
      <c r="N9" s="94"/>
      <c r="O9" s="94"/>
      <c r="P9" s="116"/>
    </row>
    <row r="10" spans="2:17" ht="42.75" x14ac:dyDescent="0.2">
      <c r="B10" s="128" t="s">
        <v>89</v>
      </c>
      <c r="C10" s="128" t="s">
        <v>38</v>
      </c>
      <c r="D10" s="128" t="s">
        <v>38</v>
      </c>
      <c r="E10" s="128" t="s">
        <v>38</v>
      </c>
      <c r="F10" s="128" t="s">
        <v>38</v>
      </c>
      <c r="G10" s="128" t="s">
        <v>38</v>
      </c>
      <c r="H10" s="95" t="s">
        <v>3</v>
      </c>
      <c r="I10" s="14">
        <f>SUMIF($H$6:$H$9,"Объем*",I$6:I$9)</f>
        <v>315.8</v>
      </c>
      <c r="J10" s="14">
        <f t="shared" ref="J10:O10" si="2">SUMIF($H$6:$H$9,"Объем*",J$6:J$9)</f>
        <v>0</v>
      </c>
      <c r="K10" s="14">
        <f t="shared" si="2"/>
        <v>0</v>
      </c>
      <c r="L10" s="14">
        <f t="shared" si="2"/>
        <v>315.8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28"/>
      <c r="Q10" s="7"/>
    </row>
    <row r="11" spans="2:17" ht="15.75" x14ac:dyDescent="0.2">
      <c r="B11" s="129"/>
      <c r="C11" s="129"/>
      <c r="D11" s="129"/>
      <c r="E11" s="129"/>
      <c r="F11" s="129"/>
      <c r="G11" s="129"/>
      <c r="H11" s="95" t="s">
        <v>4</v>
      </c>
      <c r="I11" s="14">
        <f>SUMIF($H$6:$H$9,"фед*",I$6:I$9)</f>
        <v>315.8</v>
      </c>
      <c r="J11" s="14">
        <f t="shared" ref="J11:O11" si="3">SUMIF($H$6:$H$9,"фед*",J$6:J$9)</f>
        <v>0</v>
      </c>
      <c r="K11" s="14">
        <f t="shared" si="3"/>
        <v>0</v>
      </c>
      <c r="L11" s="14">
        <f t="shared" si="3"/>
        <v>315.8</v>
      </c>
      <c r="M11" s="14">
        <f t="shared" si="3"/>
        <v>0</v>
      </c>
      <c r="N11" s="14">
        <f t="shared" si="3"/>
        <v>0</v>
      </c>
      <c r="O11" s="14">
        <f t="shared" si="3"/>
        <v>0</v>
      </c>
      <c r="P11" s="129"/>
      <c r="Q11" s="7"/>
    </row>
    <row r="12" spans="2:17" ht="15.75" x14ac:dyDescent="0.2">
      <c r="B12" s="129"/>
      <c r="C12" s="129"/>
      <c r="D12" s="129"/>
      <c r="E12" s="129"/>
      <c r="F12" s="129"/>
      <c r="G12" s="129"/>
      <c r="H12" s="95" t="s">
        <v>6</v>
      </c>
      <c r="I12" s="14">
        <f>SUMIF($H$6:$H$9,"конс*",I$6:I$9)</f>
        <v>0</v>
      </c>
      <c r="J12" s="14">
        <f t="shared" ref="J12:O12" si="4">SUMIF($H$6:$H$9,"конс*",J$6:J$9)</f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4"/>
        <v>0</v>
      </c>
      <c r="O12" s="14">
        <f t="shared" si="4"/>
        <v>0</v>
      </c>
      <c r="P12" s="129"/>
      <c r="Q12" s="7"/>
    </row>
    <row r="13" spans="2:17" ht="15.75" x14ac:dyDescent="0.2">
      <c r="B13" s="130"/>
      <c r="C13" s="130"/>
      <c r="D13" s="130"/>
      <c r="E13" s="130"/>
      <c r="F13" s="130"/>
      <c r="G13" s="130"/>
      <c r="H13" s="95" t="s">
        <v>5</v>
      </c>
      <c r="I13" s="14">
        <f>SUMIF($H$6:$H$9,"вне*",I$6:I$9)</f>
        <v>0</v>
      </c>
      <c r="J13" s="14">
        <f t="shared" ref="J13:O13" si="5">SUMIF($H$6:$H$9,"вне*",J$6:J$9)</f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5"/>
        <v>0</v>
      </c>
      <c r="O13" s="14">
        <f t="shared" si="5"/>
        <v>0</v>
      </c>
      <c r="P13" s="130"/>
      <c r="Q13" s="7"/>
    </row>
    <row r="14" spans="2:17" ht="25.5" customHeight="1" x14ac:dyDescent="0.2">
      <c r="B14" s="111" t="s">
        <v>90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</row>
    <row r="15" spans="2:17" ht="57.75" customHeight="1" outlineLevel="1" x14ac:dyDescent="0.2">
      <c r="B15" s="117" t="s">
        <v>1220</v>
      </c>
      <c r="C15" s="117" t="s">
        <v>1221</v>
      </c>
      <c r="D15" s="117" t="s">
        <v>1222</v>
      </c>
      <c r="E15" s="117" t="s">
        <v>203</v>
      </c>
      <c r="F15" s="117" t="s">
        <v>1223</v>
      </c>
      <c r="G15" s="117" t="s">
        <v>1224</v>
      </c>
      <c r="H15" s="95" t="s">
        <v>3</v>
      </c>
      <c r="I15" s="94">
        <f>SUM(J15:O15)</f>
        <v>218.70000000000002</v>
      </c>
      <c r="J15" s="94">
        <f t="shared" ref="J15:O15" si="6">J16+J17+J18</f>
        <v>67.400000000000006</v>
      </c>
      <c r="K15" s="94">
        <f t="shared" si="6"/>
        <v>151.30000000000001</v>
      </c>
      <c r="L15" s="94">
        <f t="shared" si="6"/>
        <v>0</v>
      </c>
      <c r="M15" s="94">
        <f t="shared" si="6"/>
        <v>0</v>
      </c>
      <c r="N15" s="94">
        <f t="shared" si="6"/>
        <v>0</v>
      </c>
      <c r="O15" s="94">
        <f t="shared" si="6"/>
        <v>0</v>
      </c>
      <c r="P15" s="117">
        <v>240</v>
      </c>
    </row>
    <row r="16" spans="2:17" outlineLevel="1" x14ac:dyDescent="0.2">
      <c r="B16" s="118"/>
      <c r="C16" s="132"/>
      <c r="D16" s="118"/>
      <c r="E16" s="118"/>
      <c r="F16" s="118"/>
      <c r="G16" s="118"/>
      <c r="H16" s="95" t="s">
        <v>4</v>
      </c>
      <c r="I16" s="94">
        <f t="shared" ref="I16:I38" si="7">SUM(J16:O16)</f>
        <v>216.5</v>
      </c>
      <c r="J16" s="94">
        <v>66.7</v>
      </c>
      <c r="K16" s="94">
        <v>149.80000000000001</v>
      </c>
      <c r="L16" s="94">
        <v>0</v>
      </c>
      <c r="M16" s="94">
        <v>0</v>
      </c>
      <c r="N16" s="94">
        <v>0</v>
      </c>
      <c r="O16" s="94">
        <v>0</v>
      </c>
      <c r="P16" s="118"/>
    </row>
    <row r="17" spans="2:16" outlineLevel="1" x14ac:dyDescent="0.2">
      <c r="B17" s="118"/>
      <c r="C17" s="132"/>
      <c r="D17" s="118"/>
      <c r="E17" s="118"/>
      <c r="F17" s="118"/>
      <c r="G17" s="118"/>
      <c r="H17" s="95" t="s">
        <v>6</v>
      </c>
      <c r="I17" s="94">
        <f t="shared" si="7"/>
        <v>2.2000000000000002</v>
      </c>
      <c r="J17" s="94">
        <v>0.7</v>
      </c>
      <c r="K17" s="94">
        <v>1.5</v>
      </c>
      <c r="L17" s="94">
        <v>0</v>
      </c>
      <c r="M17" s="94">
        <v>0</v>
      </c>
      <c r="N17" s="94">
        <v>0</v>
      </c>
      <c r="O17" s="94">
        <v>0</v>
      </c>
      <c r="P17" s="118"/>
    </row>
    <row r="18" spans="2:16" outlineLevel="1" x14ac:dyDescent="0.2">
      <c r="B18" s="119"/>
      <c r="C18" s="133"/>
      <c r="D18" s="119"/>
      <c r="E18" s="119"/>
      <c r="F18" s="119"/>
      <c r="G18" s="119"/>
      <c r="H18" s="95" t="s">
        <v>5</v>
      </c>
      <c r="I18" s="94">
        <f t="shared" si="7"/>
        <v>0</v>
      </c>
      <c r="J18" s="94"/>
      <c r="K18" s="94"/>
      <c r="L18" s="94"/>
      <c r="M18" s="94"/>
      <c r="N18" s="94"/>
      <c r="O18" s="94"/>
      <c r="P18" s="119"/>
    </row>
    <row r="19" spans="2:16" ht="57.75" customHeight="1" outlineLevel="1" x14ac:dyDescent="0.2">
      <c r="B19" s="117" t="s">
        <v>1225</v>
      </c>
      <c r="C19" s="117"/>
      <c r="D19" s="117" t="s">
        <v>1222</v>
      </c>
      <c r="E19" s="117">
        <v>2021</v>
      </c>
      <c r="F19" s="117"/>
      <c r="G19" s="117" t="s">
        <v>1226</v>
      </c>
      <c r="H19" s="95" t="s">
        <v>3</v>
      </c>
      <c r="I19" s="94">
        <f t="shared" si="7"/>
        <v>46</v>
      </c>
      <c r="J19" s="94">
        <f t="shared" ref="J19:O19" si="8">J20+J21+J22</f>
        <v>0</v>
      </c>
      <c r="K19" s="94">
        <f t="shared" si="8"/>
        <v>23</v>
      </c>
      <c r="L19" s="94">
        <f t="shared" si="8"/>
        <v>23</v>
      </c>
      <c r="M19" s="94">
        <f t="shared" si="8"/>
        <v>0</v>
      </c>
      <c r="N19" s="94">
        <f t="shared" si="8"/>
        <v>0</v>
      </c>
      <c r="O19" s="94">
        <f t="shared" si="8"/>
        <v>0</v>
      </c>
      <c r="P19" s="117">
        <v>90</v>
      </c>
    </row>
    <row r="20" spans="2:16" outlineLevel="1" x14ac:dyDescent="0.2">
      <c r="B20" s="118"/>
      <c r="C20" s="132"/>
      <c r="D20" s="118"/>
      <c r="E20" s="118"/>
      <c r="F20" s="118"/>
      <c r="G20" s="118"/>
      <c r="H20" s="95" t="s">
        <v>4</v>
      </c>
      <c r="I20" s="94">
        <f t="shared" si="7"/>
        <v>27.6</v>
      </c>
      <c r="J20" s="94"/>
      <c r="K20" s="94">
        <v>13.8</v>
      </c>
      <c r="L20" s="94">
        <v>13.8</v>
      </c>
      <c r="M20" s="94">
        <v>0</v>
      </c>
      <c r="N20" s="94">
        <v>0</v>
      </c>
      <c r="O20" s="94">
        <v>0</v>
      </c>
      <c r="P20" s="118"/>
    </row>
    <row r="21" spans="2:16" outlineLevel="1" x14ac:dyDescent="0.2">
      <c r="B21" s="118"/>
      <c r="C21" s="132"/>
      <c r="D21" s="118"/>
      <c r="E21" s="118"/>
      <c r="F21" s="118"/>
      <c r="G21" s="118"/>
      <c r="H21" s="95" t="s">
        <v>6</v>
      </c>
      <c r="I21" s="94">
        <f t="shared" si="7"/>
        <v>18.399999999999999</v>
      </c>
      <c r="J21" s="94"/>
      <c r="K21" s="94">
        <v>9.1999999999999993</v>
      </c>
      <c r="L21" s="94">
        <v>9.1999999999999993</v>
      </c>
      <c r="M21" s="94">
        <v>0</v>
      </c>
      <c r="N21" s="94">
        <v>0</v>
      </c>
      <c r="O21" s="94">
        <v>0</v>
      </c>
      <c r="P21" s="118"/>
    </row>
    <row r="22" spans="2:16" outlineLevel="1" x14ac:dyDescent="0.2">
      <c r="B22" s="119"/>
      <c r="C22" s="133"/>
      <c r="D22" s="119"/>
      <c r="E22" s="119"/>
      <c r="F22" s="119"/>
      <c r="G22" s="119"/>
      <c r="H22" s="95" t="s">
        <v>5</v>
      </c>
      <c r="I22" s="94">
        <f t="shared" si="7"/>
        <v>0</v>
      </c>
      <c r="J22" s="94"/>
      <c r="K22" s="94"/>
      <c r="L22" s="94"/>
      <c r="M22" s="94"/>
      <c r="N22" s="94"/>
      <c r="O22" s="94"/>
      <c r="P22" s="119"/>
    </row>
    <row r="23" spans="2:16" ht="60.75" customHeight="1" outlineLevel="1" x14ac:dyDescent="0.2">
      <c r="B23" s="117" t="s">
        <v>1227</v>
      </c>
      <c r="C23" s="117"/>
      <c r="D23" s="117" t="s">
        <v>1222</v>
      </c>
      <c r="E23" s="117" t="s">
        <v>73</v>
      </c>
      <c r="F23" s="117"/>
      <c r="G23" s="117" t="s">
        <v>1228</v>
      </c>
      <c r="H23" s="95" t="s">
        <v>3</v>
      </c>
      <c r="I23" s="94">
        <f t="shared" si="7"/>
        <v>268</v>
      </c>
      <c r="J23" s="94">
        <f t="shared" ref="J23:O23" si="9">J24+J25+J26</f>
        <v>0</v>
      </c>
      <c r="K23" s="94">
        <f t="shared" si="9"/>
        <v>34</v>
      </c>
      <c r="L23" s="94">
        <f t="shared" si="9"/>
        <v>68</v>
      </c>
      <c r="M23" s="94">
        <f t="shared" si="9"/>
        <v>68</v>
      </c>
      <c r="N23" s="94">
        <f t="shared" si="9"/>
        <v>66</v>
      </c>
      <c r="O23" s="94">
        <f t="shared" si="9"/>
        <v>32</v>
      </c>
      <c r="P23" s="117">
        <v>300</v>
      </c>
    </row>
    <row r="24" spans="2:16" outlineLevel="1" x14ac:dyDescent="0.2">
      <c r="B24" s="118"/>
      <c r="C24" s="132"/>
      <c r="D24" s="118"/>
      <c r="E24" s="118"/>
      <c r="F24" s="118"/>
      <c r="G24" s="118"/>
      <c r="H24" s="95" t="s">
        <v>4</v>
      </c>
      <c r="I24" s="94">
        <f t="shared" si="7"/>
        <v>160.79999999999998</v>
      </c>
      <c r="J24" s="94"/>
      <c r="K24" s="94">
        <v>20.399999999999999</v>
      </c>
      <c r="L24" s="94">
        <v>40.799999999999997</v>
      </c>
      <c r="M24" s="94">
        <v>40.799999999999997</v>
      </c>
      <c r="N24" s="94">
        <v>39.6</v>
      </c>
      <c r="O24" s="94">
        <v>19.2</v>
      </c>
      <c r="P24" s="118"/>
    </row>
    <row r="25" spans="2:16" outlineLevel="1" x14ac:dyDescent="0.2">
      <c r="B25" s="118"/>
      <c r="C25" s="132"/>
      <c r="D25" s="118"/>
      <c r="E25" s="118"/>
      <c r="F25" s="118"/>
      <c r="G25" s="118"/>
      <c r="H25" s="95" t="s">
        <v>6</v>
      </c>
      <c r="I25" s="94">
        <f t="shared" si="7"/>
        <v>107.2</v>
      </c>
      <c r="J25" s="94"/>
      <c r="K25" s="94">
        <v>13.6</v>
      </c>
      <c r="L25" s="94">
        <v>27.2</v>
      </c>
      <c r="M25" s="94">
        <v>27.2</v>
      </c>
      <c r="N25" s="94">
        <v>26.4</v>
      </c>
      <c r="O25" s="94">
        <v>12.8</v>
      </c>
      <c r="P25" s="118"/>
    </row>
    <row r="26" spans="2:16" outlineLevel="1" x14ac:dyDescent="0.2">
      <c r="B26" s="119"/>
      <c r="C26" s="133"/>
      <c r="D26" s="119"/>
      <c r="E26" s="119"/>
      <c r="F26" s="119"/>
      <c r="G26" s="119"/>
      <c r="H26" s="95" t="s">
        <v>5</v>
      </c>
      <c r="I26" s="94">
        <f t="shared" si="7"/>
        <v>0</v>
      </c>
      <c r="J26" s="94"/>
      <c r="K26" s="94"/>
      <c r="L26" s="94"/>
      <c r="M26" s="94"/>
      <c r="N26" s="94"/>
      <c r="O26" s="94"/>
      <c r="P26" s="119"/>
    </row>
    <row r="27" spans="2:16" ht="65.25" customHeight="1" outlineLevel="1" x14ac:dyDescent="0.2">
      <c r="B27" s="117" t="s">
        <v>1229</v>
      </c>
      <c r="C27" s="117"/>
      <c r="D27" s="117" t="s">
        <v>1222</v>
      </c>
      <c r="E27" s="117" t="s">
        <v>73</v>
      </c>
      <c r="F27" s="117"/>
      <c r="G27" s="117" t="s">
        <v>1228</v>
      </c>
      <c r="H27" s="95" t="s">
        <v>3</v>
      </c>
      <c r="I27" s="94">
        <f t="shared" si="7"/>
        <v>20</v>
      </c>
      <c r="J27" s="94">
        <f t="shared" ref="J27:O27" si="10">J28+J29+J30</f>
        <v>0</v>
      </c>
      <c r="K27" s="94">
        <f t="shared" si="10"/>
        <v>4</v>
      </c>
      <c r="L27" s="94">
        <f t="shared" si="10"/>
        <v>4</v>
      </c>
      <c r="M27" s="94">
        <f t="shared" si="10"/>
        <v>4</v>
      </c>
      <c r="N27" s="94">
        <f t="shared" si="10"/>
        <v>4</v>
      </c>
      <c r="O27" s="94">
        <f t="shared" si="10"/>
        <v>4</v>
      </c>
      <c r="P27" s="117">
        <v>630</v>
      </c>
    </row>
    <row r="28" spans="2:16" outlineLevel="1" x14ac:dyDescent="0.2">
      <c r="B28" s="118"/>
      <c r="C28" s="132"/>
      <c r="D28" s="118"/>
      <c r="E28" s="118"/>
      <c r="F28" s="118"/>
      <c r="G28" s="118"/>
      <c r="H28" s="95" t="s">
        <v>4</v>
      </c>
      <c r="I28" s="94">
        <f t="shared" si="7"/>
        <v>12</v>
      </c>
      <c r="J28" s="94"/>
      <c r="K28" s="94">
        <v>2.4</v>
      </c>
      <c r="L28" s="94">
        <v>2.4</v>
      </c>
      <c r="M28" s="94">
        <v>2.4</v>
      </c>
      <c r="N28" s="94">
        <v>2.4</v>
      </c>
      <c r="O28" s="94">
        <v>2.4</v>
      </c>
      <c r="P28" s="118"/>
    </row>
    <row r="29" spans="2:16" outlineLevel="1" x14ac:dyDescent="0.2">
      <c r="B29" s="118"/>
      <c r="C29" s="132"/>
      <c r="D29" s="118"/>
      <c r="E29" s="118"/>
      <c r="F29" s="118"/>
      <c r="G29" s="118"/>
      <c r="H29" s="95" t="s">
        <v>6</v>
      </c>
      <c r="I29" s="94">
        <f t="shared" si="7"/>
        <v>8</v>
      </c>
      <c r="J29" s="94"/>
      <c r="K29" s="94">
        <v>1.6</v>
      </c>
      <c r="L29" s="94">
        <v>1.6</v>
      </c>
      <c r="M29" s="94">
        <v>1.6</v>
      </c>
      <c r="N29" s="94">
        <v>1.6</v>
      </c>
      <c r="O29" s="94">
        <v>1.6</v>
      </c>
      <c r="P29" s="118"/>
    </row>
    <row r="30" spans="2:16" outlineLevel="1" x14ac:dyDescent="0.2">
      <c r="B30" s="119"/>
      <c r="C30" s="133"/>
      <c r="D30" s="119"/>
      <c r="E30" s="119"/>
      <c r="F30" s="119"/>
      <c r="G30" s="119"/>
      <c r="H30" s="95" t="s">
        <v>5</v>
      </c>
      <c r="I30" s="94">
        <f t="shared" si="7"/>
        <v>0</v>
      </c>
      <c r="J30" s="94"/>
      <c r="K30" s="94"/>
      <c r="L30" s="94"/>
      <c r="M30" s="94"/>
      <c r="N30" s="94"/>
      <c r="O30" s="94"/>
      <c r="P30" s="119"/>
    </row>
    <row r="31" spans="2:16" ht="74.25" customHeight="1" outlineLevel="1" x14ac:dyDescent="0.2">
      <c r="B31" s="117" t="s">
        <v>1230</v>
      </c>
      <c r="C31" s="117" t="s">
        <v>1231</v>
      </c>
      <c r="D31" s="117" t="s">
        <v>1222</v>
      </c>
      <c r="E31" s="117" t="s">
        <v>61</v>
      </c>
      <c r="F31" s="117" t="s">
        <v>1047</v>
      </c>
      <c r="G31" s="117" t="s">
        <v>1232</v>
      </c>
      <c r="H31" s="95" t="s">
        <v>3</v>
      </c>
      <c r="I31" s="94">
        <f t="shared" si="7"/>
        <v>220</v>
      </c>
      <c r="J31" s="94">
        <f t="shared" ref="J31:O31" si="11">J32+J33+J34</f>
        <v>0</v>
      </c>
      <c r="K31" s="94">
        <f t="shared" si="11"/>
        <v>0</v>
      </c>
      <c r="L31" s="94">
        <f t="shared" si="11"/>
        <v>69</v>
      </c>
      <c r="M31" s="94">
        <f t="shared" si="11"/>
        <v>151</v>
      </c>
      <c r="N31" s="94">
        <f t="shared" si="11"/>
        <v>0</v>
      </c>
      <c r="O31" s="94">
        <f t="shared" si="11"/>
        <v>0</v>
      </c>
      <c r="P31" s="117">
        <v>300</v>
      </c>
    </row>
    <row r="32" spans="2:16" outlineLevel="1" x14ac:dyDescent="0.2">
      <c r="B32" s="118"/>
      <c r="C32" s="132"/>
      <c r="D32" s="118"/>
      <c r="E32" s="118"/>
      <c r="F32" s="118"/>
      <c r="G32" s="118"/>
      <c r="H32" s="95" t="s">
        <v>4</v>
      </c>
      <c r="I32" s="94">
        <f t="shared" si="7"/>
        <v>132</v>
      </c>
      <c r="J32" s="94"/>
      <c r="K32" s="94"/>
      <c r="L32" s="94">
        <v>41.4</v>
      </c>
      <c r="M32" s="94">
        <v>90.6</v>
      </c>
      <c r="N32" s="94">
        <v>0</v>
      </c>
      <c r="O32" s="94">
        <v>0</v>
      </c>
      <c r="P32" s="118"/>
    </row>
    <row r="33" spans="2:17" outlineLevel="1" x14ac:dyDescent="0.2">
      <c r="B33" s="118"/>
      <c r="C33" s="132"/>
      <c r="D33" s="118"/>
      <c r="E33" s="118"/>
      <c r="F33" s="118"/>
      <c r="G33" s="118"/>
      <c r="H33" s="95" t="s">
        <v>6</v>
      </c>
      <c r="I33" s="94">
        <f t="shared" si="7"/>
        <v>88</v>
      </c>
      <c r="J33" s="94"/>
      <c r="K33" s="94"/>
      <c r="L33" s="94">
        <v>27.6</v>
      </c>
      <c r="M33" s="94">
        <v>60.4</v>
      </c>
      <c r="N33" s="94">
        <v>0</v>
      </c>
      <c r="O33" s="94">
        <v>0</v>
      </c>
      <c r="P33" s="118"/>
    </row>
    <row r="34" spans="2:17" outlineLevel="1" x14ac:dyDescent="0.2">
      <c r="B34" s="119"/>
      <c r="C34" s="133"/>
      <c r="D34" s="119"/>
      <c r="E34" s="119"/>
      <c r="F34" s="119"/>
      <c r="G34" s="119"/>
      <c r="H34" s="95" t="s">
        <v>5</v>
      </c>
      <c r="I34" s="94">
        <f t="shared" si="7"/>
        <v>0</v>
      </c>
      <c r="J34" s="94"/>
      <c r="K34" s="94"/>
      <c r="L34" s="94"/>
      <c r="M34" s="94"/>
      <c r="N34" s="94"/>
      <c r="O34" s="94"/>
      <c r="P34" s="119"/>
    </row>
    <row r="35" spans="2:17" ht="79.5" customHeight="1" outlineLevel="1" x14ac:dyDescent="0.2">
      <c r="B35" s="117" t="s">
        <v>1233</v>
      </c>
      <c r="C35" s="117"/>
      <c r="D35" s="117" t="s">
        <v>1222</v>
      </c>
      <c r="E35" s="117" t="s">
        <v>568</v>
      </c>
      <c r="F35" s="117"/>
      <c r="G35" s="117" t="s">
        <v>1232</v>
      </c>
      <c r="H35" s="95" t="s">
        <v>3</v>
      </c>
      <c r="I35" s="94">
        <f t="shared" si="7"/>
        <v>54</v>
      </c>
      <c r="J35" s="94">
        <v>0</v>
      </c>
      <c r="K35" s="94">
        <v>0</v>
      </c>
      <c r="L35" s="94">
        <f t="shared" ref="L35:O35" si="12">L36+L37+L38</f>
        <v>12</v>
      </c>
      <c r="M35" s="94">
        <f t="shared" si="12"/>
        <v>12</v>
      </c>
      <c r="N35" s="94">
        <f t="shared" si="12"/>
        <v>12</v>
      </c>
      <c r="O35" s="94">
        <f t="shared" si="12"/>
        <v>18</v>
      </c>
      <c r="P35" s="117"/>
    </row>
    <row r="36" spans="2:17" outlineLevel="1" x14ac:dyDescent="0.2">
      <c r="B36" s="118"/>
      <c r="C36" s="132"/>
      <c r="D36" s="118"/>
      <c r="E36" s="118"/>
      <c r="F36" s="118"/>
      <c r="G36" s="118"/>
      <c r="H36" s="95" t="s">
        <v>4</v>
      </c>
      <c r="I36" s="94">
        <f t="shared" si="7"/>
        <v>32.400000000000006</v>
      </c>
      <c r="J36" s="94">
        <v>0</v>
      </c>
      <c r="K36" s="94">
        <v>0</v>
      </c>
      <c r="L36" s="94">
        <v>7.2</v>
      </c>
      <c r="M36" s="94">
        <v>7.2</v>
      </c>
      <c r="N36" s="94">
        <v>7.2</v>
      </c>
      <c r="O36" s="94">
        <v>10.8</v>
      </c>
      <c r="P36" s="118"/>
    </row>
    <row r="37" spans="2:17" outlineLevel="1" x14ac:dyDescent="0.2">
      <c r="B37" s="118"/>
      <c r="C37" s="132"/>
      <c r="D37" s="118"/>
      <c r="E37" s="118"/>
      <c r="F37" s="118"/>
      <c r="G37" s="118"/>
      <c r="H37" s="95" t="s">
        <v>6</v>
      </c>
      <c r="I37" s="94">
        <f t="shared" si="7"/>
        <v>21.599999999999998</v>
      </c>
      <c r="J37" s="94">
        <v>0</v>
      </c>
      <c r="K37" s="94">
        <v>0</v>
      </c>
      <c r="L37" s="94">
        <v>4.8</v>
      </c>
      <c r="M37" s="94">
        <v>4.8</v>
      </c>
      <c r="N37" s="94">
        <v>4.8</v>
      </c>
      <c r="O37" s="94">
        <v>7.2</v>
      </c>
      <c r="P37" s="118"/>
    </row>
    <row r="38" spans="2:17" outlineLevel="1" x14ac:dyDescent="0.2">
      <c r="B38" s="119"/>
      <c r="C38" s="133"/>
      <c r="D38" s="119"/>
      <c r="E38" s="119"/>
      <c r="F38" s="119"/>
      <c r="G38" s="119"/>
      <c r="H38" s="95" t="s">
        <v>5</v>
      </c>
      <c r="I38" s="94">
        <f t="shared" si="7"/>
        <v>0</v>
      </c>
      <c r="J38" s="94"/>
      <c r="K38" s="94"/>
      <c r="L38" s="94"/>
      <c r="M38" s="94"/>
      <c r="N38" s="94"/>
      <c r="O38" s="94"/>
      <c r="P38" s="119"/>
    </row>
    <row r="39" spans="2:17" ht="42.75" x14ac:dyDescent="0.2">
      <c r="B39" s="128" t="s">
        <v>110</v>
      </c>
      <c r="C39" s="128" t="s">
        <v>38</v>
      </c>
      <c r="D39" s="128" t="s">
        <v>38</v>
      </c>
      <c r="E39" s="128" t="s">
        <v>38</v>
      </c>
      <c r="F39" s="128" t="s">
        <v>38</v>
      </c>
      <c r="G39" s="128" t="s">
        <v>38</v>
      </c>
      <c r="H39" s="95" t="s">
        <v>3</v>
      </c>
      <c r="I39" s="14">
        <f t="shared" ref="I39:O39" si="13">SUMIF($H$15:$H$38,"Объем*",I$15:I$38)</f>
        <v>826.7</v>
      </c>
      <c r="J39" s="14">
        <f t="shared" si="13"/>
        <v>67.400000000000006</v>
      </c>
      <c r="K39" s="14">
        <f t="shared" si="13"/>
        <v>212.3</v>
      </c>
      <c r="L39" s="14">
        <f t="shared" si="13"/>
        <v>176</v>
      </c>
      <c r="M39" s="14">
        <f t="shared" si="13"/>
        <v>235</v>
      </c>
      <c r="N39" s="14">
        <f t="shared" si="13"/>
        <v>82</v>
      </c>
      <c r="O39" s="14">
        <f t="shared" si="13"/>
        <v>54</v>
      </c>
      <c r="P39" s="128"/>
      <c r="Q39" s="7"/>
    </row>
    <row r="40" spans="2:17" ht="15.75" x14ac:dyDescent="0.2">
      <c r="B40" s="129"/>
      <c r="C40" s="129"/>
      <c r="D40" s="129"/>
      <c r="E40" s="129"/>
      <c r="F40" s="129"/>
      <c r="G40" s="129"/>
      <c r="H40" s="95" t="s">
        <v>4</v>
      </c>
      <c r="I40" s="14">
        <f t="shared" ref="I40:O40" si="14">SUMIF($H$15:$H$38,"фед*",I$15:I$38)</f>
        <v>581.29999999999995</v>
      </c>
      <c r="J40" s="14">
        <f t="shared" si="14"/>
        <v>66.7</v>
      </c>
      <c r="K40" s="14">
        <f t="shared" si="14"/>
        <v>186.40000000000003</v>
      </c>
      <c r="L40" s="14">
        <f t="shared" si="14"/>
        <v>105.6</v>
      </c>
      <c r="M40" s="14">
        <f t="shared" si="14"/>
        <v>140.99999999999997</v>
      </c>
      <c r="N40" s="14">
        <f t="shared" si="14"/>
        <v>49.2</v>
      </c>
      <c r="O40" s="14">
        <f t="shared" si="14"/>
        <v>32.4</v>
      </c>
      <c r="P40" s="129"/>
      <c r="Q40" s="7"/>
    </row>
    <row r="41" spans="2:17" ht="15.75" x14ac:dyDescent="0.2">
      <c r="B41" s="129"/>
      <c r="C41" s="129"/>
      <c r="D41" s="129"/>
      <c r="E41" s="129"/>
      <c r="F41" s="129"/>
      <c r="G41" s="129"/>
      <c r="H41" s="95" t="s">
        <v>6</v>
      </c>
      <c r="I41" s="14">
        <f t="shared" ref="I41:O41" si="15">SUMIF($H$15:$H$38,"конс*",I$15:I$38)</f>
        <v>245.4</v>
      </c>
      <c r="J41" s="14">
        <f t="shared" si="15"/>
        <v>0.7</v>
      </c>
      <c r="K41" s="14">
        <f t="shared" si="15"/>
        <v>25.9</v>
      </c>
      <c r="L41" s="14">
        <f t="shared" si="15"/>
        <v>70.399999999999991</v>
      </c>
      <c r="M41" s="14">
        <f t="shared" si="15"/>
        <v>94</v>
      </c>
      <c r="N41" s="14">
        <f t="shared" si="15"/>
        <v>32.799999999999997</v>
      </c>
      <c r="O41" s="14">
        <f t="shared" si="15"/>
        <v>21.6</v>
      </c>
      <c r="P41" s="129"/>
      <c r="Q41" s="7"/>
    </row>
    <row r="42" spans="2:17" ht="15.75" x14ac:dyDescent="0.2">
      <c r="B42" s="130"/>
      <c r="C42" s="130"/>
      <c r="D42" s="130"/>
      <c r="E42" s="130"/>
      <c r="F42" s="130"/>
      <c r="G42" s="130"/>
      <c r="H42" s="95" t="s">
        <v>5</v>
      </c>
      <c r="I42" s="14">
        <f t="shared" ref="I42:O42" si="16">SUMIF($H$15:$H$38,"вне*",I$15:I$38)</f>
        <v>0</v>
      </c>
      <c r="J42" s="14">
        <f t="shared" si="16"/>
        <v>0</v>
      </c>
      <c r="K42" s="14">
        <f t="shared" si="16"/>
        <v>0</v>
      </c>
      <c r="L42" s="14">
        <f t="shared" si="16"/>
        <v>0</v>
      </c>
      <c r="M42" s="14">
        <f t="shared" si="16"/>
        <v>0</v>
      </c>
      <c r="N42" s="14">
        <f t="shared" si="16"/>
        <v>0</v>
      </c>
      <c r="O42" s="14">
        <f t="shared" si="16"/>
        <v>0</v>
      </c>
      <c r="P42" s="130"/>
      <c r="Q42" s="7"/>
    </row>
    <row r="43" spans="2:17" ht="25.5" customHeight="1" x14ac:dyDescent="0.2">
      <c r="B43" s="111" t="s">
        <v>32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3"/>
    </row>
    <row r="44" spans="2:17" ht="42.75" outlineLevel="1" x14ac:dyDescent="0.2">
      <c r="B44" s="117" t="s">
        <v>1234</v>
      </c>
      <c r="C44" s="117" t="s">
        <v>1231</v>
      </c>
      <c r="D44" s="117" t="s">
        <v>1235</v>
      </c>
      <c r="E44" s="117" t="s">
        <v>203</v>
      </c>
      <c r="F44" s="117" t="s">
        <v>1236</v>
      </c>
      <c r="G44" s="117" t="s">
        <v>138</v>
      </c>
      <c r="H44" s="95" t="s">
        <v>3</v>
      </c>
      <c r="I44" s="94">
        <f t="shared" ref="I44:I99" si="17">SUM(J44:O44)</f>
        <v>115.3</v>
      </c>
      <c r="J44" s="96">
        <f t="shared" ref="J44:O44" si="18">J45+J46+J47</f>
        <v>50.5</v>
      </c>
      <c r="K44" s="96">
        <f t="shared" si="18"/>
        <v>64.8</v>
      </c>
      <c r="L44" s="96">
        <f t="shared" si="18"/>
        <v>0</v>
      </c>
      <c r="M44" s="96">
        <f t="shared" si="18"/>
        <v>0</v>
      </c>
      <c r="N44" s="96">
        <f t="shared" si="18"/>
        <v>0</v>
      </c>
      <c r="O44" s="96">
        <f t="shared" si="18"/>
        <v>0</v>
      </c>
      <c r="P44" s="117">
        <v>5349</v>
      </c>
    </row>
    <row r="45" spans="2:17" outlineLevel="1" x14ac:dyDescent="0.2">
      <c r="B45" s="118"/>
      <c r="C45" s="132"/>
      <c r="D45" s="118"/>
      <c r="E45" s="118"/>
      <c r="F45" s="118"/>
      <c r="G45" s="118"/>
      <c r="H45" s="95" t="s">
        <v>4</v>
      </c>
      <c r="I45" s="94">
        <f t="shared" si="17"/>
        <v>90</v>
      </c>
      <c r="J45" s="96">
        <v>50</v>
      </c>
      <c r="K45" s="96">
        <v>40</v>
      </c>
      <c r="L45" s="60">
        <v>0</v>
      </c>
      <c r="M45" s="60">
        <v>0</v>
      </c>
      <c r="N45" s="60">
        <v>0</v>
      </c>
      <c r="O45" s="60">
        <v>0</v>
      </c>
      <c r="P45" s="118"/>
    </row>
    <row r="46" spans="2:17" outlineLevel="1" x14ac:dyDescent="0.2">
      <c r="B46" s="118"/>
      <c r="C46" s="132"/>
      <c r="D46" s="118"/>
      <c r="E46" s="118"/>
      <c r="F46" s="118"/>
      <c r="G46" s="118"/>
      <c r="H46" s="95" t="s">
        <v>6</v>
      </c>
      <c r="I46" s="94">
        <f t="shared" si="17"/>
        <v>25.3</v>
      </c>
      <c r="J46" s="96">
        <v>0.5</v>
      </c>
      <c r="K46" s="96">
        <v>24.8</v>
      </c>
      <c r="L46" s="60">
        <v>0</v>
      </c>
      <c r="M46" s="60">
        <v>0</v>
      </c>
      <c r="N46" s="60">
        <v>0</v>
      </c>
      <c r="O46" s="60">
        <v>0</v>
      </c>
      <c r="P46" s="118"/>
    </row>
    <row r="47" spans="2:17" outlineLevel="1" x14ac:dyDescent="0.2">
      <c r="B47" s="119"/>
      <c r="C47" s="133"/>
      <c r="D47" s="119"/>
      <c r="E47" s="119"/>
      <c r="F47" s="119"/>
      <c r="G47" s="119"/>
      <c r="H47" s="95" t="s">
        <v>5</v>
      </c>
      <c r="I47" s="94">
        <f t="shared" si="17"/>
        <v>0</v>
      </c>
      <c r="J47" s="96"/>
      <c r="K47" s="96"/>
      <c r="L47" s="96"/>
      <c r="M47" s="96"/>
      <c r="N47" s="96"/>
      <c r="O47" s="96"/>
      <c r="P47" s="119"/>
    </row>
    <row r="48" spans="2:17" ht="42.75" outlineLevel="1" x14ac:dyDescent="0.2">
      <c r="B48" s="117" t="s">
        <v>1237</v>
      </c>
      <c r="C48" s="117"/>
      <c r="D48" s="178" t="s">
        <v>1238</v>
      </c>
      <c r="E48" s="117" t="s">
        <v>203</v>
      </c>
      <c r="F48" s="117" t="s">
        <v>1239</v>
      </c>
      <c r="G48" s="117" t="s">
        <v>67</v>
      </c>
      <c r="H48" s="95" t="s">
        <v>3</v>
      </c>
      <c r="I48" s="94">
        <f t="shared" si="17"/>
        <v>37.9</v>
      </c>
      <c r="J48" s="96">
        <f t="shared" ref="J48:O48" si="19">J49+J50+J51</f>
        <v>14</v>
      </c>
      <c r="K48" s="96">
        <f t="shared" si="19"/>
        <v>23.9</v>
      </c>
      <c r="L48" s="96">
        <f t="shared" si="19"/>
        <v>0</v>
      </c>
      <c r="M48" s="96">
        <f t="shared" si="19"/>
        <v>0</v>
      </c>
      <c r="N48" s="96">
        <f t="shared" si="19"/>
        <v>0</v>
      </c>
      <c r="O48" s="96">
        <f t="shared" si="19"/>
        <v>0</v>
      </c>
      <c r="P48" s="117">
        <v>986</v>
      </c>
    </row>
    <row r="49" spans="2:16" outlineLevel="1" x14ac:dyDescent="0.2">
      <c r="B49" s="118"/>
      <c r="C49" s="132"/>
      <c r="D49" s="178"/>
      <c r="E49" s="118"/>
      <c r="F49" s="118"/>
      <c r="G49" s="118"/>
      <c r="H49" s="95" t="s">
        <v>4</v>
      </c>
      <c r="I49" s="94">
        <f t="shared" si="17"/>
        <v>0</v>
      </c>
      <c r="J49" s="96"/>
      <c r="K49" s="96"/>
      <c r="L49" s="60">
        <v>0</v>
      </c>
      <c r="M49" s="60">
        <v>0</v>
      </c>
      <c r="N49" s="60">
        <v>0</v>
      </c>
      <c r="O49" s="60">
        <v>0</v>
      </c>
      <c r="P49" s="118"/>
    </row>
    <row r="50" spans="2:16" outlineLevel="1" x14ac:dyDescent="0.2">
      <c r="B50" s="118"/>
      <c r="C50" s="132"/>
      <c r="D50" s="178"/>
      <c r="E50" s="118"/>
      <c r="F50" s="118"/>
      <c r="G50" s="118"/>
      <c r="H50" s="95" t="s">
        <v>6</v>
      </c>
      <c r="I50" s="94">
        <f t="shared" si="17"/>
        <v>37.9</v>
      </c>
      <c r="J50" s="96">
        <v>14</v>
      </c>
      <c r="K50" s="96">
        <v>23.9</v>
      </c>
      <c r="L50" s="60">
        <v>0</v>
      </c>
      <c r="M50" s="60">
        <v>0</v>
      </c>
      <c r="N50" s="60">
        <v>0</v>
      </c>
      <c r="O50" s="60">
        <v>0</v>
      </c>
      <c r="P50" s="118"/>
    </row>
    <row r="51" spans="2:16" outlineLevel="1" x14ac:dyDescent="0.2">
      <c r="B51" s="119"/>
      <c r="C51" s="133"/>
      <c r="D51" s="178"/>
      <c r="E51" s="119"/>
      <c r="F51" s="119"/>
      <c r="G51" s="119"/>
      <c r="H51" s="95" t="s">
        <v>5</v>
      </c>
      <c r="I51" s="94">
        <f t="shared" si="17"/>
        <v>0</v>
      </c>
      <c r="J51" s="96"/>
      <c r="K51" s="96"/>
      <c r="L51" s="96"/>
      <c r="M51" s="96"/>
      <c r="N51" s="96"/>
      <c r="O51" s="96"/>
      <c r="P51" s="119"/>
    </row>
    <row r="52" spans="2:16" ht="42.75" outlineLevel="1" x14ac:dyDescent="0.2">
      <c r="B52" s="117" t="s">
        <v>1240</v>
      </c>
      <c r="C52" s="117"/>
      <c r="D52" s="178" t="s">
        <v>1241</v>
      </c>
      <c r="E52" s="117" t="s">
        <v>203</v>
      </c>
      <c r="F52" s="117" t="s">
        <v>1242</v>
      </c>
      <c r="G52" s="117" t="s">
        <v>67</v>
      </c>
      <c r="H52" s="95" t="s">
        <v>3</v>
      </c>
      <c r="I52" s="94">
        <f t="shared" si="17"/>
        <v>18</v>
      </c>
      <c r="J52" s="96">
        <f t="shared" ref="J52:O52" si="20">J53+J54+J55</f>
        <v>10.6</v>
      </c>
      <c r="K52" s="96">
        <f t="shared" si="20"/>
        <v>7.4</v>
      </c>
      <c r="L52" s="96">
        <f t="shared" si="20"/>
        <v>0</v>
      </c>
      <c r="M52" s="96">
        <f t="shared" si="20"/>
        <v>0</v>
      </c>
      <c r="N52" s="96">
        <f t="shared" si="20"/>
        <v>0</v>
      </c>
      <c r="O52" s="96">
        <f t="shared" si="20"/>
        <v>0</v>
      </c>
      <c r="P52" s="117">
        <v>5349</v>
      </c>
    </row>
    <row r="53" spans="2:16" outlineLevel="1" x14ac:dyDescent="0.2">
      <c r="B53" s="118"/>
      <c r="C53" s="132"/>
      <c r="D53" s="178"/>
      <c r="E53" s="118"/>
      <c r="F53" s="118"/>
      <c r="G53" s="118"/>
      <c r="H53" s="95" t="s">
        <v>4</v>
      </c>
      <c r="I53" s="94">
        <f t="shared" si="17"/>
        <v>0</v>
      </c>
      <c r="J53" s="96"/>
      <c r="K53" s="96"/>
      <c r="L53" s="60">
        <v>0</v>
      </c>
      <c r="M53" s="60">
        <v>0</v>
      </c>
      <c r="N53" s="60">
        <v>0</v>
      </c>
      <c r="O53" s="60">
        <v>0</v>
      </c>
      <c r="P53" s="118"/>
    </row>
    <row r="54" spans="2:16" outlineLevel="1" x14ac:dyDescent="0.2">
      <c r="B54" s="118"/>
      <c r="C54" s="132"/>
      <c r="D54" s="178"/>
      <c r="E54" s="118"/>
      <c r="F54" s="118"/>
      <c r="G54" s="118"/>
      <c r="H54" s="95" t="s">
        <v>6</v>
      </c>
      <c r="I54" s="94">
        <f t="shared" si="17"/>
        <v>18</v>
      </c>
      <c r="J54" s="96">
        <v>10.6</v>
      </c>
      <c r="K54" s="96">
        <v>7.4</v>
      </c>
      <c r="L54" s="60">
        <v>0</v>
      </c>
      <c r="M54" s="60">
        <v>0</v>
      </c>
      <c r="N54" s="60">
        <v>0</v>
      </c>
      <c r="O54" s="60">
        <v>0</v>
      </c>
      <c r="P54" s="118"/>
    </row>
    <row r="55" spans="2:16" outlineLevel="1" x14ac:dyDescent="0.2">
      <c r="B55" s="119"/>
      <c r="C55" s="133"/>
      <c r="D55" s="178"/>
      <c r="E55" s="119"/>
      <c r="F55" s="119"/>
      <c r="G55" s="119"/>
      <c r="H55" s="95" t="s">
        <v>5</v>
      </c>
      <c r="I55" s="94">
        <f t="shared" si="17"/>
        <v>0</v>
      </c>
      <c r="J55" s="96"/>
      <c r="K55" s="96"/>
      <c r="L55" s="96"/>
      <c r="M55" s="96"/>
      <c r="N55" s="96"/>
      <c r="O55" s="96"/>
      <c r="P55" s="119"/>
    </row>
    <row r="56" spans="2:16" ht="42.75" outlineLevel="1" x14ac:dyDescent="0.2">
      <c r="B56" s="117" t="s">
        <v>1243</v>
      </c>
      <c r="C56" s="117"/>
      <c r="D56" s="178" t="s">
        <v>1244</v>
      </c>
      <c r="E56" s="117" t="s">
        <v>50</v>
      </c>
      <c r="F56" s="117" t="s">
        <v>1047</v>
      </c>
      <c r="G56" s="117" t="s">
        <v>138</v>
      </c>
      <c r="H56" s="95" t="s">
        <v>3</v>
      </c>
      <c r="I56" s="94">
        <f t="shared" si="17"/>
        <v>35</v>
      </c>
      <c r="J56" s="96">
        <f t="shared" ref="J56:O56" si="21">J57+J58+J59</f>
        <v>0</v>
      </c>
      <c r="K56" s="96">
        <f t="shared" si="21"/>
        <v>16</v>
      </c>
      <c r="L56" s="96">
        <f t="shared" si="21"/>
        <v>19</v>
      </c>
      <c r="M56" s="96">
        <f t="shared" si="21"/>
        <v>0</v>
      </c>
      <c r="N56" s="96">
        <f t="shared" si="21"/>
        <v>0</v>
      </c>
      <c r="O56" s="96">
        <f t="shared" si="21"/>
        <v>0</v>
      </c>
      <c r="P56" s="117">
        <v>5218</v>
      </c>
    </row>
    <row r="57" spans="2:16" outlineLevel="1" x14ac:dyDescent="0.2">
      <c r="B57" s="118"/>
      <c r="C57" s="132"/>
      <c r="D57" s="178"/>
      <c r="E57" s="118"/>
      <c r="F57" s="118"/>
      <c r="G57" s="118"/>
      <c r="H57" s="95" t="s">
        <v>4</v>
      </c>
      <c r="I57" s="94">
        <f t="shared" si="17"/>
        <v>0</v>
      </c>
      <c r="J57" s="96"/>
      <c r="K57" s="96"/>
      <c r="L57" s="60">
        <v>0</v>
      </c>
      <c r="M57" s="60">
        <v>0</v>
      </c>
      <c r="N57" s="60">
        <v>0</v>
      </c>
      <c r="O57" s="60">
        <v>0</v>
      </c>
      <c r="P57" s="118"/>
    </row>
    <row r="58" spans="2:16" outlineLevel="1" x14ac:dyDescent="0.2">
      <c r="B58" s="118"/>
      <c r="C58" s="132"/>
      <c r="D58" s="178"/>
      <c r="E58" s="118"/>
      <c r="F58" s="118"/>
      <c r="G58" s="118"/>
      <c r="H58" s="95" t="s">
        <v>6</v>
      </c>
      <c r="I58" s="94">
        <f t="shared" si="17"/>
        <v>35</v>
      </c>
      <c r="J58" s="96"/>
      <c r="K58" s="96">
        <v>16</v>
      </c>
      <c r="L58" s="60">
        <v>19</v>
      </c>
      <c r="M58" s="60">
        <v>0</v>
      </c>
      <c r="N58" s="60">
        <v>0</v>
      </c>
      <c r="O58" s="60">
        <v>0</v>
      </c>
      <c r="P58" s="118"/>
    </row>
    <row r="59" spans="2:16" outlineLevel="1" x14ac:dyDescent="0.2">
      <c r="B59" s="119"/>
      <c r="C59" s="133"/>
      <c r="D59" s="178"/>
      <c r="E59" s="119"/>
      <c r="F59" s="119"/>
      <c r="G59" s="119"/>
      <c r="H59" s="95" t="s">
        <v>5</v>
      </c>
      <c r="I59" s="94">
        <f t="shared" si="17"/>
        <v>0</v>
      </c>
      <c r="J59" s="96"/>
      <c r="K59" s="96"/>
      <c r="L59" s="96"/>
      <c r="M59" s="96"/>
      <c r="N59" s="96"/>
      <c r="O59" s="96"/>
      <c r="P59" s="119"/>
    </row>
    <row r="60" spans="2:16" ht="42.75" outlineLevel="1" x14ac:dyDescent="0.2">
      <c r="B60" s="117" t="s">
        <v>1245</v>
      </c>
      <c r="C60" s="117"/>
      <c r="D60" s="178" t="s">
        <v>1244</v>
      </c>
      <c r="E60" s="117">
        <v>2021</v>
      </c>
      <c r="F60" s="117" t="s">
        <v>1246</v>
      </c>
      <c r="G60" s="117" t="s">
        <v>67</v>
      </c>
      <c r="H60" s="95" t="s">
        <v>3</v>
      </c>
      <c r="I60" s="94">
        <f t="shared" si="17"/>
        <v>4</v>
      </c>
      <c r="J60" s="96">
        <f t="shared" ref="J60:O60" si="22">J61+J62+J63</f>
        <v>0</v>
      </c>
      <c r="K60" s="96">
        <f t="shared" si="22"/>
        <v>4</v>
      </c>
      <c r="L60" s="96">
        <f t="shared" si="22"/>
        <v>0</v>
      </c>
      <c r="M60" s="96">
        <f t="shared" si="22"/>
        <v>0</v>
      </c>
      <c r="N60" s="96">
        <f t="shared" si="22"/>
        <v>0</v>
      </c>
      <c r="O60" s="96">
        <f t="shared" si="22"/>
        <v>0</v>
      </c>
      <c r="P60" s="117">
        <v>5218</v>
      </c>
    </row>
    <row r="61" spans="2:16" outlineLevel="1" x14ac:dyDescent="0.2">
      <c r="B61" s="118"/>
      <c r="C61" s="132"/>
      <c r="D61" s="178"/>
      <c r="E61" s="118"/>
      <c r="F61" s="118"/>
      <c r="G61" s="118"/>
      <c r="H61" s="95" t="s">
        <v>4</v>
      </c>
      <c r="I61" s="94">
        <f t="shared" si="17"/>
        <v>0</v>
      </c>
      <c r="J61" s="96"/>
      <c r="K61" s="96"/>
      <c r="L61" s="60">
        <v>0</v>
      </c>
      <c r="M61" s="60">
        <v>0</v>
      </c>
      <c r="N61" s="60">
        <v>0</v>
      </c>
      <c r="O61" s="60">
        <v>0</v>
      </c>
      <c r="P61" s="118"/>
    </row>
    <row r="62" spans="2:16" outlineLevel="1" x14ac:dyDescent="0.2">
      <c r="B62" s="118"/>
      <c r="C62" s="132"/>
      <c r="D62" s="178"/>
      <c r="E62" s="118"/>
      <c r="F62" s="118"/>
      <c r="G62" s="118"/>
      <c r="H62" s="95" t="s">
        <v>6</v>
      </c>
      <c r="I62" s="94">
        <f t="shared" si="17"/>
        <v>4</v>
      </c>
      <c r="J62" s="96"/>
      <c r="K62" s="96">
        <v>4</v>
      </c>
      <c r="L62" s="60">
        <v>0</v>
      </c>
      <c r="M62" s="60">
        <v>0</v>
      </c>
      <c r="N62" s="60">
        <v>0</v>
      </c>
      <c r="O62" s="60">
        <v>0</v>
      </c>
      <c r="P62" s="118"/>
    </row>
    <row r="63" spans="2:16" outlineLevel="1" x14ac:dyDescent="0.2">
      <c r="B63" s="119"/>
      <c r="C63" s="133"/>
      <c r="D63" s="178"/>
      <c r="E63" s="119"/>
      <c r="F63" s="119"/>
      <c r="G63" s="119"/>
      <c r="H63" s="95" t="s">
        <v>5</v>
      </c>
      <c r="I63" s="94">
        <f t="shared" si="17"/>
        <v>0</v>
      </c>
      <c r="J63" s="96"/>
      <c r="K63" s="96"/>
      <c r="L63" s="96"/>
      <c r="M63" s="96"/>
      <c r="N63" s="96"/>
      <c r="O63" s="96"/>
      <c r="P63" s="119"/>
    </row>
    <row r="64" spans="2:16" ht="42.75" outlineLevel="1" x14ac:dyDescent="0.2">
      <c r="B64" s="117" t="s">
        <v>1247</v>
      </c>
      <c r="C64" s="117"/>
      <c r="D64" s="178" t="s">
        <v>1248</v>
      </c>
      <c r="E64" s="117">
        <v>2022</v>
      </c>
      <c r="F64" s="117">
        <v>160</v>
      </c>
      <c r="G64" s="117" t="s">
        <v>1249</v>
      </c>
      <c r="H64" s="95" t="s">
        <v>3</v>
      </c>
      <c r="I64" s="94">
        <f t="shared" si="17"/>
        <v>61.3</v>
      </c>
      <c r="J64" s="96">
        <f t="shared" ref="J64:O64" si="23">J65+J66+J67</f>
        <v>0</v>
      </c>
      <c r="K64" s="96"/>
      <c r="L64" s="96">
        <f t="shared" ref="L64" si="24">L65+L66+L67</f>
        <v>61.3</v>
      </c>
      <c r="M64" s="96">
        <f t="shared" si="23"/>
        <v>0</v>
      </c>
      <c r="N64" s="96">
        <f t="shared" si="23"/>
        <v>0</v>
      </c>
      <c r="O64" s="96">
        <f t="shared" si="23"/>
        <v>0</v>
      </c>
      <c r="P64" s="117">
        <v>360</v>
      </c>
    </row>
    <row r="65" spans="2:16" outlineLevel="1" x14ac:dyDescent="0.2">
      <c r="B65" s="118"/>
      <c r="C65" s="132"/>
      <c r="D65" s="178"/>
      <c r="E65" s="118"/>
      <c r="F65" s="118"/>
      <c r="G65" s="118"/>
      <c r="H65" s="95" t="s">
        <v>4</v>
      </c>
      <c r="I65" s="94">
        <f t="shared" si="17"/>
        <v>0</v>
      </c>
      <c r="J65" s="96"/>
      <c r="K65" s="96"/>
      <c r="L65" s="96"/>
      <c r="M65" s="60">
        <v>0</v>
      </c>
      <c r="N65" s="60">
        <v>0</v>
      </c>
      <c r="O65" s="60">
        <v>0</v>
      </c>
      <c r="P65" s="118"/>
    </row>
    <row r="66" spans="2:16" outlineLevel="1" x14ac:dyDescent="0.2">
      <c r="B66" s="118"/>
      <c r="C66" s="132"/>
      <c r="D66" s="178"/>
      <c r="E66" s="118"/>
      <c r="F66" s="118"/>
      <c r="G66" s="118"/>
      <c r="H66" s="95" t="s">
        <v>6</v>
      </c>
      <c r="I66" s="94">
        <f t="shared" si="17"/>
        <v>61.3</v>
      </c>
      <c r="J66" s="96"/>
      <c r="K66" s="96"/>
      <c r="L66" s="96">
        <v>61.3</v>
      </c>
      <c r="M66" s="60">
        <v>0</v>
      </c>
      <c r="N66" s="60">
        <v>0</v>
      </c>
      <c r="O66" s="60">
        <v>0</v>
      </c>
      <c r="P66" s="118"/>
    </row>
    <row r="67" spans="2:16" outlineLevel="1" x14ac:dyDescent="0.2">
      <c r="B67" s="119"/>
      <c r="C67" s="133"/>
      <c r="D67" s="178"/>
      <c r="E67" s="119"/>
      <c r="F67" s="119"/>
      <c r="G67" s="119"/>
      <c r="H67" s="95" t="s">
        <v>5</v>
      </c>
      <c r="I67" s="94">
        <f t="shared" si="17"/>
        <v>0</v>
      </c>
      <c r="J67" s="96"/>
      <c r="K67" s="96"/>
      <c r="L67" s="96"/>
      <c r="M67" s="96"/>
      <c r="N67" s="96"/>
      <c r="O67" s="96"/>
      <c r="P67" s="119"/>
    </row>
    <row r="68" spans="2:16" ht="42.75" outlineLevel="1" x14ac:dyDescent="0.2">
      <c r="B68" s="117" t="s">
        <v>1250</v>
      </c>
      <c r="C68" s="117"/>
      <c r="D68" s="178" t="s">
        <v>1251</v>
      </c>
      <c r="E68" s="117" t="s">
        <v>50</v>
      </c>
      <c r="F68" s="117">
        <v>67</v>
      </c>
      <c r="G68" s="117" t="s">
        <v>138</v>
      </c>
      <c r="H68" s="95" t="s">
        <v>3</v>
      </c>
      <c r="I68" s="94">
        <f t="shared" si="17"/>
        <v>71.3</v>
      </c>
      <c r="J68" s="96">
        <f t="shared" ref="J68:O68" si="25">J69+J70+J71</f>
        <v>0</v>
      </c>
      <c r="K68" s="96">
        <f t="shared" si="25"/>
        <v>48.3</v>
      </c>
      <c r="L68" s="96">
        <f t="shared" si="25"/>
        <v>23</v>
      </c>
      <c r="M68" s="96">
        <f t="shared" si="25"/>
        <v>0</v>
      </c>
      <c r="N68" s="96">
        <f t="shared" si="25"/>
        <v>0</v>
      </c>
      <c r="O68" s="96">
        <f t="shared" si="25"/>
        <v>0</v>
      </c>
      <c r="P68" s="117">
        <v>967</v>
      </c>
    </row>
    <row r="69" spans="2:16" outlineLevel="1" x14ac:dyDescent="0.2">
      <c r="B69" s="118"/>
      <c r="C69" s="132"/>
      <c r="D69" s="178"/>
      <c r="E69" s="118"/>
      <c r="F69" s="118"/>
      <c r="G69" s="118"/>
      <c r="H69" s="95" t="s">
        <v>4</v>
      </c>
      <c r="I69" s="94">
        <f t="shared" si="17"/>
        <v>0</v>
      </c>
      <c r="J69" s="96"/>
      <c r="K69" s="96"/>
      <c r="L69" s="60">
        <v>0</v>
      </c>
      <c r="M69" s="60">
        <v>0</v>
      </c>
      <c r="N69" s="60">
        <v>0</v>
      </c>
      <c r="O69" s="60">
        <v>0</v>
      </c>
      <c r="P69" s="118"/>
    </row>
    <row r="70" spans="2:16" outlineLevel="1" x14ac:dyDescent="0.2">
      <c r="B70" s="118"/>
      <c r="C70" s="132"/>
      <c r="D70" s="178"/>
      <c r="E70" s="118"/>
      <c r="F70" s="118"/>
      <c r="G70" s="118"/>
      <c r="H70" s="95" t="s">
        <v>6</v>
      </c>
      <c r="I70" s="94">
        <f t="shared" si="17"/>
        <v>71.3</v>
      </c>
      <c r="J70" s="96"/>
      <c r="K70" s="96">
        <v>48.3</v>
      </c>
      <c r="L70" s="60">
        <v>23</v>
      </c>
      <c r="M70" s="60">
        <v>0</v>
      </c>
      <c r="N70" s="60">
        <v>0</v>
      </c>
      <c r="O70" s="60">
        <v>0</v>
      </c>
      <c r="P70" s="118"/>
    </row>
    <row r="71" spans="2:16" outlineLevel="1" x14ac:dyDescent="0.2">
      <c r="B71" s="119"/>
      <c r="C71" s="133"/>
      <c r="D71" s="178"/>
      <c r="E71" s="119"/>
      <c r="F71" s="119"/>
      <c r="G71" s="119"/>
      <c r="H71" s="95" t="s">
        <v>5</v>
      </c>
      <c r="I71" s="94">
        <f t="shared" si="17"/>
        <v>0</v>
      </c>
      <c r="J71" s="96"/>
      <c r="K71" s="96"/>
      <c r="L71" s="96"/>
      <c r="M71" s="96"/>
      <c r="N71" s="96"/>
      <c r="O71" s="96"/>
      <c r="P71" s="119"/>
    </row>
    <row r="72" spans="2:16" ht="42.75" outlineLevel="1" x14ac:dyDescent="0.2">
      <c r="B72" s="117" t="s">
        <v>1252</v>
      </c>
      <c r="C72" s="117"/>
      <c r="D72" s="178" t="s">
        <v>1253</v>
      </c>
      <c r="E72" s="117">
        <v>2023</v>
      </c>
      <c r="F72" s="117">
        <v>320</v>
      </c>
      <c r="G72" s="117" t="s">
        <v>138</v>
      </c>
      <c r="H72" s="95" t="s">
        <v>3</v>
      </c>
      <c r="I72" s="94">
        <f t="shared" si="17"/>
        <v>50</v>
      </c>
      <c r="J72" s="96">
        <f t="shared" ref="J72:O72" si="26">J73+J74+J75</f>
        <v>0</v>
      </c>
      <c r="K72" s="96">
        <f t="shared" si="26"/>
        <v>0</v>
      </c>
      <c r="L72" s="96">
        <f t="shared" si="26"/>
        <v>0</v>
      </c>
      <c r="M72" s="96">
        <f t="shared" si="26"/>
        <v>50</v>
      </c>
      <c r="N72" s="96">
        <f t="shared" si="26"/>
        <v>0</v>
      </c>
      <c r="O72" s="96">
        <f t="shared" si="26"/>
        <v>0</v>
      </c>
      <c r="P72" s="117">
        <v>1399</v>
      </c>
    </row>
    <row r="73" spans="2:16" outlineLevel="1" x14ac:dyDescent="0.2">
      <c r="B73" s="118"/>
      <c r="C73" s="132"/>
      <c r="D73" s="178"/>
      <c r="E73" s="118"/>
      <c r="F73" s="118"/>
      <c r="G73" s="118"/>
      <c r="H73" s="95" t="s">
        <v>4</v>
      </c>
      <c r="I73" s="94">
        <f t="shared" si="17"/>
        <v>0</v>
      </c>
      <c r="J73" s="96"/>
      <c r="K73" s="96"/>
      <c r="L73" s="60">
        <v>0</v>
      </c>
      <c r="M73" s="60">
        <v>0</v>
      </c>
      <c r="N73" s="60">
        <v>0</v>
      </c>
      <c r="O73" s="60">
        <v>0</v>
      </c>
      <c r="P73" s="118"/>
    </row>
    <row r="74" spans="2:16" outlineLevel="1" x14ac:dyDescent="0.2">
      <c r="B74" s="118"/>
      <c r="C74" s="132"/>
      <c r="D74" s="178"/>
      <c r="E74" s="118"/>
      <c r="F74" s="118"/>
      <c r="G74" s="118"/>
      <c r="H74" s="95" t="s">
        <v>6</v>
      </c>
      <c r="I74" s="94">
        <f t="shared" si="17"/>
        <v>50</v>
      </c>
      <c r="J74" s="96"/>
      <c r="K74" s="96"/>
      <c r="L74" s="60">
        <v>0</v>
      </c>
      <c r="M74" s="60">
        <v>50</v>
      </c>
      <c r="N74" s="60">
        <v>0</v>
      </c>
      <c r="O74" s="60">
        <v>0</v>
      </c>
      <c r="P74" s="118"/>
    </row>
    <row r="75" spans="2:16" outlineLevel="1" x14ac:dyDescent="0.2">
      <c r="B75" s="119"/>
      <c r="C75" s="133"/>
      <c r="D75" s="178"/>
      <c r="E75" s="119"/>
      <c r="F75" s="119"/>
      <c r="G75" s="119"/>
      <c r="H75" s="95" t="s">
        <v>5</v>
      </c>
      <c r="I75" s="94">
        <f t="shared" si="17"/>
        <v>0</v>
      </c>
      <c r="J75" s="96"/>
      <c r="K75" s="96"/>
      <c r="L75" s="96"/>
      <c r="M75" s="96"/>
      <c r="N75" s="96"/>
      <c r="O75" s="96"/>
      <c r="P75" s="119"/>
    </row>
    <row r="76" spans="2:16" ht="42.75" outlineLevel="1" x14ac:dyDescent="0.2">
      <c r="B76" s="117" t="s">
        <v>1254</v>
      </c>
      <c r="C76" s="117"/>
      <c r="D76" s="178" t="s">
        <v>1244</v>
      </c>
      <c r="E76" s="117">
        <v>2024</v>
      </c>
      <c r="F76" s="117">
        <v>110</v>
      </c>
      <c r="G76" s="117" t="s">
        <v>138</v>
      </c>
      <c r="H76" s="95" t="s">
        <v>3</v>
      </c>
      <c r="I76" s="94">
        <f t="shared" si="17"/>
        <v>14</v>
      </c>
      <c r="J76" s="96">
        <f t="shared" ref="J76:O76" si="27">J77+J78+J79</f>
        <v>0</v>
      </c>
      <c r="K76" s="96">
        <f t="shared" si="27"/>
        <v>0</v>
      </c>
      <c r="L76" s="96">
        <f t="shared" si="27"/>
        <v>0</v>
      </c>
      <c r="M76" s="96">
        <f t="shared" si="27"/>
        <v>0</v>
      </c>
      <c r="N76" s="96">
        <f t="shared" si="27"/>
        <v>14</v>
      </c>
      <c r="O76" s="96">
        <f t="shared" si="27"/>
        <v>0</v>
      </c>
      <c r="P76" s="117">
        <v>5218</v>
      </c>
    </row>
    <row r="77" spans="2:16" outlineLevel="1" x14ac:dyDescent="0.2">
      <c r="B77" s="118"/>
      <c r="C77" s="132"/>
      <c r="D77" s="178"/>
      <c r="E77" s="118"/>
      <c r="F77" s="118"/>
      <c r="G77" s="118"/>
      <c r="H77" s="95" t="s">
        <v>4</v>
      </c>
      <c r="I77" s="94">
        <f t="shared" si="17"/>
        <v>0</v>
      </c>
      <c r="J77" s="96"/>
      <c r="K77" s="96"/>
      <c r="L77" s="60">
        <v>0</v>
      </c>
      <c r="M77" s="60">
        <v>0</v>
      </c>
      <c r="N77" s="60">
        <v>0</v>
      </c>
      <c r="O77" s="60">
        <v>0</v>
      </c>
      <c r="P77" s="118"/>
    </row>
    <row r="78" spans="2:16" outlineLevel="1" x14ac:dyDescent="0.2">
      <c r="B78" s="118"/>
      <c r="C78" s="132"/>
      <c r="D78" s="178"/>
      <c r="E78" s="118"/>
      <c r="F78" s="118"/>
      <c r="G78" s="118"/>
      <c r="H78" s="95" t="s">
        <v>6</v>
      </c>
      <c r="I78" s="94">
        <f t="shared" si="17"/>
        <v>14</v>
      </c>
      <c r="J78" s="96"/>
      <c r="K78" s="96"/>
      <c r="L78" s="60">
        <v>0</v>
      </c>
      <c r="M78" s="60">
        <v>0</v>
      </c>
      <c r="N78" s="60">
        <v>14</v>
      </c>
      <c r="O78" s="60">
        <v>0</v>
      </c>
      <c r="P78" s="118"/>
    </row>
    <row r="79" spans="2:16" outlineLevel="1" x14ac:dyDescent="0.2">
      <c r="B79" s="119"/>
      <c r="C79" s="133"/>
      <c r="D79" s="178"/>
      <c r="E79" s="119"/>
      <c r="F79" s="119"/>
      <c r="G79" s="119"/>
      <c r="H79" s="95" t="s">
        <v>5</v>
      </c>
      <c r="I79" s="94">
        <f t="shared" si="17"/>
        <v>0</v>
      </c>
      <c r="J79" s="96"/>
      <c r="K79" s="96"/>
      <c r="L79" s="96"/>
      <c r="M79" s="96"/>
      <c r="N79" s="96"/>
      <c r="O79" s="96"/>
      <c r="P79" s="119"/>
    </row>
    <row r="80" spans="2:16" ht="42.75" outlineLevel="1" x14ac:dyDescent="0.2">
      <c r="B80" s="117" t="s">
        <v>1255</v>
      </c>
      <c r="C80" s="117"/>
      <c r="D80" s="178" t="s">
        <v>1256</v>
      </c>
      <c r="E80" s="117">
        <v>2024</v>
      </c>
      <c r="F80" s="117">
        <v>250</v>
      </c>
      <c r="G80" s="117" t="s">
        <v>138</v>
      </c>
      <c r="H80" s="95" t="s">
        <v>3</v>
      </c>
      <c r="I80" s="94">
        <f t="shared" si="17"/>
        <v>70</v>
      </c>
      <c r="J80" s="96">
        <f t="shared" ref="J80:O80" si="28">J81+J82+J83</f>
        <v>0</v>
      </c>
      <c r="K80" s="96">
        <f t="shared" si="28"/>
        <v>0</v>
      </c>
      <c r="L80" s="96">
        <f t="shared" si="28"/>
        <v>0</v>
      </c>
      <c r="M80" s="96">
        <f t="shared" si="28"/>
        <v>0</v>
      </c>
      <c r="N80" s="96">
        <f t="shared" si="28"/>
        <v>70</v>
      </c>
      <c r="O80" s="96">
        <f t="shared" si="28"/>
        <v>0</v>
      </c>
      <c r="P80" s="117">
        <v>879</v>
      </c>
    </row>
    <row r="81" spans="2:16" outlineLevel="1" x14ac:dyDescent="0.2">
      <c r="B81" s="118"/>
      <c r="C81" s="132"/>
      <c r="D81" s="178"/>
      <c r="E81" s="118"/>
      <c r="F81" s="118"/>
      <c r="G81" s="118"/>
      <c r="H81" s="95" t="s">
        <v>4</v>
      </c>
      <c r="I81" s="94">
        <f t="shared" si="17"/>
        <v>0</v>
      </c>
      <c r="J81" s="96"/>
      <c r="K81" s="96"/>
      <c r="L81" s="60">
        <v>0</v>
      </c>
      <c r="M81" s="60">
        <v>0</v>
      </c>
      <c r="N81" s="60">
        <v>0</v>
      </c>
      <c r="O81" s="60">
        <v>0</v>
      </c>
      <c r="P81" s="118"/>
    </row>
    <row r="82" spans="2:16" outlineLevel="1" x14ac:dyDescent="0.2">
      <c r="B82" s="118"/>
      <c r="C82" s="132"/>
      <c r="D82" s="178"/>
      <c r="E82" s="118"/>
      <c r="F82" s="118"/>
      <c r="G82" s="118"/>
      <c r="H82" s="95" t="s">
        <v>6</v>
      </c>
      <c r="I82" s="94">
        <f t="shared" si="17"/>
        <v>70</v>
      </c>
      <c r="J82" s="96"/>
      <c r="K82" s="96"/>
      <c r="L82" s="60">
        <v>0</v>
      </c>
      <c r="M82" s="60">
        <v>0</v>
      </c>
      <c r="N82" s="60">
        <v>70</v>
      </c>
      <c r="O82" s="60">
        <v>0</v>
      </c>
      <c r="P82" s="118"/>
    </row>
    <row r="83" spans="2:16" outlineLevel="1" x14ac:dyDescent="0.2">
      <c r="B83" s="119"/>
      <c r="C83" s="133"/>
      <c r="D83" s="178"/>
      <c r="E83" s="119"/>
      <c r="F83" s="119"/>
      <c r="G83" s="119"/>
      <c r="H83" s="95" t="s">
        <v>5</v>
      </c>
      <c r="I83" s="94">
        <f t="shared" si="17"/>
        <v>0</v>
      </c>
      <c r="J83" s="96"/>
      <c r="K83" s="96"/>
      <c r="L83" s="96"/>
      <c r="M83" s="96"/>
      <c r="N83" s="96"/>
      <c r="O83" s="96"/>
      <c r="P83" s="119"/>
    </row>
    <row r="84" spans="2:16" ht="42.75" outlineLevel="1" x14ac:dyDescent="0.2">
      <c r="B84" s="117" t="s">
        <v>1257</v>
      </c>
      <c r="C84" s="117"/>
      <c r="D84" s="117" t="s">
        <v>1244</v>
      </c>
      <c r="E84" s="117">
        <v>2025</v>
      </c>
      <c r="F84" s="117">
        <v>1047</v>
      </c>
      <c r="G84" s="117" t="s">
        <v>138</v>
      </c>
      <c r="H84" s="95" t="s">
        <v>3</v>
      </c>
      <c r="I84" s="94">
        <f t="shared" si="17"/>
        <v>42</v>
      </c>
      <c r="J84" s="96">
        <f t="shared" ref="J84:O84" si="29">J85+J86+J87</f>
        <v>0</v>
      </c>
      <c r="K84" s="96">
        <f t="shared" si="29"/>
        <v>0</v>
      </c>
      <c r="L84" s="96">
        <f t="shared" si="29"/>
        <v>0</v>
      </c>
      <c r="M84" s="96">
        <f t="shared" si="29"/>
        <v>0</v>
      </c>
      <c r="N84" s="96"/>
      <c r="O84" s="96">
        <f t="shared" si="29"/>
        <v>42</v>
      </c>
      <c r="P84" s="117">
        <v>5218</v>
      </c>
    </row>
    <row r="85" spans="2:16" outlineLevel="1" x14ac:dyDescent="0.2">
      <c r="B85" s="118"/>
      <c r="C85" s="132"/>
      <c r="D85" s="118"/>
      <c r="E85" s="118"/>
      <c r="F85" s="118"/>
      <c r="G85" s="118"/>
      <c r="H85" s="95" t="s">
        <v>4</v>
      </c>
      <c r="I85" s="94">
        <f t="shared" si="17"/>
        <v>0</v>
      </c>
      <c r="J85" s="96"/>
      <c r="K85" s="96"/>
      <c r="L85" s="60">
        <v>0</v>
      </c>
      <c r="M85" s="60">
        <v>0</v>
      </c>
      <c r="N85" s="60"/>
      <c r="O85" s="60">
        <v>0</v>
      </c>
      <c r="P85" s="118"/>
    </row>
    <row r="86" spans="2:16" outlineLevel="1" x14ac:dyDescent="0.2">
      <c r="B86" s="118"/>
      <c r="C86" s="132"/>
      <c r="D86" s="118"/>
      <c r="E86" s="118"/>
      <c r="F86" s="118"/>
      <c r="G86" s="118"/>
      <c r="H86" s="95" t="s">
        <v>6</v>
      </c>
      <c r="I86" s="94">
        <f t="shared" si="17"/>
        <v>42</v>
      </c>
      <c r="J86" s="96"/>
      <c r="K86" s="96"/>
      <c r="L86" s="60">
        <v>0</v>
      </c>
      <c r="M86" s="60">
        <v>0</v>
      </c>
      <c r="N86" s="60"/>
      <c r="O86" s="60">
        <v>42</v>
      </c>
      <c r="P86" s="118"/>
    </row>
    <row r="87" spans="2:16" outlineLevel="1" x14ac:dyDescent="0.2">
      <c r="B87" s="119"/>
      <c r="C87" s="133"/>
      <c r="D87" s="119"/>
      <c r="E87" s="119"/>
      <c r="F87" s="119"/>
      <c r="G87" s="119"/>
      <c r="H87" s="95" t="s">
        <v>5</v>
      </c>
      <c r="I87" s="94">
        <f t="shared" si="17"/>
        <v>0</v>
      </c>
      <c r="J87" s="96"/>
      <c r="K87" s="96"/>
      <c r="L87" s="96"/>
      <c r="M87" s="96"/>
      <c r="N87" s="96"/>
      <c r="O87" s="96"/>
      <c r="P87" s="119"/>
    </row>
    <row r="88" spans="2:16" ht="42.75" outlineLevel="1" x14ac:dyDescent="0.2">
      <c r="B88" s="117" t="s">
        <v>1258</v>
      </c>
      <c r="C88" s="117"/>
      <c r="D88" s="117" t="s">
        <v>1259</v>
      </c>
      <c r="E88" s="117">
        <v>2022</v>
      </c>
      <c r="F88" s="117">
        <v>220</v>
      </c>
      <c r="G88" s="117" t="s">
        <v>138</v>
      </c>
      <c r="H88" s="95" t="s">
        <v>3</v>
      </c>
      <c r="I88" s="94">
        <f t="shared" si="17"/>
        <v>70</v>
      </c>
      <c r="J88" s="96">
        <f t="shared" ref="J88:O88" si="30">J89+J90+J91</f>
        <v>0</v>
      </c>
      <c r="K88" s="96">
        <f t="shared" si="30"/>
        <v>0</v>
      </c>
      <c r="L88" s="96">
        <f t="shared" si="30"/>
        <v>70</v>
      </c>
      <c r="M88" s="96">
        <f t="shared" si="30"/>
        <v>0</v>
      </c>
      <c r="N88" s="96">
        <f t="shared" si="30"/>
        <v>0</v>
      </c>
      <c r="O88" s="96">
        <f t="shared" si="30"/>
        <v>0</v>
      </c>
      <c r="P88" s="117">
        <v>834</v>
      </c>
    </row>
    <row r="89" spans="2:16" outlineLevel="1" x14ac:dyDescent="0.2">
      <c r="B89" s="118"/>
      <c r="C89" s="132"/>
      <c r="D89" s="118"/>
      <c r="E89" s="118"/>
      <c r="F89" s="118"/>
      <c r="G89" s="118"/>
      <c r="H89" s="95" t="s">
        <v>4</v>
      </c>
      <c r="I89" s="94">
        <f t="shared" si="17"/>
        <v>69.3</v>
      </c>
      <c r="J89" s="96"/>
      <c r="K89" s="96"/>
      <c r="L89" s="60">
        <v>69.3</v>
      </c>
      <c r="M89" s="60">
        <v>0</v>
      </c>
      <c r="N89" s="60">
        <v>0</v>
      </c>
      <c r="O89" s="60">
        <v>0</v>
      </c>
      <c r="P89" s="118"/>
    </row>
    <row r="90" spans="2:16" outlineLevel="1" x14ac:dyDescent="0.2">
      <c r="B90" s="118"/>
      <c r="C90" s="132"/>
      <c r="D90" s="118"/>
      <c r="E90" s="118"/>
      <c r="F90" s="118"/>
      <c r="G90" s="118"/>
      <c r="H90" s="95" t="s">
        <v>6</v>
      </c>
      <c r="I90" s="94">
        <f t="shared" si="17"/>
        <v>0.7</v>
      </c>
      <c r="J90" s="96"/>
      <c r="K90" s="96"/>
      <c r="L90" s="60">
        <v>0.7</v>
      </c>
      <c r="M90" s="60">
        <v>0</v>
      </c>
      <c r="N90" s="60">
        <v>0</v>
      </c>
      <c r="O90" s="60">
        <v>0</v>
      </c>
      <c r="P90" s="118"/>
    </row>
    <row r="91" spans="2:16" outlineLevel="1" x14ac:dyDescent="0.2">
      <c r="B91" s="119"/>
      <c r="C91" s="133"/>
      <c r="D91" s="119"/>
      <c r="E91" s="119"/>
      <c r="F91" s="119"/>
      <c r="G91" s="119"/>
      <c r="H91" s="95" t="s">
        <v>5</v>
      </c>
      <c r="I91" s="94">
        <f t="shared" si="17"/>
        <v>0</v>
      </c>
      <c r="J91" s="96"/>
      <c r="K91" s="96"/>
      <c r="L91" s="96"/>
      <c r="M91" s="96"/>
      <c r="N91" s="96"/>
      <c r="O91" s="96"/>
      <c r="P91" s="119"/>
    </row>
    <row r="92" spans="2:16" ht="42.75" outlineLevel="1" x14ac:dyDescent="0.2">
      <c r="B92" s="117" t="s">
        <v>1260</v>
      </c>
      <c r="C92" s="117"/>
      <c r="D92" s="117" t="s">
        <v>1244</v>
      </c>
      <c r="E92" s="117">
        <v>2021</v>
      </c>
      <c r="F92" s="117">
        <v>340</v>
      </c>
      <c r="G92" s="117" t="s">
        <v>138</v>
      </c>
      <c r="H92" s="95" t="s">
        <v>3</v>
      </c>
      <c r="I92" s="94">
        <f t="shared" si="17"/>
        <v>10</v>
      </c>
      <c r="J92" s="96">
        <f t="shared" ref="J92:O92" si="31">J93+J94+J95</f>
        <v>0</v>
      </c>
      <c r="K92" s="96">
        <f t="shared" si="31"/>
        <v>10</v>
      </c>
      <c r="L92" s="96">
        <f t="shared" si="31"/>
        <v>0</v>
      </c>
      <c r="M92" s="96">
        <f t="shared" si="31"/>
        <v>0</v>
      </c>
      <c r="N92" s="96">
        <f t="shared" si="31"/>
        <v>0</v>
      </c>
      <c r="O92" s="96">
        <f t="shared" si="31"/>
        <v>0</v>
      </c>
      <c r="P92" s="117">
        <v>5218</v>
      </c>
    </row>
    <row r="93" spans="2:16" outlineLevel="1" x14ac:dyDescent="0.2">
      <c r="B93" s="118"/>
      <c r="C93" s="132"/>
      <c r="D93" s="118"/>
      <c r="E93" s="118"/>
      <c r="F93" s="118"/>
      <c r="G93" s="118"/>
      <c r="H93" s="95" t="s">
        <v>4</v>
      </c>
      <c r="I93" s="94">
        <f t="shared" si="17"/>
        <v>0</v>
      </c>
      <c r="J93" s="96"/>
      <c r="K93" s="96"/>
      <c r="L93" s="60">
        <v>0</v>
      </c>
      <c r="M93" s="60">
        <v>0</v>
      </c>
      <c r="N93" s="60">
        <v>0</v>
      </c>
      <c r="O93" s="60">
        <v>0</v>
      </c>
      <c r="P93" s="118"/>
    </row>
    <row r="94" spans="2:16" outlineLevel="1" x14ac:dyDescent="0.2">
      <c r="B94" s="118"/>
      <c r="C94" s="132"/>
      <c r="D94" s="118"/>
      <c r="E94" s="118"/>
      <c r="F94" s="118"/>
      <c r="G94" s="118"/>
      <c r="H94" s="95" t="s">
        <v>6</v>
      </c>
      <c r="I94" s="94">
        <f t="shared" si="17"/>
        <v>10</v>
      </c>
      <c r="J94" s="96"/>
      <c r="K94" s="96">
        <v>10</v>
      </c>
      <c r="L94" s="60">
        <v>0</v>
      </c>
      <c r="M94" s="60">
        <v>0</v>
      </c>
      <c r="N94" s="60">
        <v>0</v>
      </c>
      <c r="O94" s="60">
        <v>0</v>
      </c>
      <c r="P94" s="118"/>
    </row>
    <row r="95" spans="2:16" outlineLevel="1" x14ac:dyDescent="0.2">
      <c r="B95" s="119"/>
      <c r="C95" s="133"/>
      <c r="D95" s="119"/>
      <c r="E95" s="119"/>
      <c r="F95" s="119"/>
      <c r="G95" s="119"/>
      <c r="H95" s="95" t="s">
        <v>5</v>
      </c>
      <c r="I95" s="94">
        <f t="shared" si="17"/>
        <v>0</v>
      </c>
      <c r="J95" s="96"/>
      <c r="K95" s="96"/>
      <c r="L95" s="96"/>
      <c r="M95" s="96"/>
      <c r="N95" s="96"/>
      <c r="O95" s="96"/>
      <c r="P95" s="119"/>
    </row>
    <row r="96" spans="2:16" ht="42.75" outlineLevel="1" x14ac:dyDescent="0.2">
      <c r="B96" s="117" t="s">
        <v>1261</v>
      </c>
      <c r="C96" s="117" t="s">
        <v>1231</v>
      </c>
      <c r="D96" s="117" t="s">
        <v>1262</v>
      </c>
      <c r="E96" s="117">
        <v>2021</v>
      </c>
      <c r="F96" s="117">
        <v>350</v>
      </c>
      <c r="G96" s="117" t="s">
        <v>138</v>
      </c>
      <c r="H96" s="95" t="s">
        <v>3</v>
      </c>
      <c r="I96" s="94">
        <f t="shared" si="17"/>
        <v>37</v>
      </c>
      <c r="J96" s="96"/>
      <c r="K96" s="96">
        <v>37</v>
      </c>
      <c r="L96" s="96"/>
      <c r="M96" s="96"/>
      <c r="N96" s="96"/>
      <c r="O96" s="96"/>
      <c r="P96" s="117"/>
    </row>
    <row r="97" spans="2:17" outlineLevel="1" x14ac:dyDescent="0.2">
      <c r="B97" s="118"/>
      <c r="C97" s="132"/>
      <c r="D97" s="118"/>
      <c r="E97" s="118"/>
      <c r="F97" s="118"/>
      <c r="G97" s="118"/>
      <c r="H97" s="95" t="s">
        <v>4</v>
      </c>
      <c r="I97" s="94">
        <f t="shared" si="17"/>
        <v>0</v>
      </c>
      <c r="J97" s="96"/>
      <c r="K97" s="96"/>
      <c r="L97" s="96"/>
      <c r="M97" s="96"/>
      <c r="N97" s="96"/>
      <c r="O97" s="96"/>
      <c r="P97" s="118"/>
    </row>
    <row r="98" spans="2:17" outlineLevel="1" x14ac:dyDescent="0.2">
      <c r="B98" s="118"/>
      <c r="C98" s="132"/>
      <c r="D98" s="118"/>
      <c r="E98" s="118"/>
      <c r="F98" s="118"/>
      <c r="G98" s="118"/>
      <c r="H98" s="95" t="s">
        <v>6</v>
      </c>
      <c r="I98" s="94">
        <f t="shared" si="17"/>
        <v>37</v>
      </c>
      <c r="J98" s="96"/>
      <c r="K98" s="96">
        <v>37</v>
      </c>
      <c r="L98" s="96"/>
      <c r="M98" s="96"/>
      <c r="N98" s="96"/>
      <c r="O98" s="96"/>
      <c r="P98" s="118"/>
    </row>
    <row r="99" spans="2:17" outlineLevel="1" x14ac:dyDescent="0.2">
      <c r="B99" s="119"/>
      <c r="C99" s="133"/>
      <c r="D99" s="119"/>
      <c r="E99" s="119"/>
      <c r="F99" s="119"/>
      <c r="G99" s="119"/>
      <c r="H99" s="95" t="s">
        <v>5</v>
      </c>
      <c r="I99" s="94">
        <f t="shared" si="17"/>
        <v>0</v>
      </c>
      <c r="J99" s="96"/>
      <c r="K99" s="96"/>
      <c r="L99" s="96"/>
      <c r="M99" s="96"/>
      <c r="N99" s="96"/>
      <c r="O99" s="96"/>
      <c r="P99" s="119"/>
    </row>
    <row r="100" spans="2:17" ht="42.75" x14ac:dyDescent="0.2">
      <c r="B100" s="128" t="s">
        <v>37</v>
      </c>
      <c r="C100" s="128" t="s">
        <v>38</v>
      </c>
      <c r="D100" s="128" t="s">
        <v>38</v>
      </c>
      <c r="E100" s="128" t="s">
        <v>38</v>
      </c>
      <c r="F100" s="128" t="s">
        <v>38</v>
      </c>
      <c r="G100" s="128" t="s">
        <v>38</v>
      </c>
      <c r="H100" s="95" t="s">
        <v>3</v>
      </c>
      <c r="I100" s="14">
        <f t="shared" ref="I100:O100" si="32">SUMIF($H$44:$H$99,"Объем*",I$44:I$99)</f>
        <v>635.79999999999995</v>
      </c>
      <c r="J100" s="14">
        <f t="shared" si="32"/>
        <v>75.099999999999994</v>
      </c>
      <c r="K100" s="14">
        <f t="shared" si="32"/>
        <v>211.39999999999998</v>
      </c>
      <c r="L100" s="14">
        <f t="shared" si="32"/>
        <v>173.3</v>
      </c>
      <c r="M100" s="14">
        <f t="shared" si="32"/>
        <v>50</v>
      </c>
      <c r="N100" s="14">
        <f t="shared" si="32"/>
        <v>84</v>
      </c>
      <c r="O100" s="14">
        <f t="shared" si="32"/>
        <v>42</v>
      </c>
      <c r="P100" s="128"/>
      <c r="Q100" s="7"/>
    </row>
    <row r="101" spans="2:17" ht="15.75" x14ac:dyDescent="0.2">
      <c r="B101" s="129"/>
      <c r="C101" s="129"/>
      <c r="D101" s="129"/>
      <c r="E101" s="129"/>
      <c r="F101" s="129"/>
      <c r="G101" s="129"/>
      <c r="H101" s="95" t="s">
        <v>4</v>
      </c>
      <c r="I101" s="14">
        <f t="shared" ref="I101:O101" si="33">SUMIF($H$44:$H$99,"фед*",I$44:I$99)</f>
        <v>159.30000000000001</v>
      </c>
      <c r="J101" s="14">
        <f t="shared" si="33"/>
        <v>50</v>
      </c>
      <c r="K101" s="14">
        <f t="shared" si="33"/>
        <v>40</v>
      </c>
      <c r="L101" s="14">
        <f t="shared" si="33"/>
        <v>69.3</v>
      </c>
      <c r="M101" s="14">
        <f t="shared" si="33"/>
        <v>0</v>
      </c>
      <c r="N101" s="14">
        <f t="shared" si="33"/>
        <v>0</v>
      </c>
      <c r="O101" s="14">
        <f t="shared" si="33"/>
        <v>0</v>
      </c>
      <c r="P101" s="129"/>
      <c r="Q101" s="7"/>
    </row>
    <row r="102" spans="2:17" ht="15.75" x14ac:dyDescent="0.2">
      <c r="B102" s="129"/>
      <c r="C102" s="129"/>
      <c r="D102" s="129"/>
      <c r="E102" s="129"/>
      <c r="F102" s="129"/>
      <c r="G102" s="129"/>
      <c r="H102" s="95" t="s">
        <v>6</v>
      </c>
      <c r="I102" s="14">
        <f t="shared" ref="I102:O102" si="34">SUMIF($H$44:$H$99,"конс*",I$44:I$99)</f>
        <v>476.5</v>
      </c>
      <c r="J102" s="14">
        <f t="shared" si="34"/>
        <v>25.1</v>
      </c>
      <c r="K102" s="14">
        <f t="shared" si="34"/>
        <v>171.39999999999998</v>
      </c>
      <c r="L102" s="14">
        <f t="shared" si="34"/>
        <v>104</v>
      </c>
      <c r="M102" s="14">
        <f t="shared" si="34"/>
        <v>50</v>
      </c>
      <c r="N102" s="14">
        <f t="shared" si="34"/>
        <v>84</v>
      </c>
      <c r="O102" s="14">
        <f t="shared" si="34"/>
        <v>42</v>
      </c>
      <c r="P102" s="129"/>
      <c r="Q102" s="7"/>
    </row>
    <row r="103" spans="2:17" ht="15.75" x14ac:dyDescent="0.2">
      <c r="B103" s="130"/>
      <c r="C103" s="130"/>
      <c r="D103" s="130"/>
      <c r="E103" s="130"/>
      <c r="F103" s="130"/>
      <c r="G103" s="130"/>
      <c r="H103" s="95" t="s">
        <v>5</v>
      </c>
      <c r="I103" s="14">
        <f t="shared" ref="I103:O103" si="35">SUMIF($H$44:$H$99,"вне*",I$44:I$99)</f>
        <v>0</v>
      </c>
      <c r="J103" s="14">
        <f t="shared" si="35"/>
        <v>0</v>
      </c>
      <c r="K103" s="14">
        <f t="shared" si="35"/>
        <v>0</v>
      </c>
      <c r="L103" s="14">
        <f t="shared" si="35"/>
        <v>0</v>
      </c>
      <c r="M103" s="14">
        <f t="shared" si="35"/>
        <v>0</v>
      </c>
      <c r="N103" s="14">
        <f t="shared" si="35"/>
        <v>0</v>
      </c>
      <c r="O103" s="14">
        <f t="shared" si="35"/>
        <v>0</v>
      </c>
      <c r="P103" s="130"/>
      <c r="Q103" s="7"/>
    </row>
    <row r="104" spans="2:17" ht="25.5" customHeight="1" x14ac:dyDescent="0.2">
      <c r="B104" s="111" t="s">
        <v>159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3"/>
    </row>
    <row r="105" spans="2:17" ht="57" customHeight="1" outlineLevel="1" x14ac:dyDescent="0.2">
      <c r="B105" s="117" t="s">
        <v>1263</v>
      </c>
      <c r="C105" s="117"/>
      <c r="D105" s="117" t="s">
        <v>1264</v>
      </c>
      <c r="E105" s="117" t="s">
        <v>1265</v>
      </c>
      <c r="F105" s="117"/>
      <c r="G105" s="117" t="s">
        <v>83</v>
      </c>
      <c r="H105" s="95" t="s">
        <v>3</v>
      </c>
      <c r="I105" s="94">
        <f t="shared" ref="I105:I112" si="36">SUM(J105:O105)</f>
        <v>11</v>
      </c>
      <c r="J105" s="94">
        <f t="shared" ref="J105:O105" si="37">J106+J107+J108</f>
        <v>11</v>
      </c>
      <c r="K105" s="94">
        <f t="shared" si="37"/>
        <v>0</v>
      </c>
      <c r="L105" s="94">
        <f t="shared" si="37"/>
        <v>0</v>
      </c>
      <c r="M105" s="94">
        <f t="shared" si="37"/>
        <v>0</v>
      </c>
      <c r="N105" s="94">
        <f t="shared" si="37"/>
        <v>0</v>
      </c>
      <c r="O105" s="94">
        <f t="shared" si="37"/>
        <v>0</v>
      </c>
      <c r="P105" s="117"/>
    </row>
    <row r="106" spans="2:17" ht="30" customHeight="1" outlineLevel="1" x14ac:dyDescent="0.2">
      <c r="B106" s="118"/>
      <c r="C106" s="132"/>
      <c r="D106" s="118"/>
      <c r="E106" s="118"/>
      <c r="F106" s="118"/>
      <c r="G106" s="118"/>
      <c r="H106" s="95" t="s">
        <v>4</v>
      </c>
      <c r="I106" s="94">
        <f t="shared" si="36"/>
        <v>0</v>
      </c>
      <c r="J106" s="94"/>
      <c r="K106" s="94"/>
      <c r="L106" s="94"/>
      <c r="M106" s="94"/>
      <c r="N106" s="94"/>
      <c r="O106" s="94"/>
      <c r="P106" s="118"/>
    </row>
    <row r="107" spans="2:17" ht="36" customHeight="1" outlineLevel="1" x14ac:dyDescent="0.2">
      <c r="B107" s="118"/>
      <c r="C107" s="132"/>
      <c r="D107" s="118"/>
      <c r="E107" s="118"/>
      <c r="F107" s="118"/>
      <c r="G107" s="118"/>
      <c r="H107" s="95" t="s">
        <v>6</v>
      </c>
      <c r="I107" s="94">
        <f t="shared" si="36"/>
        <v>11</v>
      </c>
      <c r="J107" s="94">
        <v>11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118"/>
    </row>
    <row r="108" spans="2:17" outlineLevel="1" x14ac:dyDescent="0.2">
      <c r="B108" s="119"/>
      <c r="C108" s="133"/>
      <c r="D108" s="119"/>
      <c r="E108" s="119"/>
      <c r="F108" s="119"/>
      <c r="G108" s="119"/>
      <c r="H108" s="95" t="s">
        <v>5</v>
      </c>
      <c r="I108" s="94">
        <f t="shared" si="36"/>
        <v>0</v>
      </c>
      <c r="J108" s="94"/>
      <c r="K108" s="94"/>
      <c r="L108" s="94"/>
      <c r="M108" s="94"/>
      <c r="N108" s="94"/>
      <c r="O108" s="94"/>
      <c r="P108" s="119"/>
    </row>
    <row r="109" spans="2:17" ht="42.75" outlineLevel="1" x14ac:dyDescent="0.2">
      <c r="B109" s="117" t="s">
        <v>1266</v>
      </c>
      <c r="C109" s="117"/>
      <c r="D109" s="117" t="s">
        <v>1267</v>
      </c>
      <c r="E109" s="117">
        <v>2021</v>
      </c>
      <c r="F109" s="117"/>
      <c r="G109" s="117" t="s">
        <v>1268</v>
      </c>
      <c r="H109" s="95" t="s">
        <v>3</v>
      </c>
      <c r="I109" s="94">
        <f t="shared" si="36"/>
        <v>44</v>
      </c>
      <c r="J109" s="94">
        <f t="shared" ref="J109:O109" si="38">J110+J111+J112</f>
        <v>0</v>
      </c>
      <c r="K109" s="94">
        <f t="shared" si="38"/>
        <v>44</v>
      </c>
      <c r="L109" s="94">
        <f t="shared" si="38"/>
        <v>0</v>
      </c>
      <c r="M109" s="94">
        <f t="shared" si="38"/>
        <v>0</v>
      </c>
      <c r="N109" s="94">
        <f t="shared" si="38"/>
        <v>0</v>
      </c>
      <c r="O109" s="94">
        <f t="shared" si="38"/>
        <v>0</v>
      </c>
      <c r="P109" s="117"/>
    </row>
    <row r="110" spans="2:17" outlineLevel="1" x14ac:dyDescent="0.2">
      <c r="B110" s="118"/>
      <c r="C110" s="132"/>
      <c r="D110" s="118"/>
      <c r="E110" s="118"/>
      <c r="F110" s="118"/>
      <c r="G110" s="118"/>
      <c r="H110" s="95" t="s">
        <v>4</v>
      </c>
      <c r="I110" s="94">
        <f t="shared" si="36"/>
        <v>0</v>
      </c>
      <c r="J110" s="94"/>
      <c r="K110" s="94"/>
      <c r="L110" s="94"/>
      <c r="M110" s="94"/>
      <c r="N110" s="94"/>
      <c r="O110" s="94"/>
      <c r="P110" s="118"/>
    </row>
    <row r="111" spans="2:17" outlineLevel="1" x14ac:dyDescent="0.2">
      <c r="B111" s="118"/>
      <c r="C111" s="132"/>
      <c r="D111" s="118"/>
      <c r="E111" s="118"/>
      <c r="F111" s="118"/>
      <c r="G111" s="118"/>
      <c r="H111" s="95" t="s">
        <v>6</v>
      </c>
      <c r="I111" s="94">
        <f t="shared" si="36"/>
        <v>44</v>
      </c>
      <c r="J111" s="94"/>
      <c r="K111" s="94">
        <v>44</v>
      </c>
      <c r="L111" s="94">
        <v>0</v>
      </c>
      <c r="M111" s="94">
        <v>0</v>
      </c>
      <c r="N111" s="94">
        <v>0</v>
      </c>
      <c r="O111" s="94">
        <v>0</v>
      </c>
      <c r="P111" s="118"/>
    </row>
    <row r="112" spans="2:17" outlineLevel="1" x14ac:dyDescent="0.2">
      <c r="B112" s="119"/>
      <c r="C112" s="133"/>
      <c r="D112" s="119"/>
      <c r="E112" s="119"/>
      <c r="F112" s="119"/>
      <c r="G112" s="119"/>
      <c r="H112" s="95" t="s">
        <v>5</v>
      </c>
      <c r="I112" s="94">
        <f t="shared" si="36"/>
        <v>0</v>
      </c>
      <c r="J112" s="94"/>
      <c r="K112" s="94"/>
      <c r="L112" s="94"/>
      <c r="M112" s="94"/>
      <c r="N112" s="94"/>
      <c r="O112" s="94"/>
      <c r="P112" s="119"/>
    </row>
    <row r="113" spans="2:17" ht="42.75" x14ac:dyDescent="0.2">
      <c r="B113" s="128" t="s">
        <v>1269</v>
      </c>
      <c r="C113" s="128" t="s">
        <v>38</v>
      </c>
      <c r="D113" s="128" t="s">
        <v>38</v>
      </c>
      <c r="E113" s="128" t="s">
        <v>38</v>
      </c>
      <c r="F113" s="128" t="s">
        <v>38</v>
      </c>
      <c r="G113" s="128" t="s">
        <v>38</v>
      </c>
      <c r="H113" s="95" t="s">
        <v>3</v>
      </c>
      <c r="I113" s="14">
        <f t="shared" ref="I113:O113" si="39">SUMIF($H$105:$H$112,"Объем*",I$105:I$112)</f>
        <v>55</v>
      </c>
      <c r="J113" s="14">
        <f t="shared" si="39"/>
        <v>11</v>
      </c>
      <c r="K113" s="14">
        <f t="shared" si="39"/>
        <v>44</v>
      </c>
      <c r="L113" s="14">
        <f t="shared" si="39"/>
        <v>0</v>
      </c>
      <c r="M113" s="14">
        <f t="shared" si="39"/>
        <v>0</v>
      </c>
      <c r="N113" s="14">
        <f t="shared" si="39"/>
        <v>0</v>
      </c>
      <c r="O113" s="14">
        <f t="shared" si="39"/>
        <v>0</v>
      </c>
      <c r="P113" s="128"/>
      <c r="Q113" s="7"/>
    </row>
    <row r="114" spans="2:17" ht="15.75" x14ac:dyDescent="0.2">
      <c r="B114" s="129"/>
      <c r="C114" s="129"/>
      <c r="D114" s="129"/>
      <c r="E114" s="129"/>
      <c r="F114" s="129"/>
      <c r="G114" s="129"/>
      <c r="H114" s="95" t="s">
        <v>4</v>
      </c>
      <c r="I114" s="14">
        <f t="shared" ref="I114:O114" si="40">SUMIF($H$105:$H$112,"фед*",I$105:I$112)</f>
        <v>0</v>
      </c>
      <c r="J114" s="14">
        <f t="shared" si="40"/>
        <v>0</v>
      </c>
      <c r="K114" s="14">
        <f t="shared" si="40"/>
        <v>0</v>
      </c>
      <c r="L114" s="14">
        <f t="shared" si="40"/>
        <v>0</v>
      </c>
      <c r="M114" s="14">
        <f t="shared" si="40"/>
        <v>0</v>
      </c>
      <c r="N114" s="14">
        <f t="shared" si="40"/>
        <v>0</v>
      </c>
      <c r="O114" s="14">
        <f t="shared" si="40"/>
        <v>0</v>
      </c>
      <c r="P114" s="129"/>
      <c r="Q114" s="7"/>
    </row>
    <row r="115" spans="2:17" ht="15.75" x14ac:dyDescent="0.2">
      <c r="B115" s="129"/>
      <c r="C115" s="129"/>
      <c r="D115" s="129"/>
      <c r="E115" s="129"/>
      <c r="F115" s="129"/>
      <c r="G115" s="129"/>
      <c r="H115" s="95" t="s">
        <v>6</v>
      </c>
      <c r="I115" s="14">
        <f t="shared" ref="I115:O115" si="41">SUMIF($H$105:$H$112,"конс*",I$105:I$112)</f>
        <v>55</v>
      </c>
      <c r="J115" s="14">
        <f t="shared" si="41"/>
        <v>11</v>
      </c>
      <c r="K115" s="14">
        <f t="shared" si="41"/>
        <v>44</v>
      </c>
      <c r="L115" s="14">
        <f t="shared" si="41"/>
        <v>0</v>
      </c>
      <c r="M115" s="14">
        <f t="shared" si="41"/>
        <v>0</v>
      </c>
      <c r="N115" s="14">
        <f t="shared" si="41"/>
        <v>0</v>
      </c>
      <c r="O115" s="14">
        <f t="shared" si="41"/>
        <v>0</v>
      </c>
      <c r="P115" s="129"/>
      <c r="Q115" s="7"/>
    </row>
    <row r="116" spans="2:17" ht="15.75" x14ac:dyDescent="0.2">
      <c r="B116" s="130"/>
      <c r="C116" s="130"/>
      <c r="D116" s="130"/>
      <c r="E116" s="130"/>
      <c r="F116" s="130"/>
      <c r="G116" s="130"/>
      <c r="H116" s="95" t="s">
        <v>5</v>
      </c>
      <c r="I116" s="14">
        <f t="shared" ref="I116:O116" si="42">SUMIF($H$105:$H$112,"вне*",I$105:I$112)</f>
        <v>0</v>
      </c>
      <c r="J116" s="14">
        <f t="shared" si="42"/>
        <v>0</v>
      </c>
      <c r="K116" s="14">
        <f t="shared" si="42"/>
        <v>0</v>
      </c>
      <c r="L116" s="14">
        <f t="shared" si="42"/>
        <v>0</v>
      </c>
      <c r="M116" s="14">
        <f t="shared" si="42"/>
        <v>0</v>
      </c>
      <c r="N116" s="14">
        <f t="shared" si="42"/>
        <v>0</v>
      </c>
      <c r="O116" s="14">
        <f t="shared" si="42"/>
        <v>0</v>
      </c>
      <c r="P116" s="130"/>
      <c r="Q116" s="7"/>
    </row>
    <row r="117" spans="2:17" ht="25.5" customHeight="1" x14ac:dyDescent="0.2">
      <c r="B117" s="111" t="s">
        <v>174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</row>
    <row r="118" spans="2:17" ht="42.75" outlineLevel="1" x14ac:dyDescent="0.2">
      <c r="B118" s="117" t="s">
        <v>1270</v>
      </c>
      <c r="C118" s="117"/>
      <c r="D118" s="117" t="s">
        <v>174</v>
      </c>
      <c r="E118" s="117" t="s">
        <v>203</v>
      </c>
      <c r="F118" s="117">
        <v>144</v>
      </c>
      <c r="G118" s="117" t="s">
        <v>101</v>
      </c>
      <c r="H118" s="95" t="s">
        <v>3</v>
      </c>
      <c r="I118" s="94">
        <f t="shared" ref="I118:I173" si="43">SUM(J118:O118)</f>
        <v>18.5</v>
      </c>
      <c r="J118" s="94">
        <v>10.6</v>
      </c>
      <c r="K118" s="94">
        <f t="shared" ref="K118:O118" si="44">K119+K120+K121</f>
        <v>7.9</v>
      </c>
      <c r="L118" s="94">
        <f t="shared" si="44"/>
        <v>0</v>
      </c>
      <c r="M118" s="94">
        <v>0</v>
      </c>
      <c r="N118" s="94">
        <f t="shared" si="44"/>
        <v>0</v>
      </c>
      <c r="O118" s="94">
        <f t="shared" si="44"/>
        <v>0</v>
      </c>
      <c r="P118" s="117">
        <v>145</v>
      </c>
    </row>
    <row r="119" spans="2:17" outlineLevel="1" x14ac:dyDescent="0.2">
      <c r="B119" s="118"/>
      <c r="C119" s="132"/>
      <c r="D119" s="118"/>
      <c r="E119" s="118"/>
      <c r="F119" s="118"/>
      <c r="G119" s="118"/>
      <c r="H119" s="95" t="s">
        <v>4</v>
      </c>
      <c r="I119" s="94">
        <f t="shared" si="43"/>
        <v>0</v>
      </c>
      <c r="J119" s="94"/>
      <c r="K119" s="94"/>
      <c r="L119" s="94"/>
      <c r="M119" s="94"/>
      <c r="N119" s="94"/>
      <c r="O119" s="94"/>
      <c r="P119" s="118"/>
    </row>
    <row r="120" spans="2:17" outlineLevel="1" x14ac:dyDescent="0.2">
      <c r="B120" s="118"/>
      <c r="C120" s="132"/>
      <c r="D120" s="118"/>
      <c r="E120" s="118"/>
      <c r="F120" s="118"/>
      <c r="G120" s="118"/>
      <c r="H120" s="95" t="s">
        <v>6</v>
      </c>
      <c r="I120" s="94">
        <f t="shared" si="43"/>
        <v>18.5</v>
      </c>
      <c r="J120" s="94">
        <v>10.6</v>
      </c>
      <c r="K120" s="94">
        <v>7.9</v>
      </c>
      <c r="L120" s="94"/>
      <c r="M120" s="94"/>
      <c r="N120" s="94"/>
      <c r="O120" s="94"/>
      <c r="P120" s="118"/>
    </row>
    <row r="121" spans="2:17" outlineLevel="1" x14ac:dyDescent="0.2">
      <c r="B121" s="119"/>
      <c r="C121" s="133"/>
      <c r="D121" s="119"/>
      <c r="E121" s="119"/>
      <c r="F121" s="119"/>
      <c r="G121" s="119"/>
      <c r="H121" s="95" t="s">
        <v>5</v>
      </c>
      <c r="I121" s="94">
        <f t="shared" si="43"/>
        <v>0</v>
      </c>
      <c r="J121" s="94"/>
      <c r="K121" s="94"/>
      <c r="L121" s="94"/>
      <c r="M121" s="94"/>
      <c r="N121" s="94"/>
      <c r="O121" s="94"/>
      <c r="P121" s="119"/>
    </row>
    <row r="122" spans="2:17" ht="42.75" outlineLevel="1" x14ac:dyDescent="0.2">
      <c r="B122" s="117" t="s">
        <v>1271</v>
      </c>
      <c r="C122" s="117"/>
      <c r="D122" s="117" t="s">
        <v>174</v>
      </c>
      <c r="E122" s="117" t="s">
        <v>203</v>
      </c>
      <c r="F122" s="117">
        <v>885</v>
      </c>
      <c r="G122" s="117" t="s">
        <v>101</v>
      </c>
      <c r="H122" s="95" t="s">
        <v>3</v>
      </c>
      <c r="I122" s="94">
        <f t="shared" si="43"/>
        <v>49.2</v>
      </c>
      <c r="J122" s="94">
        <v>14</v>
      </c>
      <c r="K122" s="94">
        <f t="shared" ref="K122:O122" si="45">K123+K124+K125</f>
        <v>35.200000000000003</v>
      </c>
      <c r="L122" s="94">
        <f t="shared" si="45"/>
        <v>0</v>
      </c>
      <c r="M122" s="94">
        <f t="shared" si="45"/>
        <v>0</v>
      </c>
      <c r="N122" s="94">
        <v>0</v>
      </c>
      <c r="O122" s="94">
        <f t="shared" si="45"/>
        <v>0</v>
      </c>
      <c r="P122" s="117">
        <v>959</v>
      </c>
    </row>
    <row r="123" spans="2:17" outlineLevel="1" x14ac:dyDescent="0.2">
      <c r="B123" s="118"/>
      <c r="C123" s="132"/>
      <c r="D123" s="118"/>
      <c r="E123" s="118"/>
      <c r="F123" s="118"/>
      <c r="G123" s="118"/>
      <c r="H123" s="95" t="s">
        <v>4</v>
      </c>
      <c r="I123" s="94">
        <f t="shared" si="43"/>
        <v>0</v>
      </c>
      <c r="J123" s="94"/>
      <c r="K123" s="94"/>
      <c r="L123" s="94"/>
      <c r="M123" s="94"/>
      <c r="N123" s="94"/>
      <c r="O123" s="94"/>
      <c r="P123" s="118"/>
    </row>
    <row r="124" spans="2:17" outlineLevel="1" x14ac:dyDescent="0.2">
      <c r="B124" s="118"/>
      <c r="C124" s="132"/>
      <c r="D124" s="118"/>
      <c r="E124" s="118"/>
      <c r="F124" s="118"/>
      <c r="G124" s="118"/>
      <c r="H124" s="95" t="s">
        <v>6</v>
      </c>
      <c r="I124" s="94">
        <f t="shared" si="43"/>
        <v>49.2</v>
      </c>
      <c r="J124" s="94">
        <v>14</v>
      </c>
      <c r="K124" s="94">
        <v>35.200000000000003</v>
      </c>
      <c r="L124" s="94"/>
      <c r="M124" s="94"/>
      <c r="N124" s="94"/>
      <c r="O124" s="94"/>
      <c r="P124" s="118"/>
    </row>
    <row r="125" spans="2:17" outlineLevel="1" x14ac:dyDescent="0.2">
      <c r="B125" s="119"/>
      <c r="C125" s="133"/>
      <c r="D125" s="119"/>
      <c r="E125" s="119"/>
      <c r="F125" s="119"/>
      <c r="G125" s="119"/>
      <c r="H125" s="95" t="s">
        <v>5</v>
      </c>
      <c r="I125" s="94">
        <f t="shared" si="43"/>
        <v>0</v>
      </c>
      <c r="J125" s="94"/>
      <c r="K125" s="94"/>
      <c r="L125" s="94"/>
      <c r="M125" s="94"/>
      <c r="N125" s="94"/>
      <c r="O125" s="94"/>
      <c r="P125" s="119"/>
    </row>
    <row r="126" spans="2:17" ht="42.75" outlineLevel="1" x14ac:dyDescent="0.2">
      <c r="B126" s="117" t="s">
        <v>1272</v>
      </c>
      <c r="C126" s="117" t="s">
        <v>1273</v>
      </c>
      <c r="D126" s="117" t="s">
        <v>174</v>
      </c>
      <c r="E126" s="117">
        <v>2020</v>
      </c>
      <c r="F126" s="117">
        <v>260</v>
      </c>
      <c r="G126" s="117" t="s">
        <v>101</v>
      </c>
      <c r="H126" s="95" t="s">
        <v>3</v>
      </c>
      <c r="I126" s="94">
        <f t="shared" si="43"/>
        <v>1.3</v>
      </c>
      <c r="J126" s="94">
        <v>1.3</v>
      </c>
      <c r="K126" s="94">
        <f t="shared" ref="K126:L126" si="46">K127+K128+K129</f>
        <v>0</v>
      </c>
      <c r="L126" s="94">
        <f t="shared" si="46"/>
        <v>0</v>
      </c>
      <c r="M126" s="94">
        <v>0</v>
      </c>
      <c r="N126" s="94">
        <f t="shared" ref="N126:O126" si="47">N127+N128+N129</f>
        <v>0</v>
      </c>
      <c r="O126" s="94">
        <f t="shared" si="47"/>
        <v>0</v>
      </c>
      <c r="P126" s="117">
        <v>138</v>
      </c>
    </row>
    <row r="127" spans="2:17" outlineLevel="1" x14ac:dyDescent="0.2">
      <c r="B127" s="118"/>
      <c r="C127" s="132"/>
      <c r="D127" s="118"/>
      <c r="E127" s="118"/>
      <c r="F127" s="118"/>
      <c r="G127" s="118"/>
      <c r="H127" s="95" t="s">
        <v>4</v>
      </c>
      <c r="I127" s="94">
        <f t="shared" si="43"/>
        <v>0</v>
      </c>
      <c r="J127" s="94"/>
      <c r="K127" s="94"/>
      <c r="L127" s="94"/>
      <c r="M127" s="94"/>
      <c r="N127" s="94"/>
      <c r="O127" s="94"/>
      <c r="P127" s="118"/>
    </row>
    <row r="128" spans="2:17" outlineLevel="1" x14ac:dyDescent="0.2">
      <c r="B128" s="118"/>
      <c r="C128" s="132"/>
      <c r="D128" s="118"/>
      <c r="E128" s="118"/>
      <c r="F128" s="118"/>
      <c r="G128" s="118"/>
      <c r="H128" s="95" t="s">
        <v>6</v>
      </c>
      <c r="I128" s="94">
        <f t="shared" si="43"/>
        <v>1.3</v>
      </c>
      <c r="J128" s="94">
        <v>1.3</v>
      </c>
      <c r="K128" s="94"/>
      <c r="L128" s="94"/>
      <c r="M128" s="94"/>
      <c r="N128" s="94"/>
      <c r="O128" s="94"/>
      <c r="P128" s="118"/>
    </row>
    <row r="129" spans="2:16" outlineLevel="1" x14ac:dyDescent="0.2">
      <c r="B129" s="119"/>
      <c r="C129" s="133"/>
      <c r="D129" s="119"/>
      <c r="E129" s="119"/>
      <c r="F129" s="119"/>
      <c r="G129" s="119"/>
      <c r="H129" s="95" t="s">
        <v>5</v>
      </c>
      <c r="I129" s="94">
        <f t="shared" si="43"/>
        <v>0</v>
      </c>
      <c r="J129" s="94"/>
      <c r="K129" s="94"/>
      <c r="L129" s="94"/>
      <c r="M129" s="94"/>
      <c r="N129" s="94"/>
      <c r="O129" s="94"/>
      <c r="P129" s="119"/>
    </row>
    <row r="130" spans="2:16" ht="42.75" outlineLevel="1" x14ac:dyDescent="0.2">
      <c r="B130" s="117" t="s">
        <v>1274</v>
      </c>
      <c r="C130" s="117"/>
      <c r="D130" s="117" t="s">
        <v>174</v>
      </c>
      <c r="E130" s="117" t="s">
        <v>50</v>
      </c>
      <c r="F130" s="117">
        <v>160</v>
      </c>
      <c r="G130" s="117" t="s">
        <v>101</v>
      </c>
      <c r="H130" s="95" t="s">
        <v>3</v>
      </c>
      <c r="I130" s="94">
        <f t="shared" si="43"/>
        <v>140</v>
      </c>
      <c r="J130" s="94">
        <f t="shared" ref="J130:M130" si="48">J131+J132+J133</f>
        <v>0</v>
      </c>
      <c r="K130" s="94">
        <f t="shared" si="48"/>
        <v>140</v>
      </c>
      <c r="L130" s="94">
        <f t="shared" si="48"/>
        <v>0</v>
      </c>
      <c r="M130" s="94">
        <f t="shared" si="48"/>
        <v>0</v>
      </c>
      <c r="N130" s="94">
        <v>0</v>
      </c>
      <c r="O130" s="94">
        <f t="shared" ref="O130" si="49">O131+O132+O133</f>
        <v>0</v>
      </c>
      <c r="P130" s="117">
        <v>160</v>
      </c>
    </row>
    <row r="131" spans="2:16" outlineLevel="1" x14ac:dyDescent="0.2">
      <c r="B131" s="118"/>
      <c r="C131" s="132"/>
      <c r="D131" s="118"/>
      <c r="E131" s="118"/>
      <c r="F131" s="118"/>
      <c r="G131" s="118"/>
      <c r="H131" s="95" t="s">
        <v>4</v>
      </c>
      <c r="I131" s="94">
        <f t="shared" si="43"/>
        <v>0</v>
      </c>
      <c r="J131" s="94"/>
      <c r="K131" s="94"/>
      <c r="L131" s="94"/>
      <c r="M131" s="94"/>
      <c r="N131" s="94"/>
      <c r="O131" s="94"/>
      <c r="P131" s="118"/>
    </row>
    <row r="132" spans="2:16" outlineLevel="1" x14ac:dyDescent="0.2">
      <c r="B132" s="118"/>
      <c r="C132" s="132"/>
      <c r="D132" s="118"/>
      <c r="E132" s="118"/>
      <c r="F132" s="118"/>
      <c r="G132" s="118"/>
      <c r="H132" s="95" t="s">
        <v>6</v>
      </c>
      <c r="I132" s="94">
        <f t="shared" si="43"/>
        <v>140</v>
      </c>
      <c r="J132" s="94"/>
      <c r="K132" s="94">
        <v>140</v>
      </c>
      <c r="L132" s="94"/>
      <c r="M132" s="94"/>
      <c r="N132" s="94"/>
      <c r="O132" s="94"/>
      <c r="P132" s="118"/>
    </row>
    <row r="133" spans="2:16" outlineLevel="1" x14ac:dyDescent="0.2">
      <c r="B133" s="119"/>
      <c r="C133" s="133"/>
      <c r="D133" s="119"/>
      <c r="E133" s="119"/>
      <c r="F133" s="119"/>
      <c r="G133" s="119"/>
      <c r="H133" s="95" t="s">
        <v>5</v>
      </c>
      <c r="I133" s="94">
        <f t="shared" si="43"/>
        <v>0</v>
      </c>
      <c r="J133" s="94"/>
      <c r="K133" s="94"/>
      <c r="L133" s="94"/>
      <c r="M133" s="94"/>
      <c r="N133" s="94"/>
      <c r="O133" s="94"/>
      <c r="P133" s="119"/>
    </row>
    <row r="134" spans="2:16" ht="42.75" outlineLevel="1" x14ac:dyDescent="0.2">
      <c r="B134" s="117" t="s">
        <v>1275</v>
      </c>
      <c r="C134" s="117"/>
      <c r="D134" s="117" t="s">
        <v>174</v>
      </c>
      <c r="E134" s="117">
        <v>2022</v>
      </c>
      <c r="F134" s="117">
        <v>67</v>
      </c>
      <c r="G134" s="117" t="s">
        <v>101</v>
      </c>
      <c r="H134" s="95" t="s">
        <v>3</v>
      </c>
      <c r="I134" s="94">
        <f t="shared" si="43"/>
        <v>25</v>
      </c>
      <c r="J134" s="94">
        <f t="shared" ref="J134:L134" si="50">J135+J136+J137</f>
        <v>0</v>
      </c>
      <c r="K134" s="94">
        <f t="shared" si="50"/>
        <v>0</v>
      </c>
      <c r="L134" s="94">
        <f t="shared" si="50"/>
        <v>25</v>
      </c>
      <c r="M134" s="94">
        <v>0</v>
      </c>
      <c r="N134" s="94">
        <f t="shared" ref="N134:O134" si="51">N135+N136+N137</f>
        <v>0</v>
      </c>
      <c r="O134" s="94">
        <f t="shared" si="51"/>
        <v>0</v>
      </c>
      <c r="P134" s="117"/>
    </row>
    <row r="135" spans="2:16" outlineLevel="1" x14ac:dyDescent="0.2">
      <c r="B135" s="118"/>
      <c r="C135" s="132"/>
      <c r="D135" s="118"/>
      <c r="E135" s="118"/>
      <c r="F135" s="118"/>
      <c r="G135" s="118"/>
      <c r="H135" s="95" t="s">
        <v>4</v>
      </c>
      <c r="I135" s="94">
        <f t="shared" si="43"/>
        <v>0</v>
      </c>
      <c r="J135" s="94"/>
      <c r="K135" s="94"/>
      <c r="L135" s="94"/>
      <c r="M135" s="94"/>
      <c r="N135" s="94"/>
      <c r="O135" s="94"/>
      <c r="P135" s="118"/>
    </row>
    <row r="136" spans="2:16" outlineLevel="1" x14ac:dyDescent="0.2">
      <c r="B136" s="118"/>
      <c r="C136" s="132"/>
      <c r="D136" s="118"/>
      <c r="E136" s="118"/>
      <c r="F136" s="118"/>
      <c r="G136" s="118"/>
      <c r="H136" s="95" t="s">
        <v>6</v>
      </c>
      <c r="I136" s="94">
        <f t="shared" si="43"/>
        <v>25</v>
      </c>
      <c r="J136" s="94"/>
      <c r="K136" s="94"/>
      <c r="L136" s="94">
        <v>25</v>
      </c>
      <c r="M136" s="94"/>
      <c r="N136" s="94"/>
      <c r="O136" s="94"/>
      <c r="P136" s="118"/>
    </row>
    <row r="137" spans="2:16" outlineLevel="1" x14ac:dyDescent="0.2">
      <c r="B137" s="119"/>
      <c r="C137" s="133"/>
      <c r="D137" s="119"/>
      <c r="E137" s="119"/>
      <c r="F137" s="119"/>
      <c r="G137" s="119"/>
      <c r="H137" s="95" t="s">
        <v>5</v>
      </c>
      <c r="I137" s="94">
        <f t="shared" si="43"/>
        <v>0</v>
      </c>
      <c r="J137" s="94"/>
      <c r="K137" s="94"/>
      <c r="L137" s="94"/>
      <c r="M137" s="94"/>
      <c r="N137" s="94"/>
      <c r="O137" s="94"/>
      <c r="P137" s="119"/>
    </row>
    <row r="138" spans="2:16" ht="42.75" outlineLevel="1" x14ac:dyDescent="0.2">
      <c r="B138" s="117" t="s">
        <v>1276</v>
      </c>
      <c r="C138" s="117"/>
      <c r="D138" s="117" t="s">
        <v>174</v>
      </c>
      <c r="E138" s="117">
        <v>2021</v>
      </c>
      <c r="F138" s="117">
        <v>137</v>
      </c>
      <c r="G138" s="117" t="s">
        <v>101</v>
      </c>
      <c r="H138" s="95" t="s">
        <v>3</v>
      </c>
      <c r="I138" s="94">
        <f t="shared" si="43"/>
        <v>22.6</v>
      </c>
      <c r="J138" s="94">
        <f t="shared" ref="J138:M138" si="52">J139+J140+J141</f>
        <v>0</v>
      </c>
      <c r="K138" s="94">
        <f t="shared" si="52"/>
        <v>22.6</v>
      </c>
      <c r="L138" s="94">
        <f t="shared" si="52"/>
        <v>0</v>
      </c>
      <c r="M138" s="94">
        <f t="shared" si="52"/>
        <v>0</v>
      </c>
      <c r="N138" s="94">
        <v>0</v>
      </c>
      <c r="O138" s="94">
        <f t="shared" ref="O138" si="53">O139+O140+O141</f>
        <v>0</v>
      </c>
      <c r="P138" s="117"/>
    </row>
    <row r="139" spans="2:16" outlineLevel="1" x14ac:dyDescent="0.2">
      <c r="B139" s="118"/>
      <c r="C139" s="132"/>
      <c r="D139" s="118"/>
      <c r="E139" s="118"/>
      <c r="F139" s="118"/>
      <c r="G139" s="118"/>
      <c r="H139" s="95" t="s">
        <v>4</v>
      </c>
      <c r="I139" s="94">
        <f t="shared" si="43"/>
        <v>0</v>
      </c>
      <c r="J139" s="94"/>
      <c r="K139" s="94"/>
      <c r="L139" s="94"/>
      <c r="M139" s="94"/>
      <c r="N139" s="94"/>
      <c r="O139" s="94"/>
      <c r="P139" s="118"/>
    </row>
    <row r="140" spans="2:16" outlineLevel="1" x14ac:dyDescent="0.2">
      <c r="B140" s="118"/>
      <c r="C140" s="132"/>
      <c r="D140" s="118"/>
      <c r="E140" s="118"/>
      <c r="F140" s="118"/>
      <c r="G140" s="118"/>
      <c r="H140" s="95" t="s">
        <v>6</v>
      </c>
      <c r="I140" s="94">
        <f t="shared" si="43"/>
        <v>22.6</v>
      </c>
      <c r="J140" s="94"/>
      <c r="K140" s="94">
        <v>22.6</v>
      </c>
      <c r="L140" s="94"/>
      <c r="M140" s="94"/>
      <c r="N140" s="94"/>
      <c r="O140" s="94"/>
      <c r="P140" s="118"/>
    </row>
    <row r="141" spans="2:16" outlineLevel="1" x14ac:dyDescent="0.2">
      <c r="B141" s="119"/>
      <c r="C141" s="133"/>
      <c r="D141" s="119"/>
      <c r="E141" s="119"/>
      <c r="F141" s="119"/>
      <c r="G141" s="119"/>
      <c r="H141" s="95" t="s">
        <v>5</v>
      </c>
      <c r="I141" s="94">
        <f t="shared" si="43"/>
        <v>0</v>
      </c>
      <c r="J141" s="94"/>
      <c r="K141" s="94"/>
      <c r="L141" s="94"/>
      <c r="M141" s="94"/>
      <c r="N141" s="94"/>
      <c r="O141" s="94"/>
      <c r="P141" s="119"/>
    </row>
    <row r="142" spans="2:16" ht="42.75" outlineLevel="1" x14ac:dyDescent="0.2">
      <c r="B142" s="117" t="s">
        <v>1277</v>
      </c>
      <c r="C142" s="117"/>
      <c r="D142" s="117" t="s">
        <v>174</v>
      </c>
      <c r="E142" s="117">
        <v>2021</v>
      </c>
      <c r="F142" s="117">
        <v>88</v>
      </c>
      <c r="G142" s="117" t="s">
        <v>101</v>
      </c>
      <c r="H142" s="95" t="s">
        <v>3</v>
      </c>
      <c r="I142" s="94">
        <f t="shared" si="43"/>
        <v>13.9</v>
      </c>
      <c r="J142" s="94">
        <f t="shared" ref="J142:L142" si="54">J143+J144+J145</f>
        <v>0</v>
      </c>
      <c r="K142" s="94">
        <f t="shared" si="54"/>
        <v>13.9</v>
      </c>
      <c r="L142" s="94">
        <f t="shared" si="54"/>
        <v>0</v>
      </c>
      <c r="M142" s="94">
        <v>0</v>
      </c>
      <c r="N142" s="94">
        <f t="shared" ref="N142:O142" si="55">N143+N144+N145</f>
        <v>0</v>
      </c>
      <c r="O142" s="94">
        <f t="shared" si="55"/>
        <v>0</v>
      </c>
      <c r="P142" s="117"/>
    </row>
    <row r="143" spans="2:16" outlineLevel="1" x14ac:dyDescent="0.2">
      <c r="B143" s="118"/>
      <c r="C143" s="132"/>
      <c r="D143" s="118"/>
      <c r="E143" s="118"/>
      <c r="F143" s="118"/>
      <c r="G143" s="118"/>
      <c r="H143" s="95" t="s">
        <v>4</v>
      </c>
      <c r="I143" s="94">
        <f t="shared" si="43"/>
        <v>0</v>
      </c>
      <c r="J143" s="94"/>
      <c r="K143" s="94"/>
      <c r="L143" s="94"/>
      <c r="M143" s="94"/>
      <c r="N143" s="94"/>
      <c r="O143" s="94"/>
      <c r="P143" s="118"/>
    </row>
    <row r="144" spans="2:16" outlineLevel="1" x14ac:dyDescent="0.2">
      <c r="B144" s="118"/>
      <c r="C144" s="132"/>
      <c r="D144" s="118"/>
      <c r="E144" s="118"/>
      <c r="F144" s="118"/>
      <c r="G144" s="118"/>
      <c r="H144" s="95" t="s">
        <v>6</v>
      </c>
      <c r="I144" s="94">
        <f t="shared" si="43"/>
        <v>13.9</v>
      </c>
      <c r="J144" s="94"/>
      <c r="K144" s="94">
        <v>13.9</v>
      </c>
      <c r="L144" s="94"/>
      <c r="M144" s="94"/>
      <c r="N144" s="94"/>
      <c r="O144" s="94"/>
      <c r="P144" s="118"/>
    </row>
    <row r="145" spans="2:16" outlineLevel="1" x14ac:dyDescent="0.2">
      <c r="B145" s="119"/>
      <c r="C145" s="133"/>
      <c r="D145" s="119"/>
      <c r="E145" s="119"/>
      <c r="F145" s="119"/>
      <c r="G145" s="119"/>
      <c r="H145" s="95" t="s">
        <v>5</v>
      </c>
      <c r="I145" s="94">
        <f t="shared" si="43"/>
        <v>0</v>
      </c>
      <c r="J145" s="94"/>
      <c r="K145" s="94"/>
      <c r="L145" s="94"/>
      <c r="M145" s="94"/>
      <c r="N145" s="94"/>
      <c r="O145" s="94"/>
      <c r="P145" s="119"/>
    </row>
    <row r="146" spans="2:16" ht="42.75" outlineLevel="1" x14ac:dyDescent="0.2">
      <c r="B146" s="117" t="s">
        <v>1278</v>
      </c>
      <c r="C146" s="117"/>
      <c r="D146" s="117" t="s">
        <v>174</v>
      </c>
      <c r="E146" s="117">
        <v>2022</v>
      </c>
      <c r="F146" s="117">
        <v>434</v>
      </c>
      <c r="G146" s="117" t="s">
        <v>101</v>
      </c>
      <c r="H146" s="95" t="s">
        <v>3</v>
      </c>
      <c r="I146" s="94">
        <f t="shared" si="43"/>
        <v>40</v>
      </c>
      <c r="J146" s="94">
        <f t="shared" ref="J146:M146" si="56">J147+J148+J149</f>
        <v>0</v>
      </c>
      <c r="K146" s="94">
        <f t="shared" si="56"/>
        <v>0</v>
      </c>
      <c r="L146" s="94">
        <f t="shared" si="56"/>
        <v>40</v>
      </c>
      <c r="M146" s="94">
        <f t="shared" si="56"/>
        <v>0</v>
      </c>
      <c r="N146" s="94">
        <v>0</v>
      </c>
      <c r="O146" s="94">
        <f t="shared" ref="O146" si="57">O147+O148+O149</f>
        <v>0</v>
      </c>
      <c r="P146" s="117"/>
    </row>
    <row r="147" spans="2:16" outlineLevel="1" x14ac:dyDescent="0.2">
      <c r="B147" s="118"/>
      <c r="C147" s="132"/>
      <c r="D147" s="118"/>
      <c r="E147" s="118"/>
      <c r="F147" s="118"/>
      <c r="G147" s="118"/>
      <c r="H147" s="95" t="s">
        <v>4</v>
      </c>
      <c r="I147" s="94">
        <f t="shared" si="43"/>
        <v>0</v>
      </c>
      <c r="J147" s="94"/>
      <c r="K147" s="94"/>
      <c r="L147" s="94"/>
      <c r="M147" s="94"/>
      <c r="N147" s="94"/>
      <c r="O147" s="94"/>
      <c r="P147" s="118"/>
    </row>
    <row r="148" spans="2:16" outlineLevel="1" x14ac:dyDescent="0.2">
      <c r="B148" s="118"/>
      <c r="C148" s="132"/>
      <c r="D148" s="118"/>
      <c r="E148" s="118"/>
      <c r="F148" s="118"/>
      <c r="G148" s="118"/>
      <c r="H148" s="95" t="s">
        <v>6</v>
      </c>
      <c r="I148" s="94">
        <f t="shared" si="43"/>
        <v>40</v>
      </c>
      <c r="J148" s="94"/>
      <c r="K148" s="94"/>
      <c r="L148" s="94">
        <v>40</v>
      </c>
      <c r="M148" s="94"/>
      <c r="N148" s="94"/>
      <c r="O148" s="94"/>
      <c r="P148" s="118"/>
    </row>
    <row r="149" spans="2:16" outlineLevel="1" x14ac:dyDescent="0.2">
      <c r="B149" s="119"/>
      <c r="C149" s="133"/>
      <c r="D149" s="119"/>
      <c r="E149" s="119"/>
      <c r="F149" s="119"/>
      <c r="G149" s="119"/>
      <c r="H149" s="95" t="s">
        <v>5</v>
      </c>
      <c r="I149" s="94">
        <f t="shared" si="43"/>
        <v>0</v>
      </c>
      <c r="J149" s="94"/>
      <c r="K149" s="94"/>
      <c r="L149" s="94"/>
      <c r="M149" s="94"/>
      <c r="N149" s="94"/>
      <c r="O149" s="94"/>
      <c r="P149" s="119"/>
    </row>
    <row r="150" spans="2:16" ht="42.75" outlineLevel="1" x14ac:dyDescent="0.2">
      <c r="B150" s="117" t="s">
        <v>1279</v>
      </c>
      <c r="C150" s="117"/>
      <c r="D150" s="117" t="s">
        <v>174</v>
      </c>
      <c r="E150" s="117">
        <v>2021</v>
      </c>
      <c r="F150" s="117">
        <v>340</v>
      </c>
      <c r="G150" s="117" t="s">
        <v>101</v>
      </c>
      <c r="H150" s="95" t="s">
        <v>3</v>
      </c>
      <c r="I150" s="94">
        <f t="shared" si="43"/>
        <v>23</v>
      </c>
      <c r="J150" s="94">
        <f t="shared" ref="J150:L150" si="58">J151+J152+J153</f>
        <v>0</v>
      </c>
      <c r="K150" s="94">
        <f t="shared" si="58"/>
        <v>23</v>
      </c>
      <c r="L150" s="94">
        <f t="shared" si="58"/>
        <v>0</v>
      </c>
      <c r="M150" s="94">
        <v>0</v>
      </c>
      <c r="N150" s="94">
        <f t="shared" ref="N150:O150" si="59">N151+N152+N153</f>
        <v>0</v>
      </c>
      <c r="O150" s="94">
        <f t="shared" si="59"/>
        <v>0</v>
      </c>
      <c r="P150" s="117"/>
    </row>
    <row r="151" spans="2:16" outlineLevel="1" x14ac:dyDescent="0.2">
      <c r="B151" s="118"/>
      <c r="C151" s="132"/>
      <c r="D151" s="118"/>
      <c r="E151" s="118"/>
      <c r="F151" s="118"/>
      <c r="G151" s="118"/>
      <c r="H151" s="95" t="s">
        <v>4</v>
      </c>
      <c r="I151" s="94">
        <f t="shared" si="43"/>
        <v>0</v>
      </c>
      <c r="J151" s="94"/>
      <c r="K151" s="94"/>
      <c r="L151" s="94"/>
      <c r="M151" s="94"/>
      <c r="N151" s="94"/>
      <c r="O151" s="94"/>
      <c r="P151" s="118"/>
    </row>
    <row r="152" spans="2:16" outlineLevel="1" x14ac:dyDescent="0.2">
      <c r="B152" s="118"/>
      <c r="C152" s="132"/>
      <c r="D152" s="118"/>
      <c r="E152" s="118"/>
      <c r="F152" s="118"/>
      <c r="G152" s="118"/>
      <c r="H152" s="95" t="s">
        <v>6</v>
      </c>
      <c r="I152" s="94">
        <f t="shared" si="43"/>
        <v>23</v>
      </c>
      <c r="J152" s="94"/>
      <c r="K152" s="94">
        <v>23</v>
      </c>
      <c r="L152" s="94"/>
      <c r="M152" s="94"/>
      <c r="N152" s="94"/>
      <c r="O152" s="94"/>
      <c r="P152" s="118"/>
    </row>
    <row r="153" spans="2:16" outlineLevel="1" x14ac:dyDescent="0.2">
      <c r="B153" s="119"/>
      <c r="C153" s="133"/>
      <c r="D153" s="119"/>
      <c r="E153" s="119"/>
      <c r="F153" s="119"/>
      <c r="G153" s="119"/>
      <c r="H153" s="95" t="s">
        <v>5</v>
      </c>
      <c r="I153" s="94">
        <f t="shared" si="43"/>
        <v>0</v>
      </c>
      <c r="J153" s="94"/>
      <c r="K153" s="94"/>
      <c r="L153" s="94"/>
      <c r="M153" s="94"/>
      <c r="N153" s="94"/>
      <c r="O153" s="94"/>
      <c r="P153" s="119"/>
    </row>
    <row r="154" spans="2:16" ht="42.75" outlineLevel="1" x14ac:dyDescent="0.2">
      <c r="B154" s="117" t="s">
        <v>1280</v>
      </c>
      <c r="C154" s="117"/>
      <c r="D154" s="117" t="s">
        <v>174</v>
      </c>
      <c r="E154" s="117">
        <v>2022</v>
      </c>
      <c r="F154" s="117">
        <v>280</v>
      </c>
      <c r="G154" s="117" t="s">
        <v>101</v>
      </c>
      <c r="H154" s="95" t="s">
        <v>3</v>
      </c>
      <c r="I154" s="94">
        <f t="shared" si="43"/>
        <v>40</v>
      </c>
      <c r="J154" s="94">
        <f t="shared" ref="J154:M154" si="60">J155+J156+J157</f>
        <v>0</v>
      </c>
      <c r="K154" s="94">
        <f t="shared" si="60"/>
        <v>0</v>
      </c>
      <c r="L154" s="94">
        <f t="shared" si="60"/>
        <v>40</v>
      </c>
      <c r="M154" s="94">
        <f t="shared" si="60"/>
        <v>0</v>
      </c>
      <c r="N154" s="94">
        <v>0</v>
      </c>
      <c r="O154" s="94">
        <f t="shared" ref="O154" si="61">O155+O156+O157</f>
        <v>0</v>
      </c>
      <c r="P154" s="117"/>
    </row>
    <row r="155" spans="2:16" outlineLevel="1" x14ac:dyDescent="0.2">
      <c r="B155" s="118"/>
      <c r="C155" s="132"/>
      <c r="D155" s="118"/>
      <c r="E155" s="118"/>
      <c r="F155" s="118"/>
      <c r="G155" s="118"/>
      <c r="H155" s="95" t="s">
        <v>4</v>
      </c>
      <c r="I155" s="94">
        <f t="shared" si="43"/>
        <v>0</v>
      </c>
      <c r="J155" s="94"/>
      <c r="K155" s="94"/>
      <c r="L155" s="94"/>
      <c r="M155" s="94"/>
      <c r="N155" s="94"/>
      <c r="O155" s="94"/>
      <c r="P155" s="118"/>
    </row>
    <row r="156" spans="2:16" outlineLevel="1" x14ac:dyDescent="0.2">
      <c r="B156" s="118"/>
      <c r="C156" s="132"/>
      <c r="D156" s="118"/>
      <c r="E156" s="118"/>
      <c r="F156" s="118"/>
      <c r="G156" s="118"/>
      <c r="H156" s="95" t="s">
        <v>6</v>
      </c>
      <c r="I156" s="94">
        <f t="shared" si="43"/>
        <v>40</v>
      </c>
      <c r="J156" s="94"/>
      <c r="K156" s="94"/>
      <c r="L156" s="94">
        <v>40</v>
      </c>
      <c r="M156" s="94"/>
      <c r="N156" s="94"/>
      <c r="O156" s="94"/>
      <c r="P156" s="118"/>
    </row>
    <row r="157" spans="2:16" outlineLevel="1" x14ac:dyDescent="0.2">
      <c r="B157" s="119"/>
      <c r="C157" s="133"/>
      <c r="D157" s="119"/>
      <c r="E157" s="119"/>
      <c r="F157" s="119"/>
      <c r="G157" s="119"/>
      <c r="H157" s="95" t="s">
        <v>5</v>
      </c>
      <c r="I157" s="94">
        <f t="shared" si="43"/>
        <v>0</v>
      </c>
      <c r="J157" s="94"/>
      <c r="K157" s="94"/>
      <c r="L157" s="94"/>
      <c r="M157" s="94"/>
      <c r="N157" s="94"/>
      <c r="O157" s="94"/>
      <c r="P157" s="119"/>
    </row>
    <row r="158" spans="2:16" ht="42.75" outlineLevel="1" x14ac:dyDescent="0.2">
      <c r="B158" s="117" t="s">
        <v>1281</v>
      </c>
      <c r="C158" s="117"/>
      <c r="D158" s="117" t="s">
        <v>174</v>
      </c>
      <c r="E158" s="117">
        <v>2021</v>
      </c>
      <c r="F158" s="117">
        <v>280</v>
      </c>
      <c r="G158" s="117" t="s">
        <v>101</v>
      </c>
      <c r="H158" s="95" t="s">
        <v>3</v>
      </c>
      <c r="I158" s="94">
        <f t="shared" si="43"/>
        <v>6</v>
      </c>
      <c r="J158" s="94">
        <f t="shared" ref="J158:M158" si="62">J159+J160+J161</f>
        <v>0</v>
      </c>
      <c r="K158" s="94">
        <f t="shared" si="62"/>
        <v>6</v>
      </c>
      <c r="L158" s="94">
        <f t="shared" si="62"/>
        <v>0</v>
      </c>
      <c r="M158" s="94">
        <f t="shared" si="62"/>
        <v>0</v>
      </c>
      <c r="N158" s="94">
        <v>0</v>
      </c>
      <c r="O158" s="94">
        <f t="shared" ref="O158" si="63">O159+O160+O161</f>
        <v>0</v>
      </c>
      <c r="P158" s="117"/>
    </row>
    <row r="159" spans="2:16" outlineLevel="1" x14ac:dyDescent="0.2">
      <c r="B159" s="118"/>
      <c r="C159" s="132"/>
      <c r="D159" s="118"/>
      <c r="E159" s="118"/>
      <c r="F159" s="118"/>
      <c r="G159" s="118"/>
      <c r="H159" s="95" t="s">
        <v>4</v>
      </c>
      <c r="I159" s="94">
        <f t="shared" si="43"/>
        <v>0</v>
      </c>
      <c r="J159" s="94"/>
      <c r="K159" s="94"/>
      <c r="L159" s="94"/>
      <c r="M159" s="94"/>
      <c r="N159" s="94"/>
      <c r="O159" s="94"/>
      <c r="P159" s="118"/>
    </row>
    <row r="160" spans="2:16" outlineLevel="1" x14ac:dyDescent="0.2">
      <c r="B160" s="118"/>
      <c r="C160" s="132"/>
      <c r="D160" s="118"/>
      <c r="E160" s="118"/>
      <c r="F160" s="118"/>
      <c r="G160" s="118"/>
      <c r="H160" s="95" t="s">
        <v>6</v>
      </c>
      <c r="I160" s="94">
        <f t="shared" si="43"/>
        <v>6</v>
      </c>
      <c r="J160" s="94"/>
      <c r="K160" s="94">
        <v>6</v>
      </c>
      <c r="L160" s="94"/>
      <c r="M160" s="94"/>
      <c r="N160" s="94"/>
      <c r="O160" s="94"/>
      <c r="P160" s="118"/>
    </row>
    <row r="161" spans="2:17" outlineLevel="1" x14ac:dyDescent="0.2">
      <c r="B161" s="119"/>
      <c r="C161" s="133"/>
      <c r="D161" s="119"/>
      <c r="E161" s="119"/>
      <c r="F161" s="119"/>
      <c r="G161" s="119"/>
      <c r="H161" s="95" t="s">
        <v>5</v>
      </c>
      <c r="I161" s="94">
        <f t="shared" si="43"/>
        <v>0</v>
      </c>
      <c r="J161" s="94"/>
      <c r="K161" s="94"/>
      <c r="L161" s="94"/>
      <c r="M161" s="94"/>
      <c r="N161" s="94"/>
      <c r="O161" s="94"/>
      <c r="P161" s="119"/>
    </row>
    <row r="162" spans="2:17" ht="42.75" customHeight="1" outlineLevel="1" x14ac:dyDescent="0.2">
      <c r="B162" s="117" t="s">
        <v>1282</v>
      </c>
      <c r="C162" s="117"/>
      <c r="D162" s="117" t="s">
        <v>174</v>
      </c>
      <c r="E162" s="117">
        <v>2021</v>
      </c>
      <c r="F162" s="117">
        <v>280</v>
      </c>
      <c r="G162" s="117" t="s">
        <v>101</v>
      </c>
      <c r="H162" s="95" t="s">
        <v>3</v>
      </c>
      <c r="I162" s="94">
        <f t="shared" si="43"/>
        <v>12.9</v>
      </c>
      <c r="J162" s="94">
        <f t="shared" ref="J162:L162" si="64">J163+J164+J165</f>
        <v>0</v>
      </c>
      <c r="K162" s="94">
        <f t="shared" si="64"/>
        <v>12.9</v>
      </c>
      <c r="L162" s="94">
        <f t="shared" si="64"/>
        <v>0</v>
      </c>
      <c r="M162" s="94">
        <v>0</v>
      </c>
      <c r="N162" s="94">
        <f t="shared" ref="N162:O162" si="65">N163+N164+N165</f>
        <v>0</v>
      </c>
      <c r="O162" s="94">
        <f t="shared" si="65"/>
        <v>0</v>
      </c>
      <c r="P162" s="117"/>
    </row>
    <row r="163" spans="2:17" outlineLevel="1" x14ac:dyDescent="0.2">
      <c r="B163" s="132"/>
      <c r="C163" s="118"/>
      <c r="D163" s="118"/>
      <c r="E163" s="118"/>
      <c r="F163" s="118"/>
      <c r="G163" s="118"/>
      <c r="H163" s="95" t="s">
        <v>4</v>
      </c>
      <c r="I163" s="94">
        <f t="shared" si="43"/>
        <v>0</v>
      </c>
      <c r="J163" s="94"/>
      <c r="K163" s="94"/>
      <c r="L163" s="94"/>
      <c r="M163" s="94"/>
      <c r="N163" s="94"/>
      <c r="O163" s="94"/>
      <c r="P163" s="118"/>
    </row>
    <row r="164" spans="2:17" outlineLevel="1" x14ac:dyDescent="0.2">
      <c r="B164" s="132"/>
      <c r="C164" s="118"/>
      <c r="D164" s="118"/>
      <c r="E164" s="118"/>
      <c r="F164" s="118"/>
      <c r="G164" s="118"/>
      <c r="H164" s="95" t="s">
        <v>6</v>
      </c>
      <c r="I164" s="94">
        <f t="shared" si="43"/>
        <v>12.9</v>
      </c>
      <c r="J164" s="94"/>
      <c r="K164" s="94">
        <v>12.9</v>
      </c>
      <c r="L164" s="94"/>
      <c r="M164" s="94"/>
      <c r="N164" s="94"/>
      <c r="O164" s="94"/>
      <c r="P164" s="118"/>
    </row>
    <row r="165" spans="2:17" outlineLevel="1" x14ac:dyDescent="0.2">
      <c r="B165" s="133"/>
      <c r="C165" s="119"/>
      <c r="D165" s="119"/>
      <c r="E165" s="119"/>
      <c r="F165" s="119"/>
      <c r="G165" s="119"/>
      <c r="H165" s="95" t="s">
        <v>5</v>
      </c>
      <c r="I165" s="94">
        <f t="shared" si="43"/>
        <v>0</v>
      </c>
      <c r="J165" s="94"/>
      <c r="K165" s="94"/>
      <c r="L165" s="94"/>
      <c r="M165" s="94"/>
      <c r="N165" s="94"/>
      <c r="O165" s="94"/>
      <c r="P165" s="119"/>
    </row>
    <row r="166" spans="2:17" ht="42.75" customHeight="1" outlineLevel="1" x14ac:dyDescent="0.2">
      <c r="B166" s="117" t="s">
        <v>1283</v>
      </c>
      <c r="C166" s="117"/>
      <c r="D166" s="117" t="s">
        <v>174</v>
      </c>
      <c r="E166" s="117">
        <v>2021</v>
      </c>
      <c r="F166" s="117">
        <v>280</v>
      </c>
      <c r="G166" s="117" t="s">
        <v>101</v>
      </c>
      <c r="H166" s="95" t="s">
        <v>3</v>
      </c>
      <c r="I166" s="94">
        <f t="shared" si="43"/>
        <v>12.7</v>
      </c>
      <c r="J166" s="94">
        <f t="shared" ref="J166:M166" si="66">J167+J168+J169</f>
        <v>0</v>
      </c>
      <c r="K166" s="94">
        <f t="shared" si="66"/>
        <v>12.7</v>
      </c>
      <c r="L166" s="94">
        <f t="shared" si="66"/>
        <v>0</v>
      </c>
      <c r="M166" s="94">
        <f t="shared" si="66"/>
        <v>0</v>
      </c>
      <c r="N166" s="94">
        <v>0</v>
      </c>
      <c r="O166" s="94">
        <f t="shared" ref="O166" si="67">O167+O168+O169</f>
        <v>0</v>
      </c>
      <c r="P166" s="117"/>
    </row>
    <row r="167" spans="2:17" outlineLevel="1" x14ac:dyDescent="0.2">
      <c r="B167" s="118"/>
      <c r="C167" s="118"/>
      <c r="D167" s="118"/>
      <c r="E167" s="118"/>
      <c r="F167" s="118"/>
      <c r="G167" s="118"/>
      <c r="H167" s="95" t="s">
        <v>4</v>
      </c>
      <c r="I167" s="94">
        <f t="shared" si="43"/>
        <v>0</v>
      </c>
      <c r="J167" s="94"/>
      <c r="K167" s="94"/>
      <c r="L167" s="94"/>
      <c r="M167" s="94"/>
      <c r="N167" s="94"/>
      <c r="O167" s="94"/>
      <c r="P167" s="118"/>
    </row>
    <row r="168" spans="2:17" outlineLevel="1" x14ac:dyDescent="0.2">
      <c r="B168" s="118"/>
      <c r="C168" s="118"/>
      <c r="D168" s="118"/>
      <c r="E168" s="118"/>
      <c r="F168" s="118"/>
      <c r="G168" s="118"/>
      <c r="H168" s="95" t="s">
        <v>6</v>
      </c>
      <c r="I168" s="94">
        <f t="shared" si="43"/>
        <v>12.7</v>
      </c>
      <c r="J168" s="94"/>
      <c r="K168" s="94">
        <v>12.7</v>
      </c>
      <c r="L168" s="94"/>
      <c r="M168" s="94"/>
      <c r="N168" s="94"/>
      <c r="O168" s="94"/>
      <c r="P168" s="118"/>
    </row>
    <row r="169" spans="2:17" outlineLevel="1" x14ac:dyDescent="0.2">
      <c r="B169" s="119"/>
      <c r="C169" s="119"/>
      <c r="D169" s="119"/>
      <c r="E169" s="119"/>
      <c r="F169" s="119"/>
      <c r="G169" s="119"/>
      <c r="H169" s="95" t="s">
        <v>5</v>
      </c>
      <c r="I169" s="94">
        <f t="shared" si="43"/>
        <v>0</v>
      </c>
      <c r="J169" s="94"/>
      <c r="K169" s="94"/>
      <c r="L169" s="94"/>
      <c r="M169" s="94"/>
      <c r="N169" s="94"/>
      <c r="O169" s="94"/>
      <c r="P169" s="119"/>
    </row>
    <row r="170" spans="2:17" ht="42.75" customHeight="1" outlineLevel="1" x14ac:dyDescent="0.2">
      <c r="B170" s="117" t="s">
        <v>1284</v>
      </c>
      <c r="C170" s="117"/>
      <c r="D170" s="117" t="s">
        <v>174</v>
      </c>
      <c r="E170" s="117">
        <v>2023</v>
      </c>
      <c r="F170" s="117">
        <v>280</v>
      </c>
      <c r="G170" s="117" t="s">
        <v>101</v>
      </c>
      <c r="H170" s="95" t="s">
        <v>3</v>
      </c>
      <c r="I170" s="94">
        <f t="shared" si="43"/>
        <v>25</v>
      </c>
      <c r="J170" s="94">
        <f t="shared" ref="J170:O170" si="68">J171+J172+J173</f>
        <v>0</v>
      </c>
      <c r="K170" s="94">
        <f t="shared" si="68"/>
        <v>0</v>
      </c>
      <c r="L170" s="94">
        <f t="shared" si="68"/>
        <v>0</v>
      </c>
      <c r="M170" s="94">
        <f t="shared" si="68"/>
        <v>25</v>
      </c>
      <c r="N170" s="94">
        <f t="shared" si="68"/>
        <v>0</v>
      </c>
      <c r="O170" s="94">
        <f t="shared" si="68"/>
        <v>0</v>
      </c>
      <c r="P170" s="117"/>
    </row>
    <row r="171" spans="2:17" outlineLevel="1" x14ac:dyDescent="0.2">
      <c r="B171" s="118"/>
      <c r="C171" s="132"/>
      <c r="D171" s="118"/>
      <c r="E171" s="118"/>
      <c r="F171" s="118"/>
      <c r="G171" s="118"/>
      <c r="H171" s="95" t="s">
        <v>4</v>
      </c>
      <c r="I171" s="94">
        <f t="shared" si="43"/>
        <v>0</v>
      </c>
      <c r="J171" s="94"/>
      <c r="K171" s="94"/>
      <c r="L171" s="94"/>
      <c r="M171" s="94"/>
      <c r="N171" s="94"/>
      <c r="O171" s="94"/>
      <c r="P171" s="118"/>
    </row>
    <row r="172" spans="2:17" outlineLevel="1" x14ac:dyDescent="0.2">
      <c r="B172" s="118"/>
      <c r="C172" s="132"/>
      <c r="D172" s="118"/>
      <c r="E172" s="118"/>
      <c r="F172" s="118"/>
      <c r="G172" s="118"/>
      <c r="H172" s="95" t="s">
        <v>6</v>
      </c>
      <c r="I172" s="94">
        <f t="shared" si="43"/>
        <v>25</v>
      </c>
      <c r="J172" s="94"/>
      <c r="K172" s="94"/>
      <c r="L172" s="94"/>
      <c r="M172" s="94">
        <v>25</v>
      </c>
      <c r="N172" s="94"/>
      <c r="O172" s="94"/>
      <c r="P172" s="118"/>
    </row>
    <row r="173" spans="2:17" outlineLevel="1" x14ac:dyDescent="0.2">
      <c r="B173" s="119"/>
      <c r="C173" s="133"/>
      <c r="D173" s="119"/>
      <c r="E173" s="119"/>
      <c r="F173" s="119"/>
      <c r="G173" s="119"/>
      <c r="H173" s="95" t="s">
        <v>5</v>
      </c>
      <c r="I173" s="94">
        <f t="shared" si="43"/>
        <v>0</v>
      </c>
      <c r="J173" s="94"/>
      <c r="K173" s="94"/>
      <c r="L173" s="94"/>
      <c r="M173" s="94"/>
      <c r="N173" s="94"/>
      <c r="O173" s="94"/>
      <c r="P173" s="119"/>
    </row>
    <row r="174" spans="2:17" ht="42.75" x14ac:dyDescent="0.2">
      <c r="B174" s="128" t="s">
        <v>197</v>
      </c>
      <c r="C174" s="128" t="s">
        <v>38</v>
      </c>
      <c r="D174" s="128" t="s">
        <v>38</v>
      </c>
      <c r="E174" s="128" t="s">
        <v>38</v>
      </c>
      <c r="F174" s="128" t="s">
        <v>38</v>
      </c>
      <c r="G174" s="128" t="s">
        <v>38</v>
      </c>
      <c r="H174" s="95" t="s">
        <v>3</v>
      </c>
      <c r="I174" s="14">
        <f t="shared" ref="I174:O174" si="69">SUMIF($H$118:$H$173,"Объем*",I$118:I$173)</f>
        <v>430.09999999999997</v>
      </c>
      <c r="J174" s="14">
        <f t="shared" si="69"/>
        <v>25.900000000000002</v>
      </c>
      <c r="K174" s="14">
        <f t="shared" si="69"/>
        <v>274.2</v>
      </c>
      <c r="L174" s="14">
        <f t="shared" si="69"/>
        <v>105</v>
      </c>
      <c r="M174" s="14">
        <f t="shared" si="69"/>
        <v>25</v>
      </c>
      <c r="N174" s="14">
        <f t="shared" si="69"/>
        <v>0</v>
      </c>
      <c r="O174" s="14">
        <f t="shared" si="69"/>
        <v>0</v>
      </c>
      <c r="P174" s="128"/>
      <c r="Q174" s="7"/>
    </row>
    <row r="175" spans="2:17" ht="15.75" x14ac:dyDescent="0.2">
      <c r="B175" s="129"/>
      <c r="C175" s="129"/>
      <c r="D175" s="129"/>
      <c r="E175" s="129"/>
      <c r="F175" s="129"/>
      <c r="G175" s="129"/>
      <c r="H175" s="95" t="s">
        <v>4</v>
      </c>
      <c r="I175" s="14">
        <f t="shared" ref="I175:O175" si="70">SUMIF($H$118:$H$173,"фед*",I$118:I$173)</f>
        <v>0</v>
      </c>
      <c r="J175" s="14">
        <f t="shared" si="70"/>
        <v>0</v>
      </c>
      <c r="K175" s="14">
        <f t="shared" si="70"/>
        <v>0</v>
      </c>
      <c r="L175" s="14">
        <f t="shared" si="70"/>
        <v>0</v>
      </c>
      <c r="M175" s="14">
        <f t="shared" si="70"/>
        <v>0</v>
      </c>
      <c r="N175" s="14">
        <f t="shared" si="70"/>
        <v>0</v>
      </c>
      <c r="O175" s="14">
        <f t="shared" si="70"/>
        <v>0</v>
      </c>
      <c r="P175" s="129"/>
      <c r="Q175" s="7"/>
    </row>
    <row r="176" spans="2:17" ht="15.75" x14ac:dyDescent="0.2">
      <c r="B176" s="129"/>
      <c r="C176" s="129"/>
      <c r="D176" s="129"/>
      <c r="E176" s="129"/>
      <c r="F176" s="129"/>
      <c r="G176" s="129"/>
      <c r="H176" s="95" t="s">
        <v>6</v>
      </c>
      <c r="I176" s="14">
        <f t="shared" ref="I176:O176" si="71">SUMIF($H$118:$H$173,"конс*",I$118:I$173)</f>
        <v>430.09999999999997</v>
      </c>
      <c r="J176" s="14">
        <f t="shared" si="71"/>
        <v>25.900000000000002</v>
      </c>
      <c r="K176" s="14">
        <f t="shared" si="71"/>
        <v>274.2</v>
      </c>
      <c r="L176" s="14">
        <f t="shared" si="71"/>
        <v>105</v>
      </c>
      <c r="M176" s="14">
        <f t="shared" si="71"/>
        <v>25</v>
      </c>
      <c r="N176" s="14">
        <f t="shared" si="71"/>
        <v>0</v>
      </c>
      <c r="O176" s="14">
        <f t="shared" si="71"/>
        <v>0</v>
      </c>
      <c r="P176" s="129"/>
      <c r="Q176" s="7"/>
    </row>
    <row r="177" spans="2:17" ht="15.75" x14ac:dyDescent="0.2">
      <c r="B177" s="130"/>
      <c r="C177" s="130"/>
      <c r="D177" s="130"/>
      <c r="E177" s="130"/>
      <c r="F177" s="130"/>
      <c r="G177" s="130"/>
      <c r="H177" s="95" t="s">
        <v>5</v>
      </c>
      <c r="I177" s="14">
        <f t="shared" ref="I177:O177" si="72">SUMIF($H$118:$H$173,"вне*",I$118:I$173)</f>
        <v>0</v>
      </c>
      <c r="J177" s="14">
        <f t="shared" si="72"/>
        <v>0</v>
      </c>
      <c r="K177" s="14">
        <f t="shared" si="72"/>
        <v>0</v>
      </c>
      <c r="L177" s="14">
        <f t="shared" si="72"/>
        <v>0</v>
      </c>
      <c r="M177" s="14">
        <f t="shared" si="72"/>
        <v>0</v>
      </c>
      <c r="N177" s="14">
        <f t="shared" si="72"/>
        <v>0</v>
      </c>
      <c r="O177" s="14">
        <f t="shared" si="72"/>
        <v>0</v>
      </c>
      <c r="P177" s="130"/>
      <c r="Q177" s="7"/>
    </row>
    <row r="178" spans="2:17" ht="25.5" customHeight="1" x14ac:dyDescent="0.2">
      <c r="B178" s="111" t="s">
        <v>39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3"/>
    </row>
    <row r="179" spans="2:17" ht="42.75" customHeight="1" outlineLevel="1" x14ac:dyDescent="0.2">
      <c r="B179" s="178" t="s">
        <v>1285</v>
      </c>
      <c r="C179" s="178"/>
      <c r="D179" s="178" t="s">
        <v>1286</v>
      </c>
      <c r="E179" s="178">
        <v>2021</v>
      </c>
      <c r="F179" s="178">
        <v>203</v>
      </c>
      <c r="G179" s="178" t="s">
        <v>101</v>
      </c>
      <c r="H179" s="95" t="s">
        <v>3</v>
      </c>
      <c r="I179" s="17">
        <f t="shared" ref="I179:I238" si="73">SUM(J179:O179)</f>
        <v>40.049300000000002</v>
      </c>
      <c r="J179" s="98"/>
      <c r="K179" s="99">
        <v>40.049300000000002</v>
      </c>
      <c r="L179" s="99"/>
      <c r="M179" s="99"/>
      <c r="N179" s="99"/>
      <c r="O179" s="99"/>
      <c r="P179" s="178">
        <v>580</v>
      </c>
    </row>
    <row r="180" spans="2:17" outlineLevel="1" x14ac:dyDescent="0.2">
      <c r="B180" s="178"/>
      <c r="C180" s="143"/>
      <c r="D180" s="178"/>
      <c r="E180" s="178"/>
      <c r="F180" s="178"/>
      <c r="G180" s="178"/>
      <c r="H180" s="95" t="s">
        <v>4</v>
      </c>
      <c r="I180" s="17">
        <f t="shared" si="73"/>
        <v>0</v>
      </c>
      <c r="J180" s="99"/>
      <c r="K180" s="99"/>
      <c r="L180" s="99"/>
      <c r="M180" s="99"/>
      <c r="N180" s="99"/>
      <c r="O180" s="99"/>
      <c r="P180" s="178"/>
    </row>
    <row r="181" spans="2:17" outlineLevel="1" x14ac:dyDescent="0.2">
      <c r="B181" s="178"/>
      <c r="C181" s="143"/>
      <c r="D181" s="178"/>
      <c r="E181" s="178"/>
      <c r="F181" s="178"/>
      <c r="G181" s="178"/>
      <c r="H181" s="95" t="s">
        <v>6</v>
      </c>
      <c r="I181" s="17">
        <f t="shared" si="73"/>
        <v>40.049299999999995</v>
      </c>
      <c r="J181" s="99"/>
      <c r="K181" s="99">
        <f>39.3993+0.65</f>
        <v>40.049299999999995</v>
      </c>
      <c r="L181" s="99"/>
      <c r="M181" s="99"/>
      <c r="N181" s="99"/>
      <c r="O181" s="99"/>
      <c r="P181" s="178"/>
    </row>
    <row r="182" spans="2:17" outlineLevel="1" x14ac:dyDescent="0.2">
      <c r="B182" s="178"/>
      <c r="C182" s="143"/>
      <c r="D182" s="178"/>
      <c r="E182" s="178"/>
      <c r="F182" s="178"/>
      <c r="G182" s="178"/>
      <c r="H182" s="95" t="s">
        <v>5</v>
      </c>
      <c r="I182" s="17">
        <f t="shared" si="73"/>
        <v>0</v>
      </c>
      <c r="J182" s="99"/>
      <c r="K182" s="99"/>
      <c r="L182" s="99"/>
      <c r="M182" s="99"/>
      <c r="N182" s="99"/>
      <c r="O182" s="99"/>
      <c r="P182" s="178"/>
    </row>
    <row r="183" spans="2:17" ht="42.75" customHeight="1" outlineLevel="1" x14ac:dyDescent="0.2">
      <c r="B183" s="178" t="s">
        <v>1287</v>
      </c>
      <c r="C183" s="178"/>
      <c r="D183" s="178" t="s">
        <v>1288</v>
      </c>
      <c r="E183" s="178">
        <v>2021</v>
      </c>
      <c r="F183" s="178">
        <v>260</v>
      </c>
      <c r="G183" s="178" t="s">
        <v>101</v>
      </c>
      <c r="H183" s="95" t="s">
        <v>3</v>
      </c>
      <c r="I183" s="17">
        <f t="shared" si="73"/>
        <v>38.504350000000002</v>
      </c>
      <c r="J183" s="98"/>
      <c r="K183" s="99">
        <v>38.504350000000002</v>
      </c>
      <c r="L183" s="99"/>
      <c r="M183" s="99"/>
      <c r="N183" s="99"/>
      <c r="O183" s="99"/>
      <c r="P183" s="178">
        <v>883</v>
      </c>
    </row>
    <row r="184" spans="2:17" outlineLevel="1" x14ac:dyDescent="0.2">
      <c r="B184" s="178"/>
      <c r="C184" s="143"/>
      <c r="D184" s="178"/>
      <c r="E184" s="178"/>
      <c r="F184" s="178"/>
      <c r="G184" s="178"/>
      <c r="H184" s="95" t="s">
        <v>4</v>
      </c>
      <c r="I184" s="17">
        <f t="shared" si="73"/>
        <v>0</v>
      </c>
      <c r="J184" s="99"/>
      <c r="K184" s="99"/>
      <c r="L184" s="99"/>
      <c r="M184" s="99"/>
      <c r="N184" s="99"/>
      <c r="O184" s="99"/>
      <c r="P184" s="178"/>
    </row>
    <row r="185" spans="2:17" outlineLevel="1" x14ac:dyDescent="0.2">
      <c r="B185" s="178"/>
      <c r="C185" s="143"/>
      <c r="D185" s="178"/>
      <c r="E185" s="178"/>
      <c r="F185" s="178"/>
      <c r="G185" s="178"/>
      <c r="H185" s="95" t="s">
        <v>6</v>
      </c>
      <c r="I185" s="17">
        <f t="shared" si="73"/>
        <v>38.504349999999995</v>
      </c>
      <c r="J185" s="99"/>
      <c r="K185" s="99">
        <f>37.95435+0.55</f>
        <v>38.504349999999995</v>
      </c>
      <c r="L185" s="99"/>
      <c r="M185" s="99"/>
      <c r="N185" s="99"/>
      <c r="O185" s="99"/>
      <c r="P185" s="178"/>
    </row>
    <row r="186" spans="2:17" outlineLevel="1" x14ac:dyDescent="0.2">
      <c r="B186" s="178"/>
      <c r="C186" s="143"/>
      <c r="D186" s="178"/>
      <c r="E186" s="178"/>
      <c r="F186" s="178"/>
      <c r="G186" s="178"/>
      <c r="H186" s="95" t="s">
        <v>5</v>
      </c>
      <c r="I186" s="17">
        <f t="shared" si="73"/>
        <v>0</v>
      </c>
      <c r="J186" s="99"/>
      <c r="K186" s="99"/>
      <c r="L186" s="99"/>
      <c r="M186" s="99"/>
      <c r="N186" s="99"/>
      <c r="O186" s="99"/>
      <c r="P186" s="178"/>
    </row>
    <row r="187" spans="2:17" ht="42.75" customHeight="1" outlineLevel="1" x14ac:dyDescent="0.2">
      <c r="B187" s="178" t="s">
        <v>1289</v>
      </c>
      <c r="C187" s="178"/>
      <c r="D187" s="178" t="s">
        <v>1290</v>
      </c>
      <c r="E187" s="178">
        <v>2023</v>
      </c>
      <c r="F187" s="178">
        <v>260</v>
      </c>
      <c r="G187" s="178" t="s">
        <v>101</v>
      </c>
      <c r="H187" s="95" t="s">
        <v>3</v>
      </c>
      <c r="I187" s="17">
        <f t="shared" si="73"/>
        <v>38.554349999999999</v>
      </c>
      <c r="J187" s="98"/>
      <c r="K187" s="99"/>
      <c r="L187" s="99"/>
      <c r="M187" s="99">
        <f>37.95435+0.6</f>
        <v>38.554349999999999</v>
      </c>
      <c r="N187" s="99"/>
      <c r="O187" s="99"/>
      <c r="P187" s="178">
        <v>748</v>
      </c>
    </row>
    <row r="188" spans="2:17" outlineLevel="1" x14ac:dyDescent="0.2">
      <c r="B188" s="178"/>
      <c r="C188" s="143"/>
      <c r="D188" s="178"/>
      <c r="E188" s="178"/>
      <c r="F188" s="178"/>
      <c r="G188" s="178"/>
      <c r="H188" s="95" t="s">
        <v>4</v>
      </c>
      <c r="I188" s="17">
        <f t="shared" si="73"/>
        <v>0</v>
      </c>
      <c r="J188" s="99"/>
      <c r="K188" s="99"/>
      <c r="L188" s="99"/>
      <c r="M188" s="99"/>
      <c r="N188" s="99"/>
      <c r="O188" s="99"/>
      <c r="P188" s="178"/>
    </row>
    <row r="189" spans="2:17" outlineLevel="1" x14ac:dyDescent="0.2">
      <c r="B189" s="178"/>
      <c r="C189" s="143"/>
      <c r="D189" s="178"/>
      <c r="E189" s="178"/>
      <c r="F189" s="178"/>
      <c r="G189" s="178"/>
      <c r="H189" s="95" t="s">
        <v>6</v>
      </c>
      <c r="I189" s="17">
        <f t="shared" si="73"/>
        <v>38.554349999999999</v>
      </c>
      <c r="J189" s="99"/>
      <c r="K189" s="99"/>
      <c r="L189" s="99"/>
      <c r="M189" s="99">
        <f>37.95435+0.6</f>
        <v>38.554349999999999</v>
      </c>
      <c r="N189" s="99"/>
      <c r="O189" s="99"/>
      <c r="P189" s="178"/>
    </row>
    <row r="190" spans="2:17" outlineLevel="1" x14ac:dyDescent="0.2">
      <c r="B190" s="178"/>
      <c r="C190" s="143"/>
      <c r="D190" s="178"/>
      <c r="E190" s="178"/>
      <c r="F190" s="178"/>
      <c r="G190" s="178"/>
      <c r="H190" s="95" t="s">
        <v>5</v>
      </c>
      <c r="I190" s="17">
        <f t="shared" si="73"/>
        <v>0</v>
      </c>
      <c r="J190" s="99"/>
      <c r="K190" s="99"/>
      <c r="L190" s="99"/>
      <c r="M190" s="99"/>
      <c r="N190" s="99"/>
      <c r="O190" s="99"/>
      <c r="P190" s="178"/>
    </row>
    <row r="191" spans="2:17" ht="42.75" customHeight="1" outlineLevel="1" x14ac:dyDescent="0.2">
      <c r="B191" s="178" t="s">
        <v>1291</v>
      </c>
      <c r="C191" s="178"/>
      <c r="D191" s="178" t="s">
        <v>1292</v>
      </c>
      <c r="E191" s="178">
        <v>2025</v>
      </c>
      <c r="F191" s="178">
        <v>140</v>
      </c>
      <c r="G191" s="178" t="s">
        <v>101</v>
      </c>
      <c r="H191" s="95" t="s">
        <v>3</v>
      </c>
      <c r="I191" s="17">
        <f t="shared" si="73"/>
        <v>38.554349999999999</v>
      </c>
      <c r="J191" s="98"/>
      <c r="K191" s="99"/>
      <c r="L191" s="99"/>
      <c r="M191" s="99"/>
      <c r="N191" s="99"/>
      <c r="O191" s="99">
        <v>38.554349999999999</v>
      </c>
      <c r="P191" s="178">
        <v>580</v>
      </c>
    </row>
    <row r="192" spans="2:17" outlineLevel="1" x14ac:dyDescent="0.2">
      <c r="B192" s="178"/>
      <c r="C192" s="143"/>
      <c r="D192" s="178"/>
      <c r="E192" s="178"/>
      <c r="F192" s="178"/>
      <c r="G192" s="178"/>
      <c r="H192" s="95" t="s">
        <v>4</v>
      </c>
      <c r="I192" s="17">
        <f t="shared" si="73"/>
        <v>0</v>
      </c>
      <c r="J192" s="99"/>
      <c r="K192" s="99"/>
      <c r="L192" s="99"/>
      <c r="M192" s="99"/>
      <c r="N192" s="99"/>
      <c r="O192" s="99"/>
      <c r="P192" s="178"/>
    </row>
    <row r="193" spans="2:16" outlineLevel="1" x14ac:dyDescent="0.2">
      <c r="B193" s="178"/>
      <c r="C193" s="143"/>
      <c r="D193" s="178"/>
      <c r="E193" s="178"/>
      <c r="F193" s="178"/>
      <c r="G193" s="178"/>
      <c r="H193" s="95" t="s">
        <v>6</v>
      </c>
      <c r="I193" s="17">
        <f t="shared" si="73"/>
        <v>38.554349999999999</v>
      </c>
      <c r="J193" s="99"/>
      <c r="K193" s="99"/>
      <c r="L193" s="99"/>
      <c r="M193" s="99"/>
      <c r="N193" s="99"/>
      <c r="O193" s="99">
        <f>37.95435+0.6</f>
        <v>38.554349999999999</v>
      </c>
      <c r="P193" s="178"/>
    </row>
    <row r="194" spans="2:16" outlineLevel="1" x14ac:dyDescent="0.2">
      <c r="B194" s="178"/>
      <c r="C194" s="143"/>
      <c r="D194" s="178"/>
      <c r="E194" s="178"/>
      <c r="F194" s="178"/>
      <c r="G194" s="178"/>
      <c r="H194" s="95" t="s">
        <v>5</v>
      </c>
      <c r="I194" s="17">
        <f t="shared" si="73"/>
        <v>0</v>
      </c>
      <c r="J194" s="99"/>
      <c r="K194" s="99"/>
      <c r="L194" s="99"/>
      <c r="M194" s="99"/>
      <c r="N194" s="99"/>
      <c r="O194" s="99"/>
      <c r="P194" s="178"/>
    </row>
    <row r="195" spans="2:16" ht="42.75" customHeight="1" outlineLevel="1" x14ac:dyDescent="0.2">
      <c r="B195" s="178" t="s">
        <v>1293</v>
      </c>
      <c r="C195" s="178"/>
      <c r="D195" s="178" t="s">
        <v>1294</v>
      </c>
      <c r="E195" s="178">
        <v>2020</v>
      </c>
      <c r="F195" s="178">
        <v>120</v>
      </c>
      <c r="G195" s="178" t="s">
        <v>101</v>
      </c>
      <c r="H195" s="95" t="s">
        <v>3</v>
      </c>
      <c r="I195" s="17">
        <f t="shared" si="73"/>
        <v>11.173999999999999</v>
      </c>
      <c r="J195" s="99">
        <v>11.173999999999999</v>
      </c>
      <c r="K195" s="99"/>
      <c r="L195" s="99"/>
      <c r="M195" s="99"/>
      <c r="N195" s="99"/>
      <c r="O195" s="99"/>
      <c r="P195" s="178">
        <v>643</v>
      </c>
    </row>
    <row r="196" spans="2:16" outlineLevel="1" x14ac:dyDescent="0.2">
      <c r="B196" s="178"/>
      <c r="C196" s="143"/>
      <c r="D196" s="178"/>
      <c r="E196" s="178"/>
      <c r="F196" s="178"/>
      <c r="G196" s="178"/>
      <c r="H196" s="95" t="s">
        <v>4</v>
      </c>
      <c r="I196" s="17">
        <f t="shared" si="73"/>
        <v>0</v>
      </c>
      <c r="J196" s="99"/>
      <c r="K196" s="99"/>
      <c r="L196" s="99"/>
      <c r="M196" s="99"/>
      <c r="N196" s="99"/>
      <c r="O196" s="99"/>
      <c r="P196" s="178"/>
    </row>
    <row r="197" spans="2:16" outlineLevel="1" x14ac:dyDescent="0.2">
      <c r="B197" s="178"/>
      <c r="C197" s="143"/>
      <c r="D197" s="178"/>
      <c r="E197" s="178"/>
      <c r="F197" s="178"/>
      <c r="G197" s="178"/>
      <c r="H197" s="95" t="s">
        <v>6</v>
      </c>
      <c r="I197" s="17">
        <f t="shared" si="73"/>
        <v>11.173999999999999</v>
      </c>
      <c r="J197" s="99">
        <f>10.526+0.648</f>
        <v>11.173999999999999</v>
      </c>
      <c r="K197" s="99"/>
      <c r="L197" s="99"/>
      <c r="M197" s="99"/>
      <c r="N197" s="99"/>
      <c r="O197" s="99"/>
      <c r="P197" s="178"/>
    </row>
    <row r="198" spans="2:16" outlineLevel="1" x14ac:dyDescent="0.2">
      <c r="B198" s="178"/>
      <c r="C198" s="143"/>
      <c r="D198" s="178"/>
      <c r="E198" s="178"/>
      <c r="F198" s="178"/>
      <c r="G198" s="178"/>
      <c r="H198" s="95" t="s">
        <v>5</v>
      </c>
      <c r="I198" s="17">
        <f t="shared" si="73"/>
        <v>0</v>
      </c>
      <c r="J198" s="99"/>
      <c r="K198" s="99"/>
      <c r="L198" s="99"/>
      <c r="M198" s="99"/>
      <c r="N198" s="99"/>
      <c r="O198" s="99"/>
      <c r="P198" s="178"/>
    </row>
    <row r="199" spans="2:16" ht="42.75" customHeight="1" outlineLevel="1" x14ac:dyDescent="0.2">
      <c r="B199" s="178" t="s">
        <v>1295</v>
      </c>
      <c r="C199" s="178"/>
      <c r="D199" s="178" t="s">
        <v>1296</v>
      </c>
      <c r="E199" s="178">
        <v>2020</v>
      </c>
      <c r="F199" s="178">
        <v>120</v>
      </c>
      <c r="G199" s="178" t="s">
        <v>101</v>
      </c>
      <c r="H199" s="95" t="s">
        <v>3</v>
      </c>
      <c r="I199" s="17">
        <f t="shared" si="73"/>
        <v>11.048</v>
      </c>
      <c r="J199" s="99">
        <v>11.048</v>
      </c>
      <c r="K199" s="99"/>
      <c r="L199" s="99"/>
      <c r="M199" s="99"/>
      <c r="N199" s="99"/>
      <c r="O199" s="99"/>
      <c r="P199" s="178">
        <v>785</v>
      </c>
    </row>
    <row r="200" spans="2:16" outlineLevel="1" x14ac:dyDescent="0.2">
      <c r="B200" s="178"/>
      <c r="C200" s="143"/>
      <c r="D200" s="178"/>
      <c r="E200" s="178"/>
      <c r="F200" s="178"/>
      <c r="G200" s="178"/>
      <c r="H200" s="95" t="s">
        <v>4</v>
      </c>
      <c r="I200" s="17">
        <f t="shared" si="73"/>
        <v>0</v>
      </c>
      <c r="J200" s="99"/>
      <c r="K200" s="99"/>
      <c r="L200" s="99"/>
      <c r="M200" s="99"/>
      <c r="N200" s="99"/>
      <c r="O200" s="99"/>
      <c r="P200" s="178"/>
    </row>
    <row r="201" spans="2:16" outlineLevel="1" x14ac:dyDescent="0.2">
      <c r="B201" s="178"/>
      <c r="C201" s="143"/>
      <c r="D201" s="178"/>
      <c r="E201" s="178"/>
      <c r="F201" s="178"/>
      <c r="G201" s="178"/>
      <c r="H201" s="95" t="s">
        <v>6</v>
      </c>
      <c r="I201" s="17">
        <f t="shared" si="73"/>
        <v>11.048</v>
      </c>
      <c r="J201" s="99">
        <f>10.526+0.522</f>
        <v>11.048</v>
      </c>
      <c r="K201" s="99"/>
      <c r="L201" s="99"/>
      <c r="M201" s="99"/>
      <c r="N201" s="99"/>
      <c r="O201" s="99"/>
      <c r="P201" s="178"/>
    </row>
    <row r="202" spans="2:16" outlineLevel="1" x14ac:dyDescent="0.2">
      <c r="B202" s="178"/>
      <c r="C202" s="143"/>
      <c r="D202" s="178"/>
      <c r="E202" s="178"/>
      <c r="F202" s="178"/>
      <c r="G202" s="178"/>
      <c r="H202" s="95" t="s">
        <v>5</v>
      </c>
      <c r="I202" s="17">
        <f t="shared" si="73"/>
        <v>0</v>
      </c>
      <c r="J202" s="99"/>
      <c r="K202" s="99"/>
      <c r="L202" s="99"/>
      <c r="M202" s="99"/>
      <c r="N202" s="99"/>
      <c r="O202" s="99"/>
      <c r="P202" s="178"/>
    </row>
    <row r="203" spans="2:16" ht="42.75" customHeight="1" outlineLevel="1" x14ac:dyDescent="0.2">
      <c r="B203" s="178" t="s">
        <v>1297</v>
      </c>
      <c r="C203" s="178"/>
      <c r="D203" s="178" t="s">
        <v>1298</v>
      </c>
      <c r="E203" s="178" t="s">
        <v>203</v>
      </c>
      <c r="F203" s="178" t="s">
        <v>1299</v>
      </c>
      <c r="G203" s="178" t="s">
        <v>101</v>
      </c>
      <c r="H203" s="95" t="s">
        <v>3</v>
      </c>
      <c r="I203" s="17">
        <f t="shared" si="73"/>
        <v>277.68</v>
      </c>
      <c r="J203" s="99">
        <f>SUM(J204:J206)</f>
        <v>277.68</v>
      </c>
      <c r="K203" s="99"/>
      <c r="L203" s="99"/>
      <c r="M203" s="99"/>
      <c r="N203" s="99"/>
      <c r="O203" s="99"/>
      <c r="P203" s="178">
        <v>670</v>
      </c>
    </row>
    <row r="204" spans="2:16" outlineLevel="1" x14ac:dyDescent="0.2">
      <c r="B204" s="178"/>
      <c r="C204" s="143"/>
      <c r="D204" s="178"/>
      <c r="E204" s="178"/>
      <c r="F204" s="178"/>
      <c r="G204" s="178"/>
      <c r="H204" s="95" t="s">
        <v>4</v>
      </c>
      <c r="I204" s="17">
        <f t="shared" si="73"/>
        <v>0</v>
      </c>
      <c r="J204" s="99"/>
      <c r="K204" s="99"/>
      <c r="L204" s="99"/>
      <c r="M204" s="99"/>
      <c r="N204" s="99"/>
      <c r="O204" s="99"/>
      <c r="P204" s="178"/>
    </row>
    <row r="205" spans="2:16" outlineLevel="1" x14ac:dyDescent="0.2">
      <c r="B205" s="178"/>
      <c r="C205" s="143"/>
      <c r="D205" s="178"/>
      <c r="E205" s="178"/>
      <c r="F205" s="178"/>
      <c r="G205" s="178"/>
      <c r="H205" s="95" t="s">
        <v>6</v>
      </c>
      <c r="I205" s="17">
        <f t="shared" si="73"/>
        <v>277.68</v>
      </c>
      <c r="J205" s="99">
        <v>277.68</v>
      </c>
      <c r="K205" s="99"/>
      <c r="L205" s="99"/>
      <c r="M205" s="99"/>
      <c r="N205" s="99"/>
      <c r="O205" s="99"/>
      <c r="P205" s="178"/>
    </row>
    <row r="206" spans="2:16" outlineLevel="1" x14ac:dyDescent="0.2">
      <c r="B206" s="178"/>
      <c r="C206" s="143"/>
      <c r="D206" s="178"/>
      <c r="E206" s="178"/>
      <c r="F206" s="178"/>
      <c r="G206" s="178"/>
      <c r="H206" s="95" t="s">
        <v>5</v>
      </c>
      <c r="I206" s="17">
        <f t="shared" si="73"/>
        <v>0</v>
      </c>
      <c r="J206" s="99"/>
      <c r="K206" s="99"/>
      <c r="L206" s="99"/>
      <c r="M206" s="99"/>
      <c r="N206" s="99"/>
      <c r="O206" s="99"/>
      <c r="P206" s="178"/>
    </row>
    <row r="207" spans="2:16" ht="42.75" customHeight="1" outlineLevel="1" x14ac:dyDescent="0.2">
      <c r="B207" s="178" t="s">
        <v>1300</v>
      </c>
      <c r="C207" s="178"/>
      <c r="D207" s="178" t="s">
        <v>1301</v>
      </c>
      <c r="E207" s="178">
        <v>2020</v>
      </c>
      <c r="F207" s="178"/>
      <c r="G207" s="178" t="s">
        <v>63</v>
      </c>
      <c r="H207" s="95" t="s">
        <v>3</v>
      </c>
      <c r="I207" s="17">
        <f t="shared" si="73"/>
        <v>4</v>
      </c>
      <c r="J207" s="99">
        <f>SUM(J208:J210)</f>
        <v>4</v>
      </c>
      <c r="K207" s="99"/>
      <c r="L207" s="99"/>
      <c r="M207" s="99"/>
      <c r="N207" s="99"/>
      <c r="O207" s="99"/>
      <c r="P207" s="178"/>
    </row>
    <row r="208" spans="2:16" outlineLevel="1" x14ac:dyDescent="0.2">
      <c r="B208" s="178"/>
      <c r="C208" s="143"/>
      <c r="D208" s="178"/>
      <c r="E208" s="178"/>
      <c r="F208" s="178"/>
      <c r="G208" s="178"/>
      <c r="H208" s="95" t="s">
        <v>4</v>
      </c>
      <c r="I208" s="17">
        <f t="shared" si="73"/>
        <v>0</v>
      </c>
      <c r="J208" s="99"/>
      <c r="K208" s="99"/>
      <c r="L208" s="99"/>
      <c r="M208" s="99"/>
      <c r="N208" s="99"/>
      <c r="O208" s="99"/>
      <c r="P208" s="178"/>
    </row>
    <row r="209" spans="2:16" outlineLevel="1" x14ac:dyDescent="0.2">
      <c r="B209" s="178"/>
      <c r="C209" s="143"/>
      <c r="D209" s="178"/>
      <c r="E209" s="178"/>
      <c r="F209" s="178"/>
      <c r="G209" s="178"/>
      <c r="H209" s="95" t="s">
        <v>6</v>
      </c>
      <c r="I209" s="17">
        <f t="shared" si="73"/>
        <v>4</v>
      </c>
      <c r="J209" s="99">
        <v>4</v>
      </c>
      <c r="K209" s="99"/>
      <c r="L209" s="99"/>
      <c r="M209" s="99"/>
      <c r="N209" s="99"/>
      <c r="O209" s="99"/>
      <c r="P209" s="178"/>
    </row>
    <row r="210" spans="2:16" outlineLevel="1" x14ac:dyDescent="0.2">
      <c r="B210" s="178"/>
      <c r="C210" s="143"/>
      <c r="D210" s="178"/>
      <c r="E210" s="178"/>
      <c r="F210" s="178"/>
      <c r="G210" s="178"/>
      <c r="H210" s="95" t="s">
        <v>5</v>
      </c>
      <c r="I210" s="17">
        <f t="shared" si="73"/>
        <v>0</v>
      </c>
      <c r="J210" s="99"/>
      <c r="K210" s="99"/>
      <c r="L210" s="99"/>
      <c r="M210" s="99"/>
      <c r="N210" s="99"/>
      <c r="O210" s="99"/>
      <c r="P210" s="178"/>
    </row>
    <row r="211" spans="2:16" ht="42.75" customHeight="1" outlineLevel="1" x14ac:dyDescent="0.2">
      <c r="B211" s="178" t="s">
        <v>1302</v>
      </c>
      <c r="C211" s="178"/>
      <c r="D211" s="178" t="s">
        <v>1303</v>
      </c>
      <c r="E211" s="178">
        <v>2020</v>
      </c>
      <c r="F211" s="178"/>
      <c r="G211" s="178" t="s">
        <v>63</v>
      </c>
      <c r="H211" s="95" t="s">
        <v>3</v>
      </c>
      <c r="I211" s="17">
        <f t="shared" si="73"/>
        <v>3.8</v>
      </c>
      <c r="J211" s="99">
        <f>SUM(J212:J214)</f>
        <v>3.8</v>
      </c>
      <c r="K211" s="99"/>
      <c r="L211" s="99"/>
      <c r="M211" s="99"/>
      <c r="N211" s="99"/>
      <c r="O211" s="99"/>
      <c r="P211" s="178"/>
    </row>
    <row r="212" spans="2:16" outlineLevel="1" x14ac:dyDescent="0.2">
      <c r="B212" s="178"/>
      <c r="C212" s="143"/>
      <c r="D212" s="178"/>
      <c r="E212" s="178"/>
      <c r="F212" s="178"/>
      <c r="G212" s="178"/>
      <c r="H212" s="95" t="s">
        <v>4</v>
      </c>
      <c r="I212" s="17">
        <f t="shared" si="73"/>
        <v>0</v>
      </c>
      <c r="J212" s="99"/>
      <c r="K212" s="99"/>
      <c r="L212" s="99"/>
      <c r="M212" s="99"/>
      <c r="N212" s="99"/>
      <c r="O212" s="99"/>
      <c r="P212" s="178"/>
    </row>
    <row r="213" spans="2:16" outlineLevel="1" x14ac:dyDescent="0.2">
      <c r="B213" s="178"/>
      <c r="C213" s="143"/>
      <c r="D213" s="178"/>
      <c r="E213" s="178"/>
      <c r="F213" s="178"/>
      <c r="G213" s="178"/>
      <c r="H213" s="95" t="s">
        <v>6</v>
      </c>
      <c r="I213" s="17">
        <f t="shared" si="73"/>
        <v>3.8</v>
      </c>
      <c r="J213" s="99">
        <v>3.8</v>
      </c>
      <c r="K213" s="99"/>
      <c r="L213" s="99"/>
      <c r="M213" s="99"/>
      <c r="N213" s="99"/>
      <c r="O213" s="99"/>
      <c r="P213" s="178"/>
    </row>
    <row r="214" spans="2:16" outlineLevel="1" x14ac:dyDescent="0.2">
      <c r="B214" s="178"/>
      <c r="C214" s="143"/>
      <c r="D214" s="178"/>
      <c r="E214" s="178"/>
      <c r="F214" s="178"/>
      <c r="G214" s="178"/>
      <c r="H214" s="95" t="s">
        <v>5</v>
      </c>
      <c r="I214" s="17">
        <f t="shared" si="73"/>
        <v>0</v>
      </c>
      <c r="J214" s="99"/>
      <c r="K214" s="99"/>
      <c r="L214" s="99"/>
      <c r="M214" s="99"/>
      <c r="N214" s="99"/>
      <c r="O214" s="99"/>
      <c r="P214" s="178"/>
    </row>
    <row r="215" spans="2:16" ht="47.25" customHeight="1" outlineLevel="1" x14ac:dyDescent="0.2">
      <c r="B215" s="178" t="s">
        <v>1304</v>
      </c>
      <c r="C215" s="178"/>
      <c r="D215" s="178" t="s">
        <v>1305</v>
      </c>
      <c r="E215" s="178">
        <v>2021</v>
      </c>
      <c r="F215" s="178"/>
      <c r="G215" s="178" t="s">
        <v>63</v>
      </c>
      <c r="H215" s="95" t="s">
        <v>3</v>
      </c>
      <c r="I215" s="17">
        <f t="shared" si="73"/>
        <v>0.1</v>
      </c>
      <c r="J215" s="99"/>
      <c r="K215" s="99">
        <v>0.1</v>
      </c>
      <c r="L215" s="99"/>
      <c r="M215" s="99"/>
      <c r="N215" s="99"/>
      <c r="O215" s="99"/>
      <c r="P215" s="178"/>
    </row>
    <row r="216" spans="2:16" outlineLevel="1" x14ac:dyDescent="0.2">
      <c r="B216" s="178"/>
      <c r="C216" s="143"/>
      <c r="D216" s="178"/>
      <c r="E216" s="178"/>
      <c r="F216" s="178"/>
      <c r="G216" s="178"/>
      <c r="H216" s="95" t="s">
        <v>4</v>
      </c>
      <c r="I216" s="17">
        <f t="shared" si="73"/>
        <v>0</v>
      </c>
      <c r="J216" s="99"/>
      <c r="K216" s="99"/>
      <c r="L216" s="99"/>
      <c r="M216" s="99"/>
      <c r="N216" s="99"/>
      <c r="O216" s="99"/>
      <c r="P216" s="178"/>
    </row>
    <row r="217" spans="2:16" outlineLevel="1" x14ac:dyDescent="0.2">
      <c r="B217" s="178"/>
      <c r="C217" s="143"/>
      <c r="D217" s="178"/>
      <c r="E217" s="178"/>
      <c r="F217" s="178"/>
      <c r="G217" s="178"/>
      <c r="H217" s="95" t="s">
        <v>6</v>
      </c>
      <c r="I217" s="17">
        <f t="shared" si="73"/>
        <v>0.1</v>
      </c>
      <c r="J217" s="99"/>
      <c r="K217" s="99">
        <v>0.1</v>
      </c>
      <c r="L217" s="99"/>
      <c r="M217" s="99"/>
      <c r="N217" s="99"/>
      <c r="O217" s="99"/>
      <c r="P217" s="178"/>
    </row>
    <row r="218" spans="2:16" outlineLevel="1" x14ac:dyDescent="0.2">
      <c r="B218" s="178"/>
      <c r="C218" s="143"/>
      <c r="D218" s="178"/>
      <c r="E218" s="178"/>
      <c r="F218" s="178"/>
      <c r="G218" s="178"/>
      <c r="H218" s="95" t="s">
        <v>5</v>
      </c>
      <c r="I218" s="17">
        <f t="shared" si="73"/>
        <v>0</v>
      </c>
      <c r="J218" s="99"/>
      <c r="K218" s="99"/>
      <c r="L218" s="99"/>
      <c r="M218" s="99"/>
      <c r="N218" s="99"/>
      <c r="O218" s="99"/>
      <c r="P218" s="178"/>
    </row>
    <row r="219" spans="2:16" ht="88.5" customHeight="1" outlineLevel="1" x14ac:dyDescent="0.2">
      <c r="B219" s="178" t="s">
        <v>1306</v>
      </c>
      <c r="C219" s="178"/>
      <c r="D219" s="178" t="s">
        <v>39</v>
      </c>
      <c r="E219" s="178" t="s">
        <v>73</v>
      </c>
      <c r="F219" s="178"/>
      <c r="G219" s="178" t="s">
        <v>63</v>
      </c>
      <c r="H219" s="95" t="s">
        <v>3</v>
      </c>
      <c r="I219" s="17">
        <f t="shared" si="73"/>
        <v>30</v>
      </c>
      <c r="J219" s="99"/>
      <c r="K219" s="99">
        <v>6</v>
      </c>
      <c r="L219" s="99">
        <v>6</v>
      </c>
      <c r="M219" s="99">
        <v>6</v>
      </c>
      <c r="N219" s="99">
        <v>6</v>
      </c>
      <c r="O219" s="99">
        <v>6</v>
      </c>
      <c r="P219" s="178"/>
    </row>
    <row r="220" spans="2:16" outlineLevel="1" x14ac:dyDescent="0.2">
      <c r="B220" s="178"/>
      <c r="C220" s="143"/>
      <c r="D220" s="178"/>
      <c r="E220" s="178"/>
      <c r="F220" s="178"/>
      <c r="G220" s="178"/>
      <c r="H220" s="95" t="s">
        <v>4</v>
      </c>
      <c r="I220" s="17">
        <f t="shared" si="73"/>
        <v>0</v>
      </c>
      <c r="J220" s="99"/>
      <c r="K220" s="99"/>
      <c r="L220" s="99"/>
      <c r="M220" s="99"/>
      <c r="N220" s="99"/>
      <c r="O220" s="99"/>
      <c r="P220" s="178"/>
    </row>
    <row r="221" spans="2:16" outlineLevel="1" x14ac:dyDescent="0.2">
      <c r="B221" s="178"/>
      <c r="C221" s="143"/>
      <c r="D221" s="178"/>
      <c r="E221" s="178"/>
      <c r="F221" s="178"/>
      <c r="G221" s="178"/>
      <c r="H221" s="95" t="s">
        <v>6</v>
      </c>
      <c r="I221" s="17">
        <f t="shared" si="73"/>
        <v>30</v>
      </c>
      <c r="J221" s="99"/>
      <c r="K221" s="99">
        <v>6</v>
      </c>
      <c r="L221" s="99">
        <v>6</v>
      </c>
      <c r="M221" s="99">
        <v>6</v>
      </c>
      <c r="N221" s="99">
        <v>6</v>
      </c>
      <c r="O221" s="99">
        <v>6</v>
      </c>
      <c r="P221" s="178"/>
    </row>
    <row r="222" spans="2:16" outlineLevel="1" x14ac:dyDescent="0.2">
      <c r="B222" s="178"/>
      <c r="C222" s="143"/>
      <c r="D222" s="178"/>
      <c r="E222" s="178"/>
      <c r="F222" s="178"/>
      <c r="G222" s="178"/>
      <c r="H222" s="95" t="s">
        <v>5</v>
      </c>
      <c r="I222" s="17">
        <f t="shared" si="73"/>
        <v>0</v>
      </c>
      <c r="J222" s="99"/>
      <c r="K222" s="99"/>
      <c r="L222" s="99"/>
      <c r="M222" s="99"/>
      <c r="N222" s="99"/>
      <c r="O222" s="99"/>
      <c r="P222" s="178"/>
    </row>
    <row r="223" spans="2:16" ht="89.25" customHeight="1" outlineLevel="1" x14ac:dyDescent="0.2">
      <c r="B223" s="178" t="s">
        <v>1307</v>
      </c>
      <c r="C223" s="178"/>
      <c r="D223" s="178" t="s">
        <v>39</v>
      </c>
      <c r="E223" s="178" t="s">
        <v>73</v>
      </c>
      <c r="F223" s="178"/>
      <c r="G223" s="178" t="s">
        <v>63</v>
      </c>
      <c r="H223" s="95" t="s">
        <v>3</v>
      </c>
      <c r="I223" s="17">
        <f t="shared" si="73"/>
        <v>70</v>
      </c>
      <c r="J223" s="99"/>
      <c r="K223" s="99">
        <v>14</v>
      </c>
      <c r="L223" s="99">
        <v>14</v>
      </c>
      <c r="M223" s="99">
        <v>14</v>
      </c>
      <c r="N223" s="99">
        <v>14</v>
      </c>
      <c r="O223" s="99">
        <v>14</v>
      </c>
      <c r="P223" s="178"/>
    </row>
    <row r="224" spans="2:16" outlineLevel="1" x14ac:dyDescent="0.2">
      <c r="B224" s="178"/>
      <c r="C224" s="143"/>
      <c r="D224" s="178"/>
      <c r="E224" s="178"/>
      <c r="F224" s="178"/>
      <c r="G224" s="178"/>
      <c r="H224" s="95" t="s">
        <v>4</v>
      </c>
      <c r="I224" s="17">
        <f t="shared" si="73"/>
        <v>0</v>
      </c>
      <c r="J224" s="99"/>
      <c r="K224" s="99"/>
      <c r="L224" s="99"/>
      <c r="M224" s="99"/>
      <c r="N224" s="99"/>
      <c r="O224" s="99"/>
      <c r="P224" s="178"/>
    </row>
    <row r="225" spans="2:16" outlineLevel="1" x14ac:dyDescent="0.2">
      <c r="B225" s="178"/>
      <c r="C225" s="143"/>
      <c r="D225" s="178"/>
      <c r="E225" s="178"/>
      <c r="F225" s="178"/>
      <c r="G225" s="178"/>
      <c r="H225" s="95" t="s">
        <v>6</v>
      </c>
      <c r="I225" s="17">
        <f t="shared" si="73"/>
        <v>70</v>
      </c>
      <c r="J225" s="99"/>
      <c r="K225" s="99">
        <v>14</v>
      </c>
      <c r="L225" s="99">
        <v>14</v>
      </c>
      <c r="M225" s="99">
        <v>14</v>
      </c>
      <c r="N225" s="99">
        <v>14</v>
      </c>
      <c r="O225" s="99">
        <v>14</v>
      </c>
      <c r="P225" s="178"/>
    </row>
    <row r="226" spans="2:16" outlineLevel="1" x14ac:dyDescent="0.2">
      <c r="B226" s="178"/>
      <c r="C226" s="143"/>
      <c r="D226" s="178"/>
      <c r="E226" s="178"/>
      <c r="F226" s="178"/>
      <c r="G226" s="178"/>
      <c r="H226" s="95" t="s">
        <v>5</v>
      </c>
      <c r="I226" s="17">
        <f t="shared" si="73"/>
        <v>0</v>
      </c>
      <c r="J226" s="99"/>
      <c r="K226" s="99"/>
      <c r="L226" s="99"/>
      <c r="M226" s="99"/>
      <c r="N226" s="99"/>
      <c r="O226" s="99"/>
      <c r="P226" s="178"/>
    </row>
    <row r="227" spans="2:16" ht="42.75" customHeight="1" outlineLevel="1" x14ac:dyDescent="0.2">
      <c r="B227" s="178" t="s">
        <v>1308</v>
      </c>
      <c r="C227" s="178"/>
      <c r="D227" s="178" t="s">
        <v>39</v>
      </c>
      <c r="E227" s="178">
        <v>2020</v>
      </c>
      <c r="F227" s="178"/>
      <c r="G227" s="178" t="s">
        <v>63</v>
      </c>
      <c r="H227" s="95" t="s">
        <v>3</v>
      </c>
      <c r="I227" s="17">
        <f t="shared" si="73"/>
        <v>0.24379999999999999</v>
      </c>
      <c r="J227" s="99">
        <v>0.24379999999999999</v>
      </c>
      <c r="K227" s="99"/>
      <c r="L227" s="99"/>
      <c r="M227" s="99"/>
      <c r="N227" s="99"/>
      <c r="O227" s="99"/>
      <c r="P227" s="178"/>
    </row>
    <row r="228" spans="2:16" outlineLevel="1" x14ac:dyDescent="0.2">
      <c r="B228" s="178"/>
      <c r="C228" s="143"/>
      <c r="D228" s="178"/>
      <c r="E228" s="178"/>
      <c r="F228" s="178"/>
      <c r="G228" s="178"/>
      <c r="H228" s="95" t="s">
        <v>4</v>
      </c>
      <c r="I228" s="17">
        <f t="shared" si="73"/>
        <v>0</v>
      </c>
      <c r="J228" s="99"/>
      <c r="K228" s="99"/>
      <c r="L228" s="99"/>
      <c r="M228" s="99"/>
      <c r="N228" s="99"/>
      <c r="O228" s="99"/>
      <c r="P228" s="178"/>
    </row>
    <row r="229" spans="2:16" outlineLevel="1" x14ac:dyDescent="0.2">
      <c r="B229" s="178"/>
      <c r="C229" s="143"/>
      <c r="D229" s="178"/>
      <c r="E229" s="178"/>
      <c r="F229" s="178"/>
      <c r="G229" s="178"/>
      <c r="H229" s="95" t="s">
        <v>6</v>
      </c>
      <c r="I229" s="17">
        <f t="shared" si="73"/>
        <v>0.24379999999999999</v>
      </c>
      <c r="J229" s="99">
        <v>0.24379999999999999</v>
      </c>
      <c r="K229" s="99"/>
      <c r="L229" s="99"/>
      <c r="M229" s="99"/>
      <c r="N229" s="99"/>
      <c r="O229" s="99"/>
      <c r="P229" s="178"/>
    </row>
    <row r="230" spans="2:16" outlineLevel="1" x14ac:dyDescent="0.2">
      <c r="B230" s="178"/>
      <c r="C230" s="143"/>
      <c r="D230" s="178"/>
      <c r="E230" s="178"/>
      <c r="F230" s="178"/>
      <c r="G230" s="178"/>
      <c r="H230" s="95" t="s">
        <v>5</v>
      </c>
      <c r="I230" s="17">
        <f t="shared" si="73"/>
        <v>0</v>
      </c>
      <c r="J230" s="99"/>
      <c r="K230" s="99"/>
      <c r="L230" s="99"/>
      <c r="M230" s="99"/>
      <c r="N230" s="99"/>
      <c r="O230" s="99"/>
      <c r="P230" s="178"/>
    </row>
    <row r="231" spans="2:16" ht="42.75" customHeight="1" outlineLevel="1" x14ac:dyDescent="0.2">
      <c r="B231" s="178" t="s">
        <v>1309</v>
      </c>
      <c r="C231" s="178"/>
      <c r="D231" s="178" t="s">
        <v>39</v>
      </c>
      <c r="E231" s="178" t="s">
        <v>50</v>
      </c>
      <c r="F231" s="178"/>
      <c r="G231" s="178" t="s">
        <v>63</v>
      </c>
      <c r="H231" s="95" t="s">
        <v>3</v>
      </c>
      <c r="I231" s="17">
        <f t="shared" si="73"/>
        <v>10</v>
      </c>
      <c r="J231" s="99"/>
      <c r="K231" s="99">
        <v>5</v>
      </c>
      <c r="L231" s="99">
        <v>5</v>
      </c>
      <c r="M231" s="99"/>
      <c r="N231" s="99"/>
      <c r="O231" s="99"/>
      <c r="P231" s="178"/>
    </row>
    <row r="232" spans="2:16" outlineLevel="1" x14ac:dyDescent="0.2">
      <c r="B232" s="178"/>
      <c r="C232" s="143"/>
      <c r="D232" s="178"/>
      <c r="E232" s="178"/>
      <c r="F232" s="178"/>
      <c r="G232" s="178"/>
      <c r="H232" s="95" t="s">
        <v>4</v>
      </c>
      <c r="I232" s="17">
        <f t="shared" si="73"/>
        <v>0</v>
      </c>
      <c r="J232" s="99"/>
      <c r="K232" s="99"/>
      <c r="L232" s="99"/>
      <c r="M232" s="99"/>
      <c r="N232" s="99"/>
      <c r="O232" s="99"/>
      <c r="P232" s="178"/>
    </row>
    <row r="233" spans="2:16" outlineLevel="1" x14ac:dyDescent="0.2">
      <c r="B233" s="178"/>
      <c r="C233" s="143"/>
      <c r="D233" s="178"/>
      <c r="E233" s="178"/>
      <c r="F233" s="178"/>
      <c r="G233" s="178"/>
      <c r="H233" s="95" t="s">
        <v>6</v>
      </c>
      <c r="I233" s="17">
        <f t="shared" si="73"/>
        <v>10</v>
      </c>
      <c r="J233" s="99"/>
      <c r="K233" s="99">
        <v>5</v>
      </c>
      <c r="L233" s="99">
        <v>5</v>
      </c>
      <c r="M233" s="99"/>
      <c r="N233" s="99"/>
      <c r="O233" s="99"/>
      <c r="P233" s="178"/>
    </row>
    <row r="234" spans="2:16" outlineLevel="1" x14ac:dyDescent="0.2">
      <c r="B234" s="178"/>
      <c r="C234" s="143"/>
      <c r="D234" s="178"/>
      <c r="E234" s="178"/>
      <c r="F234" s="178"/>
      <c r="G234" s="178"/>
      <c r="H234" s="95" t="s">
        <v>5</v>
      </c>
      <c r="I234" s="17">
        <f t="shared" si="73"/>
        <v>0</v>
      </c>
      <c r="J234" s="99"/>
      <c r="K234" s="99"/>
      <c r="L234" s="99"/>
      <c r="M234" s="99"/>
      <c r="N234" s="99"/>
      <c r="O234" s="99"/>
      <c r="P234" s="178"/>
    </row>
    <row r="235" spans="2:16" ht="42.75" outlineLevel="1" x14ac:dyDescent="0.2">
      <c r="B235" s="178" t="s">
        <v>1310</v>
      </c>
      <c r="C235" s="178"/>
      <c r="D235" s="178" t="s">
        <v>39</v>
      </c>
      <c r="E235" s="178" t="s">
        <v>34</v>
      </c>
      <c r="F235" s="178"/>
      <c r="G235" s="178" t="s">
        <v>63</v>
      </c>
      <c r="H235" s="95" t="s">
        <v>3</v>
      </c>
      <c r="I235" s="17">
        <f t="shared" si="73"/>
        <v>15</v>
      </c>
      <c r="J235" s="99"/>
      <c r="K235" s="99">
        <v>5</v>
      </c>
      <c r="L235" s="99">
        <v>5</v>
      </c>
      <c r="M235" s="99">
        <v>5</v>
      </c>
      <c r="N235" s="99"/>
      <c r="O235" s="99"/>
      <c r="P235" s="178"/>
    </row>
    <row r="236" spans="2:16" outlineLevel="1" x14ac:dyDescent="0.2">
      <c r="B236" s="178"/>
      <c r="C236" s="143"/>
      <c r="D236" s="178"/>
      <c r="E236" s="178"/>
      <c r="F236" s="178"/>
      <c r="G236" s="178"/>
      <c r="H236" s="95" t="s">
        <v>4</v>
      </c>
      <c r="I236" s="17">
        <f t="shared" si="73"/>
        <v>0</v>
      </c>
      <c r="J236" s="99"/>
      <c r="K236" s="99"/>
      <c r="L236" s="99"/>
      <c r="M236" s="99"/>
      <c r="N236" s="99"/>
      <c r="O236" s="99"/>
      <c r="P236" s="178"/>
    </row>
    <row r="237" spans="2:16" outlineLevel="1" x14ac:dyDescent="0.2">
      <c r="B237" s="178"/>
      <c r="C237" s="143"/>
      <c r="D237" s="178"/>
      <c r="E237" s="178"/>
      <c r="F237" s="178"/>
      <c r="G237" s="178"/>
      <c r="H237" s="95" t="s">
        <v>6</v>
      </c>
      <c r="I237" s="17">
        <f t="shared" si="73"/>
        <v>15</v>
      </c>
      <c r="J237" s="99"/>
      <c r="K237" s="99">
        <v>5</v>
      </c>
      <c r="L237" s="99">
        <v>5</v>
      </c>
      <c r="M237" s="99">
        <v>5</v>
      </c>
      <c r="N237" s="99"/>
      <c r="O237" s="99"/>
      <c r="P237" s="178"/>
    </row>
    <row r="238" spans="2:16" outlineLevel="1" x14ac:dyDescent="0.2">
      <c r="B238" s="178"/>
      <c r="C238" s="143"/>
      <c r="D238" s="178"/>
      <c r="E238" s="178"/>
      <c r="F238" s="178"/>
      <c r="G238" s="178"/>
      <c r="H238" s="95" t="s">
        <v>5</v>
      </c>
      <c r="I238" s="17">
        <f t="shared" si="73"/>
        <v>0</v>
      </c>
      <c r="J238" s="99"/>
      <c r="K238" s="99"/>
      <c r="L238" s="99"/>
      <c r="M238" s="99"/>
      <c r="N238" s="99"/>
      <c r="O238" s="99"/>
      <c r="P238" s="178"/>
    </row>
    <row r="239" spans="2:16" ht="42.75" outlineLevel="1" x14ac:dyDescent="0.2">
      <c r="B239" s="178" t="s">
        <v>1311</v>
      </c>
      <c r="C239" s="178"/>
      <c r="D239" s="178" t="s">
        <v>39</v>
      </c>
      <c r="E239" s="178" t="s">
        <v>50</v>
      </c>
      <c r="F239" s="178"/>
      <c r="G239" s="178" t="s">
        <v>63</v>
      </c>
      <c r="H239" s="95" t="s">
        <v>3</v>
      </c>
      <c r="I239" s="17">
        <f t="shared" ref="I239:I254" si="74">SUM(J239:O239)</f>
        <v>7</v>
      </c>
      <c r="J239" s="99"/>
      <c r="K239" s="99">
        <v>3.5</v>
      </c>
      <c r="L239" s="99">
        <v>3.5</v>
      </c>
      <c r="M239" s="99"/>
      <c r="N239" s="99"/>
      <c r="O239" s="99"/>
      <c r="P239" s="178"/>
    </row>
    <row r="240" spans="2:16" outlineLevel="1" x14ac:dyDescent="0.2">
      <c r="B240" s="178"/>
      <c r="C240" s="143"/>
      <c r="D240" s="178"/>
      <c r="E240" s="178"/>
      <c r="F240" s="178"/>
      <c r="G240" s="178"/>
      <c r="H240" s="95" t="s">
        <v>4</v>
      </c>
      <c r="I240" s="17">
        <f t="shared" si="74"/>
        <v>0</v>
      </c>
      <c r="J240" s="99"/>
      <c r="K240" s="99"/>
      <c r="L240" s="99"/>
      <c r="M240" s="99"/>
      <c r="N240" s="99"/>
      <c r="O240" s="99"/>
      <c r="P240" s="178"/>
    </row>
    <row r="241" spans="2:17" outlineLevel="1" x14ac:dyDescent="0.2">
      <c r="B241" s="178"/>
      <c r="C241" s="143"/>
      <c r="D241" s="178"/>
      <c r="E241" s="178"/>
      <c r="F241" s="178"/>
      <c r="G241" s="178"/>
      <c r="H241" s="95" t="s">
        <v>6</v>
      </c>
      <c r="I241" s="17">
        <f t="shared" si="74"/>
        <v>7</v>
      </c>
      <c r="J241" s="99"/>
      <c r="K241" s="99">
        <v>3.5</v>
      </c>
      <c r="L241" s="99">
        <v>3.5</v>
      </c>
      <c r="M241" s="99"/>
      <c r="N241" s="99"/>
      <c r="O241" s="99"/>
      <c r="P241" s="178"/>
    </row>
    <row r="242" spans="2:17" outlineLevel="1" x14ac:dyDescent="0.2">
      <c r="B242" s="178"/>
      <c r="C242" s="143"/>
      <c r="D242" s="178"/>
      <c r="E242" s="178"/>
      <c r="F242" s="178"/>
      <c r="G242" s="178"/>
      <c r="H242" s="95" t="s">
        <v>5</v>
      </c>
      <c r="I242" s="17">
        <f t="shared" si="74"/>
        <v>0</v>
      </c>
      <c r="J242" s="99"/>
      <c r="K242" s="99"/>
      <c r="L242" s="99"/>
      <c r="M242" s="99"/>
      <c r="N242" s="99"/>
      <c r="O242" s="99"/>
      <c r="P242" s="178"/>
    </row>
    <row r="243" spans="2:17" ht="42.75" customHeight="1" outlineLevel="1" x14ac:dyDescent="0.2">
      <c r="B243" s="178" t="s">
        <v>1312</v>
      </c>
      <c r="C243" s="178"/>
      <c r="D243" s="178" t="s">
        <v>1313</v>
      </c>
      <c r="E243" s="178">
        <v>2020</v>
      </c>
      <c r="F243" s="178"/>
      <c r="G243" s="178" t="s">
        <v>63</v>
      </c>
      <c r="H243" s="95" t="s">
        <v>3</v>
      </c>
      <c r="I243" s="17">
        <f t="shared" si="74"/>
        <v>0.17</v>
      </c>
      <c r="J243" s="99">
        <f>SUM(J244:J246)</f>
        <v>0.17</v>
      </c>
      <c r="K243" s="99"/>
      <c r="L243" s="99"/>
      <c r="M243" s="99"/>
      <c r="N243" s="99"/>
      <c r="O243" s="99"/>
      <c r="P243" s="178"/>
    </row>
    <row r="244" spans="2:17" outlineLevel="1" x14ac:dyDescent="0.2">
      <c r="B244" s="178"/>
      <c r="C244" s="143"/>
      <c r="D244" s="178"/>
      <c r="E244" s="178"/>
      <c r="F244" s="178"/>
      <c r="G244" s="178"/>
      <c r="H244" s="95" t="s">
        <v>4</v>
      </c>
      <c r="I244" s="17">
        <f t="shared" si="74"/>
        <v>0</v>
      </c>
      <c r="J244" s="99"/>
      <c r="K244" s="99"/>
      <c r="L244" s="99"/>
      <c r="M244" s="99"/>
      <c r="N244" s="99"/>
      <c r="O244" s="99"/>
      <c r="P244" s="178"/>
    </row>
    <row r="245" spans="2:17" outlineLevel="1" x14ac:dyDescent="0.2">
      <c r="B245" s="178"/>
      <c r="C245" s="143"/>
      <c r="D245" s="178"/>
      <c r="E245" s="178"/>
      <c r="F245" s="178"/>
      <c r="G245" s="178"/>
      <c r="H245" s="95" t="s">
        <v>6</v>
      </c>
      <c r="I245" s="17">
        <f t="shared" si="74"/>
        <v>0.17</v>
      </c>
      <c r="J245" s="99">
        <v>0.17</v>
      </c>
      <c r="K245" s="99"/>
      <c r="L245" s="99"/>
      <c r="M245" s="99"/>
      <c r="N245" s="99"/>
      <c r="O245" s="99"/>
      <c r="P245" s="178"/>
    </row>
    <row r="246" spans="2:17" outlineLevel="1" x14ac:dyDescent="0.2">
      <c r="B246" s="178"/>
      <c r="C246" s="143"/>
      <c r="D246" s="178"/>
      <c r="E246" s="178"/>
      <c r="F246" s="178"/>
      <c r="G246" s="178"/>
      <c r="H246" s="95" t="s">
        <v>5</v>
      </c>
      <c r="I246" s="17">
        <f t="shared" si="74"/>
        <v>0</v>
      </c>
      <c r="J246" s="99"/>
      <c r="K246" s="99"/>
      <c r="L246" s="99"/>
      <c r="M246" s="99"/>
      <c r="N246" s="99"/>
      <c r="O246" s="99"/>
      <c r="P246" s="178"/>
    </row>
    <row r="247" spans="2:17" ht="42.75" customHeight="1" outlineLevel="1" x14ac:dyDescent="0.2">
      <c r="B247" s="178" t="s">
        <v>1314</v>
      </c>
      <c r="C247" s="178"/>
      <c r="D247" s="178" t="s">
        <v>1315</v>
      </c>
      <c r="E247" s="178">
        <v>2020</v>
      </c>
      <c r="F247" s="178"/>
      <c r="G247" s="178" t="s">
        <v>63</v>
      </c>
      <c r="H247" s="95" t="s">
        <v>3</v>
      </c>
      <c r="I247" s="17">
        <f t="shared" si="74"/>
        <v>0.3</v>
      </c>
      <c r="J247" s="99">
        <f>SUM(J248:J250)</f>
        <v>0.3</v>
      </c>
      <c r="K247" s="99"/>
      <c r="L247" s="99"/>
      <c r="M247" s="99"/>
      <c r="N247" s="99"/>
      <c r="O247" s="99"/>
      <c r="P247" s="178"/>
    </row>
    <row r="248" spans="2:17" outlineLevel="1" x14ac:dyDescent="0.2">
      <c r="B248" s="178"/>
      <c r="C248" s="143"/>
      <c r="D248" s="178"/>
      <c r="E248" s="178"/>
      <c r="F248" s="178"/>
      <c r="G248" s="178"/>
      <c r="H248" s="95" t="s">
        <v>4</v>
      </c>
      <c r="I248" s="17">
        <f t="shared" si="74"/>
        <v>0</v>
      </c>
      <c r="J248" s="99"/>
      <c r="K248" s="99"/>
      <c r="L248" s="99"/>
      <c r="M248" s="99"/>
      <c r="N248" s="99"/>
      <c r="O248" s="99"/>
      <c r="P248" s="178"/>
    </row>
    <row r="249" spans="2:17" outlineLevel="1" x14ac:dyDescent="0.2">
      <c r="B249" s="178"/>
      <c r="C249" s="143"/>
      <c r="D249" s="178"/>
      <c r="E249" s="178"/>
      <c r="F249" s="178"/>
      <c r="G249" s="178"/>
      <c r="H249" s="95" t="s">
        <v>6</v>
      </c>
      <c r="I249" s="17">
        <f t="shared" si="74"/>
        <v>0.3</v>
      </c>
      <c r="J249" s="99">
        <v>0.3</v>
      </c>
      <c r="K249" s="99"/>
      <c r="L249" s="99"/>
      <c r="M249" s="99"/>
      <c r="N249" s="99"/>
      <c r="O249" s="99"/>
      <c r="P249" s="178"/>
    </row>
    <row r="250" spans="2:17" outlineLevel="1" x14ac:dyDescent="0.2">
      <c r="B250" s="178"/>
      <c r="C250" s="143"/>
      <c r="D250" s="178"/>
      <c r="E250" s="178"/>
      <c r="F250" s="178"/>
      <c r="G250" s="178"/>
      <c r="H250" s="95" t="s">
        <v>5</v>
      </c>
      <c r="I250" s="17">
        <f t="shared" si="74"/>
        <v>0</v>
      </c>
      <c r="J250" s="99"/>
      <c r="K250" s="99"/>
      <c r="L250" s="99"/>
      <c r="M250" s="99"/>
      <c r="N250" s="99"/>
      <c r="O250" s="99"/>
      <c r="P250" s="178"/>
    </row>
    <row r="251" spans="2:17" ht="42.75" customHeight="1" outlineLevel="1" x14ac:dyDescent="0.2">
      <c r="B251" s="178" t="s">
        <v>1316</v>
      </c>
      <c r="C251" s="178"/>
      <c r="D251" s="178" t="s">
        <v>1317</v>
      </c>
      <c r="E251" s="178">
        <v>2021</v>
      </c>
      <c r="F251" s="178"/>
      <c r="G251" s="178" t="s">
        <v>63</v>
      </c>
      <c r="H251" s="95" t="s">
        <v>3</v>
      </c>
      <c r="I251" s="17">
        <f t="shared" si="74"/>
        <v>1.9298</v>
      </c>
      <c r="J251" s="99"/>
      <c r="K251" s="99">
        <v>1.9298</v>
      </c>
      <c r="L251" s="99"/>
      <c r="M251" s="99"/>
      <c r="N251" s="99"/>
      <c r="O251" s="99"/>
      <c r="P251" s="178"/>
    </row>
    <row r="252" spans="2:17" outlineLevel="1" x14ac:dyDescent="0.2">
      <c r="B252" s="178"/>
      <c r="C252" s="143"/>
      <c r="D252" s="178"/>
      <c r="E252" s="178"/>
      <c r="F252" s="178"/>
      <c r="G252" s="178"/>
      <c r="H252" s="95" t="s">
        <v>4</v>
      </c>
      <c r="I252" s="17">
        <f t="shared" si="74"/>
        <v>0</v>
      </c>
      <c r="J252" s="99"/>
      <c r="K252" s="99"/>
      <c r="L252" s="99"/>
      <c r="M252" s="99"/>
      <c r="N252" s="99"/>
      <c r="O252" s="99"/>
      <c r="P252" s="178"/>
    </row>
    <row r="253" spans="2:17" outlineLevel="1" x14ac:dyDescent="0.2">
      <c r="B253" s="178"/>
      <c r="C253" s="143"/>
      <c r="D253" s="178"/>
      <c r="E253" s="178"/>
      <c r="F253" s="178"/>
      <c r="G253" s="178"/>
      <c r="H253" s="95" t="s">
        <v>6</v>
      </c>
      <c r="I253" s="17">
        <f t="shared" si="74"/>
        <v>1.9298</v>
      </c>
      <c r="J253" s="99"/>
      <c r="K253" s="99">
        <v>1.9298</v>
      </c>
      <c r="L253" s="99"/>
      <c r="M253" s="99"/>
      <c r="N253" s="99"/>
      <c r="O253" s="99"/>
      <c r="P253" s="178"/>
    </row>
    <row r="254" spans="2:17" outlineLevel="1" x14ac:dyDescent="0.2">
      <c r="B254" s="178"/>
      <c r="C254" s="143"/>
      <c r="D254" s="178"/>
      <c r="E254" s="178"/>
      <c r="F254" s="178"/>
      <c r="G254" s="178"/>
      <c r="H254" s="95" t="s">
        <v>5</v>
      </c>
      <c r="I254" s="17">
        <f t="shared" si="74"/>
        <v>0</v>
      </c>
      <c r="J254" s="99"/>
      <c r="K254" s="99"/>
      <c r="L254" s="99"/>
      <c r="M254" s="99"/>
      <c r="N254" s="99"/>
      <c r="O254" s="99"/>
      <c r="P254" s="178"/>
    </row>
    <row r="255" spans="2:17" ht="42.75" x14ac:dyDescent="0.2">
      <c r="B255" s="128" t="s">
        <v>46</v>
      </c>
      <c r="C255" s="128" t="s">
        <v>38</v>
      </c>
      <c r="D255" s="128" t="s">
        <v>38</v>
      </c>
      <c r="E255" s="128" t="s">
        <v>38</v>
      </c>
      <c r="F255" s="128" t="s">
        <v>38</v>
      </c>
      <c r="G255" s="128" t="s">
        <v>38</v>
      </c>
      <c r="H255" s="95" t="s">
        <v>3</v>
      </c>
      <c r="I255" s="14">
        <f t="shared" ref="I255:O255" si="75">SUMIF($H$179:$H$254,"Объем*",I$179:I$254)</f>
        <v>598.10794999999985</v>
      </c>
      <c r="J255" s="14">
        <f t="shared" si="75"/>
        <v>308.41580000000005</v>
      </c>
      <c r="K255" s="14">
        <f t="shared" si="75"/>
        <v>114.08345</v>
      </c>
      <c r="L255" s="14">
        <f t="shared" si="75"/>
        <v>33.5</v>
      </c>
      <c r="M255" s="14">
        <f t="shared" si="75"/>
        <v>63.554349999999999</v>
      </c>
      <c r="N255" s="14">
        <f t="shared" si="75"/>
        <v>20</v>
      </c>
      <c r="O255" s="14">
        <f t="shared" si="75"/>
        <v>58.554349999999999</v>
      </c>
      <c r="P255" s="128"/>
      <c r="Q255" s="7"/>
    </row>
    <row r="256" spans="2:17" ht="15.75" x14ac:dyDescent="0.2">
      <c r="B256" s="129"/>
      <c r="C256" s="129"/>
      <c r="D256" s="129"/>
      <c r="E256" s="129"/>
      <c r="F256" s="129"/>
      <c r="G256" s="129"/>
      <c r="H256" s="95" t="s">
        <v>4</v>
      </c>
      <c r="I256" s="14">
        <f t="shared" ref="I256:O256" si="76">SUMIF($H$179:$H$254,"фед*",I$179:I$254)</f>
        <v>0</v>
      </c>
      <c r="J256" s="14">
        <f t="shared" si="76"/>
        <v>0</v>
      </c>
      <c r="K256" s="14">
        <f t="shared" si="76"/>
        <v>0</v>
      </c>
      <c r="L256" s="14">
        <f t="shared" si="76"/>
        <v>0</v>
      </c>
      <c r="M256" s="14">
        <f t="shared" si="76"/>
        <v>0</v>
      </c>
      <c r="N256" s="14">
        <f t="shared" si="76"/>
        <v>0</v>
      </c>
      <c r="O256" s="14">
        <f t="shared" si="76"/>
        <v>0</v>
      </c>
      <c r="P256" s="129"/>
      <c r="Q256" s="7"/>
    </row>
    <row r="257" spans="2:17" ht="15.75" x14ac:dyDescent="0.2">
      <c r="B257" s="129"/>
      <c r="C257" s="129"/>
      <c r="D257" s="129"/>
      <c r="E257" s="129"/>
      <c r="F257" s="129"/>
      <c r="G257" s="129"/>
      <c r="H257" s="95" t="s">
        <v>6</v>
      </c>
      <c r="I257" s="14">
        <f t="shared" ref="I257:O257" si="77">SUMIF($H$179:$H$254,"конс*",I$179:I$254)</f>
        <v>598.10794999999985</v>
      </c>
      <c r="J257" s="14">
        <f t="shared" si="77"/>
        <v>308.41580000000005</v>
      </c>
      <c r="K257" s="14">
        <f t="shared" si="77"/>
        <v>114.08344999999998</v>
      </c>
      <c r="L257" s="14">
        <f t="shared" si="77"/>
        <v>33.5</v>
      </c>
      <c r="M257" s="14">
        <f t="shared" si="77"/>
        <v>63.554349999999999</v>
      </c>
      <c r="N257" s="14">
        <f t="shared" si="77"/>
        <v>20</v>
      </c>
      <c r="O257" s="14">
        <f t="shared" si="77"/>
        <v>58.554349999999999</v>
      </c>
      <c r="P257" s="129"/>
      <c r="Q257" s="7"/>
    </row>
    <row r="258" spans="2:17" ht="15.75" x14ac:dyDescent="0.2">
      <c r="B258" s="130"/>
      <c r="C258" s="130"/>
      <c r="D258" s="130"/>
      <c r="E258" s="130"/>
      <c r="F258" s="130"/>
      <c r="G258" s="130"/>
      <c r="H258" s="95" t="s">
        <v>5</v>
      </c>
      <c r="I258" s="14">
        <f t="shared" ref="I258:O258" si="78">SUMIF($H$179:$H$254,"вне*",I$179:I$254)</f>
        <v>0</v>
      </c>
      <c r="J258" s="14">
        <f t="shared" si="78"/>
        <v>0</v>
      </c>
      <c r="K258" s="14">
        <f t="shared" si="78"/>
        <v>0</v>
      </c>
      <c r="L258" s="14">
        <f t="shared" si="78"/>
        <v>0</v>
      </c>
      <c r="M258" s="14">
        <f t="shared" si="78"/>
        <v>0</v>
      </c>
      <c r="N258" s="14">
        <f t="shared" si="78"/>
        <v>0</v>
      </c>
      <c r="O258" s="14">
        <f t="shared" si="78"/>
        <v>0</v>
      </c>
      <c r="P258" s="130"/>
      <c r="Q258" s="7"/>
    </row>
    <row r="259" spans="2:17" ht="25.5" customHeight="1" x14ac:dyDescent="0.2">
      <c r="B259" s="111" t="s">
        <v>223</v>
      </c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3"/>
    </row>
    <row r="260" spans="2:17" ht="42.75" outlineLevel="1" x14ac:dyDescent="0.2">
      <c r="B260" s="117" t="s">
        <v>1318</v>
      </c>
      <c r="C260" s="117" t="s">
        <v>1221</v>
      </c>
      <c r="D260" s="117" t="s">
        <v>1319</v>
      </c>
      <c r="E260" s="117" t="s">
        <v>203</v>
      </c>
      <c r="F260" s="117" t="s">
        <v>1320</v>
      </c>
      <c r="G260" s="117" t="s">
        <v>138</v>
      </c>
      <c r="H260" s="95" t="s">
        <v>3</v>
      </c>
      <c r="I260" s="17">
        <f t="shared" ref="I260:I295" si="79">SUM(J260:O260)</f>
        <v>159.6</v>
      </c>
      <c r="J260" s="94">
        <f t="shared" ref="J260:O260" si="80">J261+J262+J263</f>
        <v>57.5</v>
      </c>
      <c r="K260" s="94">
        <f t="shared" si="80"/>
        <v>102.1</v>
      </c>
      <c r="L260" s="94">
        <f t="shared" si="80"/>
        <v>0</v>
      </c>
      <c r="M260" s="94">
        <f t="shared" si="80"/>
        <v>0</v>
      </c>
      <c r="N260" s="94">
        <f t="shared" si="80"/>
        <v>0</v>
      </c>
      <c r="O260" s="94">
        <f t="shared" si="80"/>
        <v>0</v>
      </c>
      <c r="P260" s="117"/>
    </row>
    <row r="261" spans="2:17" outlineLevel="1" x14ac:dyDescent="0.2">
      <c r="B261" s="118"/>
      <c r="C261" s="132"/>
      <c r="D261" s="118"/>
      <c r="E261" s="118"/>
      <c r="F261" s="118"/>
      <c r="G261" s="118"/>
      <c r="H261" s="95" t="s">
        <v>4</v>
      </c>
      <c r="I261" s="17">
        <f t="shared" si="79"/>
        <v>158</v>
      </c>
      <c r="J261" s="94">
        <v>56.9</v>
      </c>
      <c r="K261" s="94">
        <v>101.1</v>
      </c>
      <c r="L261" s="94"/>
      <c r="M261" s="94"/>
      <c r="N261" s="94"/>
      <c r="O261" s="94"/>
      <c r="P261" s="118"/>
    </row>
    <row r="262" spans="2:17" outlineLevel="1" x14ac:dyDescent="0.2">
      <c r="B262" s="118"/>
      <c r="C262" s="132"/>
      <c r="D262" s="118"/>
      <c r="E262" s="118"/>
      <c r="F262" s="118"/>
      <c r="G262" s="118"/>
      <c r="H262" s="95" t="s">
        <v>6</v>
      </c>
      <c r="I262" s="17">
        <f t="shared" si="79"/>
        <v>1.6</v>
      </c>
      <c r="J262" s="94">
        <v>0.6</v>
      </c>
      <c r="K262" s="94">
        <v>1</v>
      </c>
      <c r="L262" s="94"/>
      <c r="M262" s="94"/>
      <c r="N262" s="94"/>
      <c r="O262" s="94"/>
      <c r="P262" s="118"/>
    </row>
    <row r="263" spans="2:17" outlineLevel="1" x14ac:dyDescent="0.2">
      <c r="B263" s="119"/>
      <c r="C263" s="133"/>
      <c r="D263" s="119"/>
      <c r="E263" s="119"/>
      <c r="F263" s="119"/>
      <c r="G263" s="119"/>
      <c r="H263" s="95" t="s">
        <v>5</v>
      </c>
      <c r="I263" s="17">
        <f t="shared" si="79"/>
        <v>0</v>
      </c>
      <c r="J263" s="94"/>
      <c r="K263" s="94"/>
      <c r="L263" s="94"/>
      <c r="M263" s="94"/>
      <c r="N263" s="94"/>
      <c r="O263" s="94"/>
      <c r="P263" s="119"/>
    </row>
    <row r="264" spans="2:17" ht="42.75" outlineLevel="1" x14ac:dyDescent="0.2">
      <c r="B264" s="117" t="s">
        <v>1321</v>
      </c>
      <c r="C264" s="117"/>
      <c r="D264" s="117" t="s">
        <v>1322</v>
      </c>
      <c r="E264" s="117" t="s">
        <v>319</v>
      </c>
      <c r="F264" s="117" t="s">
        <v>1323</v>
      </c>
      <c r="G264" s="117" t="s">
        <v>138</v>
      </c>
      <c r="H264" s="95" t="s">
        <v>3</v>
      </c>
      <c r="I264" s="17">
        <f t="shared" si="79"/>
        <v>90.4</v>
      </c>
      <c r="J264" s="94">
        <f t="shared" ref="J264:O264" si="81">J265+J266+J267</f>
        <v>90.4</v>
      </c>
      <c r="K264" s="94">
        <f t="shared" si="81"/>
        <v>0</v>
      </c>
      <c r="L264" s="94">
        <f t="shared" si="81"/>
        <v>0</v>
      </c>
      <c r="M264" s="94">
        <f t="shared" si="81"/>
        <v>0</v>
      </c>
      <c r="N264" s="94">
        <f t="shared" si="81"/>
        <v>0</v>
      </c>
      <c r="O264" s="94">
        <f t="shared" si="81"/>
        <v>0</v>
      </c>
      <c r="P264" s="117"/>
    </row>
    <row r="265" spans="2:17" outlineLevel="1" x14ac:dyDescent="0.2">
      <c r="B265" s="118"/>
      <c r="C265" s="132"/>
      <c r="D265" s="118"/>
      <c r="E265" s="118"/>
      <c r="F265" s="118"/>
      <c r="G265" s="118"/>
      <c r="H265" s="95" t="s">
        <v>4</v>
      </c>
      <c r="I265" s="17">
        <f t="shared" si="79"/>
        <v>0</v>
      </c>
      <c r="J265" s="94"/>
      <c r="K265" s="94"/>
      <c r="L265" s="94"/>
      <c r="M265" s="94"/>
      <c r="N265" s="94"/>
      <c r="O265" s="94"/>
      <c r="P265" s="118"/>
    </row>
    <row r="266" spans="2:17" outlineLevel="1" x14ac:dyDescent="0.2">
      <c r="B266" s="118"/>
      <c r="C266" s="132"/>
      <c r="D266" s="118"/>
      <c r="E266" s="118"/>
      <c r="F266" s="118"/>
      <c r="G266" s="118"/>
      <c r="H266" s="95" t="s">
        <v>6</v>
      </c>
      <c r="I266" s="17">
        <f t="shared" si="79"/>
        <v>90.4</v>
      </c>
      <c r="J266" s="94">
        <v>90.4</v>
      </c>
      <c r="K266" s="94"/>
      <c r="L266" s="94"/>
      <c r="M266" s="94"/>
      <c r="N266" s="94"/>
      <c r="O266" s="94"/>
      <c r="P266" s="118"/>
    </row>
    <row r="267" spans="2:17" outlineLevel="1" x14ac:dyDescent="0.2">
      <c r="B267" s="119"/>
      <c r="C267" s="133"/>
      <c r="D267" s="119"/>
      <c r="E267" s="119"/>
      <c r="F267" s="119"/>
      <c r="G267" s="119"/>
      <c r="H267" s="95" t="s">
        <v>5</v>
      </c>
      <c r="I267" s="17">
        <f t="shared" si="79"/>
        <v>0</v>
      </c>
      <c r="J267" s="94"/>
      <c r="K267" s="94"/>
      <c r="L267" s="94"/>
      <c r="M267" s="94"/>
      <c r="N267" s="94"/>
      <c r="O267" s="94"/>
      <c r="P267" s="119"/>
    </row>
    <row r="268" spans="2:17" ht="42.75" outlineLevel="1" x14ac:dyDescent="0.2">
      <c r="B268" s="117" t="s">
        <v>1324</v>
      </c>
      <c r="C268" s="117"/>
      <c r="D268" s="117" t="s">
        <v>1319</v>
      </c>
      <c r="E268" s="117" t="s">
        <v>203</v>
      </c>
      <c r="F268" s="117">
        <v>1200</v>
      </c>
      <c r="G268" s="117" t="s">
        <v>101</v>
      </c>
      <c r="H268" s="95" t="s">
        <v>3</v>
      </c>
      <c r="I268" s="17">
        <f t="shared" si="79"/>
        <v>50.900000000000006</v>
      </c>
      <c r="J268" s="94">
        <f t="shared" ref="J268:O268" si="82">J269+J270+J271</f>
        <v>21.3</v>
      </c>
      <c r="K268" s="94">
        <f t="shared" si="82"/>
        <v>29.6</v>
      </c>
      <c r="L268" s="94">
        <f t="shared" si="82"/>
        <v>0</v>
      </c>
      <c r="M268" s="94">
        <f t="shared" si="82"/>
        <v>0</v>
      </c>
      <c r="N268" s="94">
        <f t="shared" si="82"/>
        <v>0</v>
      </c>
      <c r="O268" s="94">
        <f t="shared" si="82"/>
        <v>0</v>
      </c>
      <c r="P268" s="117"/>
    </row>
    <row r="269" spans="2:17" outlineLevel="1" x14ac:dyDescent="0.2">
      <c r="B269" s="118"/>
      <c r="C269" s="132"/>
      <c r="D269" s="118"/>
      <c r="E269" s="118"/>
      <c r="F269" s="118"/>
      <c r="G269" s="118"/>
      <c r="H269" s="95" t="s">
        <v>4</v>
      </c>
      <c r="I269" s="17">
        <f t="shared" si="79"/>
        <v>0</v>
      </c>
      <c r="J269" s="94"/>
      <c r="K269" s="94"/>
      <c r="L269" s="94"/>
      <c r="M269" s="94"/>
      <c r="N269" s="94"/>
      <c r="O269" s="94"/>
      <c r="P269" s="118"/>
    </row>
    <row r="270" spans="2:17" outlineLevel="1" x14ac:dyDescent="0.2">
      <c r="B270" s="118"/>
      <c r="C270" s="132"/>
      <c r="D270" s="118"/>
      <c r="E270" s="118"/>
      <c r="F270" s="118"/>
      <c r="G270" s="118"/>
      <c r="H270" s="95" t="s">
        <v>6</v>
      </c>
      <c r="I270" s="17">
        <f t="shared" si="79"/>
        <v>50.900000000000006</v>
      </c>
      <c r="J270" s="94">
        <v>21.3</v>
      </c>
      <c r="K270" s="94">
        <v>29.6</v>
      </c>
      <c r="L270" s="94"/>
      <c r="M270" s="94"/>
      <c r="N270" s="94"/>
      <c r="O270" s="94"/>
      <c r="P270" s="118"/>
    </row>
    <row r="271" spans="2:17" outlineLevel="1" x14ac:dyDescent="0.2">
      <c r="B271" s="119"/>
      <c r="C271" s="133"/>
      <c r="D271" s="119"/>
      <c r="E271" s="119"/>
      <c r="F271" s="119"/>
      <c r="G271" s="119"/>
      <c r="H271" s="95" t="s">
        <v>5</v>
      </c>
      <c r="I271" s="17">
        <f t="shared" si="79"/>
        <v>0</v>
      </c>
      <c r="J271" s="94"/>
      <c r="K271" s="94"/>
      <c r="L271" s="94"/>
      <c r="M271" s="94"/>
      <c r="N271" s="94"/>
      <c r="O271" s="94"/>
      <c r="P271" s="119"/>
    </row>
    <row r="272" spans="2:17" ht="42.75" outlineLevel="1" x14ac:dyDescent="0.2">
      <c r="B272" s="117" t="s">
        <v>1325</v>
      </c>
      <c r="C272" s="117"/>
      <c r="D272" s="117" t="s">
        <v>1319</v>
      </c>
      <c r="E272" s="117">
        <v>2020</v>
      </c>
      <c r="F272" s="117">
        <v>240</v>
      </c>
      <c r="G272" s="117" t="s">
        <v>101</v>
      </c>
      <c r="H272" s="95" t="s">
        <v>3</v>
      </c>
      <c r="I272" s="17">
        <f t="shared" si="79"/>
        <v>10.6</v>
      </c>
      <c r="J272" s="94">
        <f t="shared" ref="J272:O272" si="83">J273+J274+J275</f>
        <v>10.6</v>
      </c>
      <c r="K272" s="94">
        <f t="shared" si="83"/>
        <v>0</v>
      </c>
      <c r="L272" s="94">
        <f t="shared" si="83"/>
        <v>0</v>
      </c>
      <c r="M272" s="94">
        <f t="shared" si="83"/>
        <v>0</v>
      </c>
      <c r="N272" s="94">
        <f t="shared" si="83"/>
        <v>0</v>
      </c>
      <c r="O272" s="94">
        <f t="shared" si="83"/>
        <v>0</v>
      </c>
      <c r="P272" s="117"/>
    </row>
    <row r="273" spans="2:16" outlineLevel="1" x14ac:dyDescent="0.2">
      <c r="B273" s="118"/>
      <c r="C273" s="132"/>
      <c r="D273" s="118"/>
      <c r="E273" s="118"/>
      <c r="F273" s="118"/>
      <c r="G273" s="118"/>
      <c r="H273" s="95" t="s">
        <v>4</v>
      </c>
      <c r="I273" s="17">
        <f t="shared" si="79"/>
        <v>0</v>
      </c>
      <c r="J273" s="94"/>
      <c r="K273" s="94"/>
      <c r="L273" s="94"/>
      <c r="M273" s="94"/>
      <c r="N273" s="94"/>
      <c r="O273" s="94"/>
      <c r="P273" s="118"/>
    </row>
    <row r="274" spans="2:16" outlineLevel="1" x14ac:dyDescent="0.2">
      <c r="B274" s="118"/>
      <c r="C274" s="132"/>
      <c r="D274" s="118"/>
      <c r="E274" s="118"/>
      <c r="F274" s="118"/>
      <c r="G274" s="118"/>
      <c r="H274" s="95" t="s">
        <v>6</v>
      </c>
      <c r="I274" s="17">
        <f t="shared" si="79"/>
        <v>10.6</v>
      </c>
      <c r="J274" s="94">
        <v>10.6</v>
      </c>
      <c r="K274" s="94"/>
      <c r="L274" s="94"/>
      <c r="M274" s="94"/>
      <c r="N274" s="94"/>
      <c r="O274" s="94"/>
      <c r="P274" s="118"/>
    </row>
    <row r="275" spans="2:16" outlineLevel="1" x14ac:dyDescent="0.2">
      <c r="B275" s="119"/>
      <c r="C275" s="133"/>
      <c r="D275" s="119"/>
      <c r="E275" s="119"/>
      <c r="F275" s="119"/>
      <c r="G275" s="119"/>
      <c r="H275" s="95" t="s">
        <v>5</v>
      </c>
      <c r="I275" s="17">
        <f t="shared" si="79"/>
        <v>0</v>
      </c>
      <c r="J275" s="94"/>
      <c r="K275" s="94"/>
      <c r="L275" s="94"/>
      <c r="M275" s="94"/>
      <c r="N275" s="94"/>
      <c r="O275" s="94"/>
      <c r="P275" s="119"/>
    </row>
    <row r="276" spans="2:16" ht="42.75" outlineLevel="1" x14ac:dyDescent="0.2">
      <c r="B276" s="117" t="s">
        <v>1326</v>
      </c>
      <c r="C276" s="117"/>
      <c r="D276" s="117" t="s">
        <v>1319</v>
      </c>
      <c r="E276" s="117">
        <v>2020</v>
      </c>
      <c r="F276" s="117">
        <v>240</v>
      </c>
      <c r="G276" s="117" t="s">
        <v>101</v>
      </c>
      <c r="H276" s="95" t="s">
        <v>3</v>
      </c>
      <c r="I276" s="17">
        <f t="shared" si="79"/>
        <v>14.9</v>
      </c>
      <c r="J276" s="94">
        <f t="shared" ref="J276:O276" si="84">J277+J278+J279</f>
        <v>14.9</v>
      </c>
      <c r="K276" s="94">
        <f t="shared" si="84"/>
        <v>0</v>
      </c>
      <c r="L276" s="94">
        <f t="shared" si="84"/>
        <v>0</v>
      </c>
      <c r="M276" s="94">
        <f t="shared" si="84"/>
        <v>0</v>
      </c>
      <c r="N276" s="94">
        <f t="shared" si="84"/>
        <v>0</v>
      </c>
      <c r="O276" s="94">
        <f t="shared" si="84"/>
        <v>0</v>
      </c>
      <c r="P276" s="117"/>
    </row>
    <row r="277" spans="2:16" outlineLevel="1" x14ac:dyDescent="0.2">
      <c r="B277" s="118"/>
      <c r="C277" s="132"/>
      <c r="D277" s="118"/>
      <c r="E277" s="118"/>
      <c r="F277" s="118"/>
      <c r="G277" s="118"/>
      <c r="H277" s="95" t="s">
        <v>4</v>
      </c>
      <c r="I277" s="17">
        <f t="shared" si="79"/>
        <v>0</v>
      </c>
      <c r="J277" s="94"/>
      <c r="K277" s="94"/>
      <c r="L277" s="94"/>
      <c r="M277" s="94"/>
      <c r="N277" s="94"/>
      <c r="O277" s="94"/>
      <c r="P277" s="118"/>
    </row>
    <row r="278" spans="2:16" outlineLevel="1" x14ac:dyDescent="0.2">
      <c r="B278" s="118"/>
      <c r="C278" s="132"/>
      <c r="D278" s="118"/>
      <c r="E278" s="118"/>
      <c r="F278" s="118"/>
      <c r="G278" s="118"/>
      <c r="H278" s="95" t="s">
        <v>6</v>
      </c>
      <c r="I278" s="17">
        <f t="shared" si="79"/>
        <v>14.9</v>
      </c>
      <c r="J278" s="94">
        <v>14.9</v>
      </c>
      <c r="K278" s="94"/>
      <c r="L278" s="94"/>
      <c r="M278" s="94"/>
      <c r="N278" s="94"/>
      <c r="O278" s="94"/>
      <c r="P278" s="118"/>
    </row>
    <row r="279" spans="2:16" outlineLevel="1" x14ac:dyDescent="0.2">
      <c r="B279" s="119"/>
      <c r="C279" s="133"/>
      <c r="D279" s="119"/>
      <c r="E279" s="119"/>
      <c r="F279" s="119"/>
      <c r="G279" s="119"/>
      <c r="H279" s="95" t="s">
        <v>5</v>
      </c>
      <c r="I279" s="17">
        <f t="shared" si="79"/>
        <v>0</v>
      </c>
      <c r="J279" s="94"/>
      <c r="K279" s="94"/>
      <c r="L279" s="94"/>
      <c r="M279" s="94"/>
      <c r="N279" s="94"/>
      <c r="O279" s="94"/>
      <c r="P279" s="119"/>
    </row>
    <row r="280" spans="2:16" ht="42.75" outlineLevel="1" x14ac:dyDescent="0.2">
      <c r="B280" s="117" t="s">
        <v>1327</v>
      </c>
      <c r="C280" s="117"/>
      <c r="D280" s="117" t="s">
        <v>223</v>
      </c>
      <c r="E280" s="117">
        <v>2020</v>
      </c>
      <c r="F280" s="117"/>
      <c r="G280" s="117" t="s">
        <v>101</v>
      </c>
      <c r="H280" s="95" t="s">
        <v>3</v>
      </c>
      <c r="I280" s="17">
        <f t="shared" si="79"/>
        <v>30.9</v>
      </c>
      <c r="J280" s="94">
        <f t="shared" ref="J280:O280" si="85">J281+J282+J283</f>
        <v>30.9</v>
      </c>
      <c r="K280" s="94">
        <f t="shared" si="85"/>
        <v>0</v>
      </c>
      <c r="L280" s="94">
        <f t="shared" si="85"/>
        <v>0</v>
      </c>
      <c r="M280" s="94">
        <f t="shared" si="85"/>
        <v>0</v>
      </c>
      <c r="N280" s="94">
        <f t="shared" si="85"/>
        <v>0</v>
      </c>
      <c r="O280" s="94">
        <f t="shared" si="85"/>
        <v>0</v>
      </c>
      <c r="P280" s="117"/>
    </row>
    <row r="281" spans="2:16" outlineLevel="1" x14ac:dyDescent="0.2">
      <c r="B281" s="118"/>
      <c r="C281" s="132"/>
      <c r="D281" s="118"/>
      <c r="E281" s="118"/>
      <c r="F281" s="118"/>
      <c r="G281" s="118"/>
      <c r="H281" s="95" t="s">
        <v>4</v>
      </c>
      <c r="I281" s="17">
        <f t="shared" si="79"/>
        <v>0</v>
      </c>
      <c r="J281" s="94"/>
      <c r="K281" s="94"/>
      <c r="L281" s="94"/>
      <c r="M281" s="94"/>
      <c r="N281" s="94"/>
      <c r="O281" s="94"/>
      <c r="P281" s="118"/>
    </row>
    <row r="282" spans="2:16" outlineLevel="1" x14ac:dyDescent="0.2">
      <c r="B282" s="118"/>
      <c r="C282" s="132"/>
      <c r="D282" s="118"/>
      <c r="E282" s="118"/>
      <c r="F282" s="118"/>
      <c r="G282" s="118"/>
      <c r="H282" s="95" t="s">
        <v>6</v>
      </c>
      <c r="I282" s="17">
        <f t="shared" si="79"/>
        <v>30.9</v>
      </c>
      <c r="J282" s="94">
        <v>30.9</v>
      </c>
      <c r="K282" s="94"/>
      <c r="L282" s="94"/>
      <c r="M282" s="94"/>
      <c r="N282" s="94"/>
      <c r="O282" s="94"/>
      <c r="P282" s="118"/>
    </row>
    <row r="283" spans="2:16" outlineLevel="1" x14ac:dyDescent="0.2">
      <c r="B283" s="119"/>
      <c r="C283" s="133"/>
      <c r="D283" s="119"/>
      <c r="E283" s="119"/>
      <c r="F283" s="119"/>
      <c r="G283" s="119"/>
      <c r="H283" s="95" t="s">
        <v>5</v>
      </c>
      <c r="I283" s="17">
        <f t="shared" si="79"/>
        <v>0</v>
      </c>
      <c r="J283" s="94"/>
      <c r="K283" s="94"/>
      <c r="L283" s="94"/>
      <c r="M283" s="94"/>
      <c r="N283" s="94"/>
      <c r="O283" s="94"/>
      <c r="P283" s="119"/>
    </row>
    <row r="284" spans="2:16" ht="42.75" outlineLevel="1" x14ac:dyDescent="0.2">
      <c r="B284" s="117" t="s">
        <v>1328</v>
      </c>
      <c r="C284" s="117"/>
      <c r="D284" s="117" t="s">
        <v>223</v>
      </c>
      <c r="E284" s="117">
        <v>2021</v>
      </c>
      <c r="F284" s="117">
        <v>424</v>
      </c>
      <c r="G284" s="117" t="s">
        <v>101</v>
      </c>
      <c r="H284" s="95" t="s">
        <v>3</v>
      </c>
      <c r="I284" s="17">
        <f t="shared" si="79"/>
        <v>54.1</v>
      </c>
      <c r="J284" s="94">
        <f t="shared" ref="J284:O284" si="86">J285+J286+J287</f>
        <v>0</v>
      </c>
      <c r="K284" s="94">
        <f t="shared" si="86"/>
        <v>54.1</v>
      </c>
      <c r="L284" s="94">
        <f t="shared" si="86"/>
        <v>0</v>
      </c>
      <c r="M284" s="94">
        <f t="shared" si="86"/>
        <v>0</v>
      </c>
      <c r="N284" s="94">
        <f t="shared" si="86"/>
        <v>0</v>
      </c>
      <c r="O284" s="94">
        <f t="shared" si="86"/>
        <v>0</v>
      </c>
      <c r="P284" s="117"/>
    </row>
    <row r="285" spans="2:16" outlineLevel="1" x14ac:dyDescent="0.2">
      <c r="B285" s="118"/>
      <c r="C285" s="132"/>
      <c r="D285" s="118"/>
      <c r="E285" s="118"/>
      <c r="F285" s="118"/>
      <c r="G285" s="118"/>
      <c r="H285" s="95" t="s">
        <v>4</v>
      </c>
      <c r="I285" s="17">
        <f t="shared" si="79"/>
        <v>0</v>
      </c>
      <c r="J285" s="94"/>
      <c r="K285" s="94"/>
      <c r="L285" s="94"/>
      <c r="M285" s="94"/>
      <c r="N285" s="94"/>
      <c r="O285" s="94"/>
      <c r="P285" s="118"/>
    </row>
    <row r="286" spans="2:16" outlineLevel="1" x14ac:dyDescent="0.2">
      <c r="B286" s="118"/>
      <c r="C286" s="132"/>
      <c r="D286" s="118"/>
      <c r="E286" s="118"/>
      <c r="F286" s="118"/>
      <c r="G286" s="118"/>
      <c r="H286" s="95" t="s">
        <v>6</v>
      </c>
      <c r="I286" s="17">
        <f t="shared" si="79"/>
        <v>54.1</v>
      </c>
      <c r="J286" s="94"/>
      <c r="K286" s="94">
        <v>54.1</v>
      </c>
      <c r="L286" s="94"/>
      <c r="M286" s="94"/>
      <c r="N286" s="94"/>
      <c r="O286" s="94"/>
      <c r="P286" s="118"/>
    </row>
    <row r="287" spans="2:16" outlineLevel="1" x14ac:dyDescent="0.2">
      <c r="B287" s="119"/>
      <c r="C287" s="133"/>
      <c r="D287" s="119"/>
      <c r="E287" s="119"/>
      <c r="F287" s="119"/>
      <c r="G287" s="119"/>
      <c r="H287" s="95" t="s">
        <v>5</v>
      </c>
      <c r="I287" s="17">
        <f t="shared" si="79"/>
        <v>0</v>
      </c>
      <c r="J287" s="94"/>
      <c r="K287" s="94"/>
      <c r="L287" s="94"/>
      <c r="M287" s="94"/>
      <c r="N287" s="94"/>
      <c r="O287" s="94"/>
      <c r="P287" s="119"/>
    </row>
    <row r="288" spans="2:16" ht="42.75" outlineLevel="1" x14ac:dyDescent="0.2">
      <c r="B288" s="117" t="s">
        <v>1329</v>
      </c>
      <c r="C288" s="117"/>
      <c r="D288" s="117" t="s">
        <v>223</v>
      </c>
      <c r="E288" s="117">
        <v>2021</v>
      </c>
      <c r="F288" s="117">
        <v>240</v>
      </c>
      <c r="G288" s="117" t="s">
        <v>101</v>
      </c>
      <c r="H288" s="95" t="s">
        <v>3</v>
      </c>
      <c r="I288" s="17">
        <f t="shared" si="79"/>
        <v>1.4</v>
      </c>
      <c r="J288" s="94">
        <f t="shared" ref="J288:O288" si="87">J289+J290+J291</f>
        <v>0</v>
      </c>
      <c r="K288" s="94">
        <f t="shared" si="87"/>
        <v>1.4</v>
      </c>
      <c r="L288" s="94">
        <f t="shared" si="87"/>
        <v>0</v>
      </c>
      <c r="M288" s="94">
        <f t="shared" si="87"/>
        <v>0</v>
      </c>
      <c r="N288" s="94">
        <f t="shared" si="87"/>
        <v>0</v>
      </c>
      <c r="O288" s="94">
        <f t="shared" si="87"/>
        <v>0</v>
      </c>
      <c r="P288" s="117"/>
    </row>
    <row r="289" spans="2:17" outlineLevel="1" x14ac:dyDescent="0.2">
      <c r="B289" s="118"/>
      <c r="C289" s="132"/>
      <c r="D289" s="118"/>
      <c r="E289" s="118"/>
      <c r="F289" s="118"/>
      <c r="G289" s="118"/>
      <c r="H289" s="95" t="s">
        <v>4</v>
      </c>
      <c r="I289" s="17">
        <f t="shared" si="79"/>
        <v>0</v>
      </c>
      <c r="J289" s="94"/>
      <c r="K289" s="94"/>
      <c r="L289" s="94"/>
      <c r="M289" s="94"/>
      <c r="N289" s="94"/>
      <c r="O289" s="94"/>
      <c r="P289" s="118"/>
    </row>
    <row r="290" spans="2:17" outlineLevel="1" x14ac:dyDescent="0.2">
      <c r="B290" s="118"/>
      <c r="C290" s="132"/>
      <c r="D290" s="118"/>
      <c r="E290" s="118"/>
      <c r="F290" s="118"/>
      <c r="G290" s="118"/>
      <c r="H290" s="95" t="s">
        <v>6</v>
      </c>
      <c r="I290" s="17">
        <f t="shared" si="79"/>
        <v>1.4</v>
      </c>
      <c r="J290" s="94"/>
      <c r="K290" s="94">
        <v>1.4</v>
      </c>
      <c r="L290" s="94"/>
      <c r="M290" s="94"/>
      <c r="N290" s="94"/>
      <c r="O290" s="94"/>
      <c r="P290" s="118"/>
    </row>
    <row r="291" spans="2:17" outlineLevel="1" x14ac:dyDescent="0.2">
      <c r="B291" s="119"/>
      <c r="C291" s="133"/>
      <c r="D291" s="119"/>
      <c r="E291" s="119"/>
      <c r="F291" s="119"/>
      <c r="G291" s="119"/>
      <c r="H291" s="95" t="s">
        <v>5</v>
      </c>
      <c r="I291" s="17">
        <f t="shared" si="79"/>
        <v>0</v>
      </c>
      <c r="J291" s="94"/>
      <c r="K291" s="94"/>
      <c r="L291" s="94"/>
      <c r="M291" s="94"/>
      <c r="N291" s="94"/>
      <c r="O291" s="94"/>
      <c r="P291" s="119"/>
    </row>
    <row r="292" spans="2:17" ht="42.75" outlineLevel="1" x14ac:dyDescent="0.2">
      <c r="B292" s="117" t="s">
        <v>1330</v>
      </c>
      <c r="C292" s="117"/>
      <c r="D292" s="117" t="s">
        <v>223</v>
      </c>
      <c r="E292" s="117">
        <v>2021</v>
      </c>
      <c r="F292" s="117">
        <v>190</v>
      </c>
      <c r="G292" s="117" t="s">
        <v>101</v>
      </c>
      <c r="H292" s="95" t="s">
        <v>3</v>
      </c>
      <c r="I292" s="17">
        <f t="shared" si="79"/>
        <v>3</v>
      </c>
      <c r="J292" s="94">
        <f t="shared" ref="J292:O292" si="88">J293+J294+J295</f>
        <v>0</v>
      </c>
      <c r="K292" s="94">
        <f t="shared" si="88"/>
        <v>3</v>
      </c>
      <c r="L292" s="94">
        <f t="shared" si="88"/>
        <v>0</v>
      </c>
      <c r="M292" s="94">
        <f t="shared" si="88"/>
        <v>0</v>
      </c>
      <c r="N292" s="94">
        <f t="shared" si="88"/>
        <v>0</v>
      </c>
      <c r="O292" s="94">
        <f t="shared" si="88"/>
        <v>0</v>
      </c>
      <c r="P292" s="117"/>
    </row>
    <row r="293" spans="2:17" outlineLevel="1" x14ac:dyDescent="0.2">
      <c r="B293" s="118"/>
      <c r="C293" s="132"/>
      <c r="D293" s="118"/>
      <c r="E293" s="118"/>
      <c r="F293" s="118"/>
      <c r="G293" s="118"/>
      <c r="H293" s="95" t="s">
        <v>4</v>
      </c>
      <c r="I293" s="17">
        <f t="shared" si="79"/>
        <v>0</v>
      </c>
      <c r="J293" s="94"/>
      <c r="K293" s="94"/>
      <c r="L293" s="94"/>
      <c r="M293" s="94"/>
      <c r="N293" s="94"/>
      <c r="O293" s="94"/>
      <c r="P293" s="118"/>
    </row>
    <row r="294" spans="2:17" outlineLevel="1" x14ac:dyDescent="0.2">
      <c r="B294" s="118"/>
      <c r="C294" s="132"/>
      <c r="D294" s="118"/>
      <c r="E294" s="118"/>
      <c r="F294" s="118"/>
      <c r="G294" s="118"/>
      <c r="H294" s="95" t="s">
        <v>6</v>
      </c>
      <c r="I294" s="17">
        <f t="shared" si="79"/>
        <v>3</v>
      </c>
      <c r="J294" s="94"/>
      <c r="K294" s="94">
        <v>3</v>
      </c>
      <c r="L294" s="94"/>
      <c r="M294" s="94"/>
      <c r="N294" s="94"/>
      <c r="O294" s="94"/>
      <c r="P294" s="118"/>
    </row>
    <row r="295" spans="2:17" outlineLevel="1" x14ac:dyDescent="0.2">
      <c r="B295" s="119"/>
      <c r="C295" s="133"/>
      <c r="D295" s="119"/>
      <c r="E295" s="119"/>
      <c r="F295" s="119"/>
      <c r="G295" s="119"/>
      <c r="H295" s="95" t="s">
        <v>5</v>
      </c>
      <c r="I295" s="17">
        <f t="shared" si="79"/>
        <v>0</v>
      </c>
      <c r="J295" s="94"/>
      <c r="K295" s="94"/>
      <c r="L295" s="94"/>
      <c r="M295" s="94"/>
      <c r="N295" s="94"/>
      <c r="O295" s="94"/>
      <c r="P295" s="119"/>
    </row>
    <row r="296" spans="2:17" ht="42.75" x14ac:dyDescent="0.2">
      <c r="B296" s="128" t="s">
        <v>288</v>
      </c>
      <c r="C296" s="128" t="s">
        <v>38</v>
      </c>
      <c r="D296" s="128" t="s">
        <v>38</v>
      </c>
      <c r="E296" s="128" t="s">
        <v>38</v>
      </c>
      <c r="F296" s="128" t="s">
        <v>38</v>
      </c>
      <c r="G296" s="128" t="s">
        <v>38</v>
      </c>
      <c r="H296" s="95" t="s">
        <v>3</v>
      </c>
      <c r="I296" s="14">
        <f t="shared" ref="I296:O296" si="89">SUMIF($H$260:$H$295,"Объем*",I$260:I$295)</f>
        <v>415.79999999999995</v>
      </c>
      <c r="J296" s="14">
        <f t="shared" si="89"/>
        <v>225.60000000000002</v>
      </c>
      <c r="K296" s="14">
        <f t="shared" si="89"/>
        <v>190.2</v>
      </c>
      <c r="L296" s="14">
        <f t="shared" si="89"/>
        <v>0</v>
      </c>
      <c r="M296" s="14">
        <f t="shared" si="89"/>
        <v>0</v>
      </c>
      <c r="N296" s="14">
        <f t="shared" si="89"/>
        <v>0</v>
      </c>
      <c r="O296" s="14">
        <f t="shared" si="89"/>
        <v>0</v>
      </c>
      <c r="P296" s="128">
        <f>SUM(P260:P267)</f>
        <v>0</v>
      </c>
      <c r="Q296" s="7"/>
    </row>
    <row r="297" spans="2:17" ht="15.75" x14ac:dyDescent="0.2">
      <c r="B297" s="129"/>
      <c r="C297" s="129"/>
      <c r="D297" s="129"/>
      <c r="E297" s="129"/>
      <c r="F297" s="129"/>
      <c r="G297" s="129"/>
      <c r="H297" s="95" t="s">
        <v>4</v>
      </c>
      <c r="I297" s="14">
        <f t="shared" ref="I297:O297" si="90">SUMIF($H$260:$H$295,"фед*",I$260:I$295)</f>
        <v>158</v>
      </c>
      <c r="J297" s="14">
        <f t="shared" si="90"/>
        <v>56.9</v>
      </c>
      <c r="K297" s="14">
        <f t="shared" si="90"/>
        <v>101.1</v>
      </c>
      <c r="L297" s="14">
        <f t="shared" si="90"/>
        <v>0</v>
      </c>
      <c r="M297" s="14">
        <f t="shared" si="90"/>
        <v>0</v>
      </c>
      <c r="N297" s="14">
        <f t="shared" si="90"/>
        <v>0</v>
      </c>
      <c r="O297" s="14">
        <f t="shared" si="90"/>
        <v>0</v>
      </c>
      <c r="P297" s="129"/>
      <c r="Q297" s="7"/>
    </row>
    <row r="298" spans="2:17" ht="15.75" x14ac:dyDescent="0.2">
      <c r="B298" s="129"/>
      <c r="C298" s="129"/>
      <c r="D298" s="129"/>
      <c r="E298" s="129"/>
      <c r="F298" s="129"/>
      <c r="G298" s="129"/>
      <c r="H298" s="95" t="s">
        <v>6</v>
      </c>
      <c r="I298" s="14">
        <f t="shared" ref="I298:O298" si="91">SUMIF($H$260:$H$295,"конс*",I$260:I$295)</f>
        <v>257.8</v>
      </c>
      <c r="J298" s="14">
        <f t="shared" si="91"/>
        <v>168.7</v>
      </c>
      <c r="K298" s="14">
        <f t="shared" si="91"/>
        <v>89.100000000000009</v>
      </c>
      <c r="L298" s="14">
        <f t="shared" si="91"/>
        <v>0</v>
      </c>
      <c r="M298" s="14">
        <f t="shared" si="91"/>
        <v>0</v>
      </c>
      <c r="N298" s="14">
        <f t="shared" si="91"/>
        <v>0</v>
      </c>
      <c r="O298" s="14">
        <f t="shared" si="91"/>
        <v>0</v>
      </c>
      <c r="P298" s="129"/>
      <c r="Q298" s="7"/>
    </row>
    <row r="299" spans="2:17" ht="15.75" x14ac:dyDescent="0.2">
      <c r="B299" s="130"/>
      <c r="C299" s="130"/>
      <c r="D299" s="130"/>
      <c r="E299" s="130"/>
      <c r="F299" s="130"/>
      <c r="G299" s="130"/>
      <c r="H299" s="95" t="s">
        <v>5</v>
      </c>
      <c r="I299" s="14">
        <f t="shared" ref="I299:O299" si="92">SUMIF($H$260:$H$295,"вне*",I$260:I$295)</f>
        <v>0</v>
      </c>
      <c r="J299" s="14">
        <f t="shared" si="92"/>
        <v>0</v>
      </c>
      <c r="K299" s="14">
        <f t="shared" si="92"/>
        <v>0</v>
      </c>
      <c r="L299" s="14">
        <f t="shared" si="92"/>
        <v>0</v>
      </c>
      <c r="M299" s="14">
        <f t="shared" si="92"/>
        <v>0</v>
      </c>
      <c r="N299" s="14">
        <f t="shared" si="92"/>
        <v>0</v>
      </c>
      <c r="O299" s="14">
        <f t="shared" si="92"/>
        <v>0</v>
      </c>
      <c r="P299" s="130"/>
      <c r="Q299" s="7"/>
    </row>
    <row r="300" spans="2:17" ht="25.5" customHeight="1" x14ac:dyDescent="0.2">
      <c r="B300" s="111" t="s">
        <v>321</v>
      </c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3"/>
    </row>
    <row r="301" spans="2:17" ht="42.75" customHeight="1" outlineLevel="1" x14ac:dyDescent="0.2">
      <c r="B301" s="117" t="s">
        <v>1331</v>
      </c>
      <c r="C301" s="117"/>
      <c r="D301" s="117" t="s">
        <v>760</v>
      </c>
      <c r="E301" s="117">
        <v>2020.2021</v>
      </c>
      <c r="F301" s="117"/>
      <c r="G301" s="117" t="s">
        <v>63</v>
      </c>
      <c r="H301" s="95" t="s">
        <v>3</v>
      </c>
      <c r="I301" s="17">
        <f t="shared" ref="I301:I344" si="93">SUM(J301:O301)</f>
        <v>352.2</v>
      </c>
      <c r="J301" s="94">
        <f t="shared" ref="J301:O301" si="94">J302+J303+J304</f>
        <v>0</v>
      </c>
      <c r="K301" s="94">
        <f t="shared" si="94"/>
        <v>252.2</v>
      </c>
      <c r="L301" s="94">
        <f t="shared" si="94"/>
        <v>100</v>
      </c>
      <c r="M301" s="94">
        <f t="shared" si="94"/>
        <v>0</v>
      </c>
      <c r="N301" s="94">
        <f t="shared" si="94"/>
        <v>0</v>
      </c>
      <c r="O301" s="94">
        <f t="shared" si="94"/>
        <v>0</v>
      </c>
      <c r="P301" s="117">
        <v>13670</v>
      </c>
    </row>
    <row r="302" spans="2:17" outlineLevel="1" x14ac:dyDescent="0.2">
      <c r="B302" s="118"/>
      <c r="C302" s="132"/>
      <c r="D302" s="118"/>
      <c r="E302" s="118"/>
      <c r="F302" s="118"/>
      <c r="G302" s="118"/>
      <c r="H302" s="95" t="s">
        <v>4</v>
      </c>
      <c r="I302" s="17">
        <f t="shared" si="93"/>
        <v>0</v>
      </c>
      <c r="J302" s="94"/>
      <c r="K302" s="94"/>
      <c r="L302" s="94"/>
      <c r="M302" s="94"/>
      <c r="N302" s="94"/>
      <c r="O302" s="94"/>
      <c r="P302" s="118"/>
    </row>
    <row r="303" spans="2:17" outlineLevel="1" x14ac:dyDescent="0.2">
      <c r="B303" s="118"/>
      <c r="C303" s="132"/>
      <c r="D303" s="118"/>
      <c r="E303" s="118"/>
      <c r="F303" s="118"/>
      <c r="G303" s="118"/>
      <c r="H303" s="95" t="s">
        <v>6</v>
      </c>
      <c r="I303" s="17">
        <f t="shared" si="93"/>
        <v>352.2</v>
      </c>
      <c r="J303" s="94"/>
      <c r="K303" s="94">
        <v>252.2</v>
      </c>
      <c r="L303" s="94">
        <v>100</v>
      </c>
      <c r="M303" s="94"/>
      <c r="N303" s="94"/>
      <c r="O303" s="94"/>
      <c r="P303" s="118"/>
    </row>
    <row r="304" spans="2:17" outlineLevel="1" x14ac:dyDescent="0.2">
      <c r="B304" s="119"/>
      <c r="C304" s="133"/>
      <c r="D304" s="119"/>
      <c r="E304" s="119"/>
      <c r="F304" s="119"/>
      <c r="G304" s="119"/>
      <c r="H304" s="95" t="s">
        <v>5</v>
      </c>
      <c r="I304" s="17">
        <f t="shared" si="93"/>
        <v>0</v>
      </c>
      <c r="J304" s="94"/>
      <c r="K304" s="94"/>
      <c r="L304" s="94"/>
      <c r="M304" s="94"/>
      <c r="N304" s="94"/>
      <c r="O304" s="94"/>
      <c r="P304" s="119"/>
    </row>
    <row r="305" spans="2:16" ht="42.75" outlineLevel="1" x14ac:dyDescent="0.2">
      <c r="B305" s="117" t="s">
        <v>1332</v>
      </c>
      <c r="C305" s="117"/>
      <c r="D305" s="117" t="s">
        <v>1333</v>
      </c>
      <c r="E305" s="117">
        <v>2021</v>
      </c>
      <c r="F305" s="117"/>
      <c r="G305" s="117" t="s">
        <v>101</v>
      </c>
      <c r="H305" s="95" t="s">
        <v>3</v>
      </c>
      <c r="I305" s="17">
        <f t="shared" si="93"/>
        <v>33</v>
      </c>
      <c r="J305" s="94">
        <f t="shared" ref="J305:O305" si="95">J306+J307+J308</f>
        <v>0</v>
      </c>
      <c r="K305" s="94">
        <f t="shared" si="95"/>
        <v>33</v>
      </c>
      <c r="L305" s="94">
        <f t="shared" si="95"/>
        <v>0</v>
      </c>
      <c r="M305" s="94">
        <f t="shared" si="95"/>
        <v>0</v>
      </c>
      <c r="N305" s="94">
        <f t="shared" si="95"/>
        <v>0</v>
      </c>
      <c r="O305" s="94">
        <f t="shared" si="95"/>
        <v>0</v>
      </c>
      <c r="P305" s="117">
        <v>13670</v>
      </c>
    </row>
    <row r="306" spans="2:16" outlineLevel="1" x14ac:dyDescent="0.2">
      <c r="B306" s="118"/>
      <c r="C306" s="132"/>
      <c r="D306" s="118"/>
      <c r="E306" s="118"/>
      <c r="F306" s="118"/>
      <c r="G306" s="118"/>
      <c r="H306" s="95" t="s">
        <v>4</v>
      </c>
      <c r="I306" s="17">
        <f t="shared" si="93"/>
        <v>0</v>
      </c>
      <c r="J306" s="94"/>
      <c r="K306" s="94"/>
      <c r="L306" s="94"/>
      <c r="M306" s="94"/>
      <c r="N306" s="94"/>
      <c r="O306" s="94"/>
      <c r="P306" s="118"/>
    </row>
    <row r="307" spans="2:16" outlineLevel="1" x14ac:dyDescent="0.2">
      <c r="B307" s="118"/>
      <c r="C307" s="132"/>
      <c r="D307" s="118"/>
      <c r="E307" s="118"/>
      <c r="F307" s="118"/>
      <c r="G307" s="118"/>
      <c r="H307" s="95" t="s">
        <v>6</v>
      </c>
      <c r="I307" s="17">
        <f t="shared" si="93"/>
        <v>33</v>
      </c>
      <c r="J307" s="94"/>
      <c r="K307" s="94">
        <v>33</v>
      </c>
      <c r="L307" s="94"/>
      <c r="M307" s="94"/>
      <c r="N307" s="94"/>
      <c r="O307" s="94"/>
      <c r="P307" s="118"/>
    </row>
    <row r="308" spans="2:16" outlineLevel="1" x14ac:dyDescent="0.2">
      <c r="B308" s="119"/>
      <c r="C308" s="133"/>
      <c r="D308" s="119"/>
      <c r="E308" s="119"/>
      <c r="F308" s="119"/>
      <c r="G308" s="119"/>
      <c r="H308" s="95" t="s">
        <v>5</v>
      </c>
      <c r="I308" s="17">
        <f t="shared" si="93"/>
        <v>0</v>
      </c>
      <c r="J308" s="94"/>
      <c r="K308" s="94"/>
      <c r="L308" s="94"/>
      <c r="M308" s="94"/>
      <c r="N308" s="94"/>
      <c r="O308" s="94"/>
      <c r="P308" s="119"/>
    </row>
    <row r="309" spans="2:16" ht="42.75" customHeight="1" outlineLevel="1" x14ac:dyDescent="0.2">
      <c r="B309" s="117" t="s">
        <v>1334</v>
      </c>
      <c r="C309" s="117"/>
      <c r="D309" s="117" t="s">
        <v>1333</v>
      </c>
      <c r="E309" s="117">
        <v>2023</v>
      </c>
      <c r="F309" s="117"/>
      <c r="G309" s="117" t="s">
        <v>101</v>
      </c>
      <c r="H309" s="95" t="s">
        <v>3</v>
      </c>
      <c r="I309" s="17">
        <f t="shared" si="93"/>
        <v>4</v>
      </c>
      <c r="J309" s="94">
        <f t="shared" ref="J309:O309" si="96">J310+J311+J312</f>
        <v>0</v>
      </c>
      <c r="K309" s="94">
        <f t="shared" si="96"/>
        <v>0</v>
      </c>
      <c r="L309" s="94">
        <f t="shared" si="96"/>
        <v>0</v>
      </c>
      <c r="M309" s="94">
        <f t="shared" si="96"/>
        <v>4</v>
      </c>
      <c r="N309" s="94">
        <f t="shared" si="96"/>
        <v>0</v>
      </c>
      <c r="O309" s="94">
        <f t="shared" si="96"/>
        <v>0</v>
      </c>
      <c r="P309" s="117">
        <v>13670</v>
      </c>
    </row>
    <row r="310" spans="2:16" outlineLevel="1" x14ac:dyDescent="0.2">
      <c r="B310" s="118"/>
      <c r="C310" s="132"/>
      <c r="D310" s="118"/>
      <c r="E310" s="118"/>
      <c r="F310" s="118"/>
      <c r="G310" s="118"/>
      <c r="H310" s="95" t="s">
        <v>4</v>
      </c>
      <c r="I310" s="17">
        <f t="shared" si="93"/>
        <v>0</v>
      </c>
      <c r="J310" s="94"/>
      <c r="K310" s="94"/>
      <c r="L310" s="94"/>
      <c r="M310" s="94"/>
      <c r="N310" s="94"/>
      <c r="O310" s="94"/>
      <c r="P310" s="118"/>
    </row>
    <row r="311" spans="2:16" outlineLevel="1" x14ac:dyDescent="0.2">
      <c r="B311" s="118"/>
      <c r="C311" s="132"/>
      <c r="D311" s="118"/>
      <c r="E311" s="118"/>
      <c r="F311" s="118"/>
      <c r="G311" s="118"/>
      <c r="H311" s="95" t="s">
        <v>6</v>
      </c>
      <c r="I311" s="17">
        <f t="shared" si="93"/>
        <v>4</v>
      </c>
      <c r="J311" s="94"/>
      <c r="K311" s="94"/>
      <c r="L311" s="94"/>
      <c r="M311" s="94">
        <v>4</v>
      </c>
      <c r="N311" s="94"/>
      <c r="O311" s="94"/>
      <c r="P311" s="118"/>
    </row>
    <row r="312" spans="2:16" outlineLevel="1" x14ac:dyDescent="0.2">
      <c r="B312" s="119"/>
      <c r="C312" s="133"/>
      <c r="D312" s="119"/>
      <c r="E312" s="119"/>
      <c r="F312" s="119"/>
      <c r="G312" s="119"/>
      <c r="H312" s="95" t="s">
        <v>5</v>
      </c>
      <c r="I312" s="17">
        <f t="shared" si="93"/>
        <v>0</v>
      </c>
      <c r="J312" s="94"/>
      <c r="K312" s="94"/>
      <c r="L312" s="94"/>
      <c r="M312" s="94"/>
      <c r="N312" s="94"/>
      <c r="O312" s="94"/>
      <c r="P312" s="119"/>
    </row>
    <row r="313" spans="2:16" ht="42.75" outlineLevel="1" x14ac:dyDescent="0.2">
      <c r="B313" s="117" t="s">
        <v>1335</v>
      </c>
      <c r="C313" s="117"/>
      <c r="D313" s="117" t="s">
        <v>760</v>
      </c>
      <c r="E313" s="117">
        <v>2021</v>
      </c>
      <c r="F313" s="117"/>
      <c r="G313" s="117" t="s">
        <v>101</v>
      </c>
      <c r="H313" s="95" t="s">
        <v>3</v>
      </c>
      <c r="I313" s="17">
        <f t="shared" si="93"/>
        <v>30</v>
      </c>
      <c r="J313" s="94">
        <f t="shared" ref="J313:O313" si="97">J314+J315+J316</f>
        <v>0</v>
      </c>
      <c r="K313" s="94">
        <f t="shared" si="97"/>
        <v>30</v>
      </c>
      <c r="L313" s="94">
        <f t="shared" si="97"/>
        <v>0</v>
      </c>
      <c r="M313" s="94">
        <f t="shared" si="97"/>
        <v>0</v>
      </c>
      <c r="N313" s="94">
        <f t="shared" si="97"/>
        <v>0</v>
      </c>
      <c r="O313" s="94">
        <f t="shared" si="97"/>
        <v>0</v>
      </c>
      <c r="P313" s="117">
        <v>13670</v>
      </c>
    </row>
    <row r="314" spans="2:16" outlineLevel="1" x14ac:dyDescent="0.2">
      <c r="B314" s="118"/>
      <c r="C314" s="132"/>
      <c r="D314" s="118"/>
      <c r="E314" s="118"/>
      <c r="F314" s="118"/>
      <c r="G314" s="118"/>
      <c r="H314" s="95" t="s">
        <v>4</v>
      </c>
      <c r="I314" s="17">
        <f t="shared" si="93"/>
        <v>0</v>
      </c>
      <c r="J314" s="94"/>
      <c r="K314" s="94"/>
      <c r="L314" s="94"/>
      <c r="M314" s="94"/>
      <c r="N314" s="94"/>
      <c r="O314" s="94"/>
      <c r="P314" s="118"/>
    </row>
    <row r="315" spans="2:16" outlineLevel="1" x14ac:dyDescent="0.2">
      <c r="B315" s="118"/>
      <c r="C315" s="132"/>
      <c r="D315" s="118"/>
      <c r="E315" s="118"/>
      <c r="F315" s="118"/>
      <c r="G315" s="118"/>
      <c r="H315" s="95" t="s">
        <v>6</v>
      </c>
      <c r="I315" s="17">
        <f t="shared" si="93"/>
        <v>30</v>
      </c>
      <c r="J315" s="94"/>
      <c r="K315" s="94">
        <v>30</v>
      </c>
      <c r="L315" s="94"/>
      <c r="M315" s="94"/>
      <c r="N315" s="94"/>
      <c r="O315" s="94"/>
      <c r="P315" s="118"/>
    </row>
    <row r="316" spans="2:16" outlineLevel="1" x14ac:dyDescent="0.2">
      <c r="B316" s="119"/>
      <c r="C316" s="133"/>
      <c r="D316" s="119"/>
      <c r="E316" s="119"/>
      <c r="F316" s="119"/>
      <c r="G316" s="119"/>
      <c r="H316" s="95" t="s">
        <v>5</v>
      </c>
      <c r="I316" s="17">
        <f t="shared" si="93"/>
        <v>0</v>
      </c>
      <c r="J316" s="94"/>
      <c r="K316" s="94"/>
      <c r="L316" s="94"/>
      <c r="M316" s="94"/>
      <c r="N316" s="94"/>
      <c r="O316" s="94"/>
      <c r="P316" s="119"/>
    </row>
    <row r="317" spans="2:16" ht="42.75" customHeight="1" outlineLevel="1" x14ac:dyDescent="0.2">
      <c r="B317" s="117" t="s">
        <v>1336</v>
      </c>
      <c r="C317" s="117"/>
      <c r="D317" s="117" t="s">
        <v>321</v>
      </c>
      <c r="E317" s="117">
        <v>2021</v>
      </c>
      <c r="F317" s="117"/>
      <c r="G317" s="117" t="s">
        <v>101</v>
      </c>
      <c r="H317" s="95" t="s">
        <v>3</v>
      </c>
      <c r="I317" s="17">
        <f t="shared" si="93"/>
        <v>6.5</v>
      </c>
      <c r="J317" s="94">
        <f t="shared" ref="J317:O317" si="98">J318+J319+J320</f>
        <v>0</v>
      </c>
      <c r="K317" s="94">
        <f t="shared" si="98"/>
        <v>6.5</v>
      </c>
      <c r="L317" s="94">
        <f t="shared" si="98"/>
        <v>0</v>
      </c>
      <c r="M317" s="94">
        <f t="shared" si="98"/>
        <v>0</v>
      </c>
      <c r="N317" s="94">
        <f t="shared" si="98"/>
        <v>0</v>
      </c>
      <c r="O317" s="94">
        <f t="shared" si="98"/>
        <v>0</v>
      </c>
      <c r="P317" s="117">
        <v>1234</v>
      </c>
    </row>
    <row r="318" spans="2:16" outlineLevel="1" x14ac:dyDescent="0.2">
      <c r="B318" s="118"/>
      <c r="C318" s="132"/>
      <c r="D318" s="118"/>
      <c r="E318" s="118"/>
      <c r="F318" s="118"/>
      <c r="G318" s="118"/>
      <c r="H318" s="95" t="s">
        <v>4</v>
      </c>
      <c r="I318" s="17">
        <f t="shared" si="93"/>
        <v>0</v>
      </c>
      <c r="J318" s="94"/>
      <c r="K318" s="94"/>
      <c r="L318" s="94"/>
      <c r="M318" s="94"/>
      <c r="N318" s="94"/>
      <c r="O318" s="94"/>
      <c r="P318" s="118"/>
    </row>
    <row r="319" spans="2:16" outlineLevel="1" x14ac:dyDescent="0.2">
      <c r="B319" s="118"/>
      <c r="C319" s="132"/>
      <c r="D319" s="118"/>
      <c r="E319" s="118"/>
      <c r="F319" s="118"/>
      <c r="G319" s="118"/>
      <c r="H319" s="95" t="s">
        <v>6</v>
      </c>
      <c r="I319" s="17">
        <f t="shared" si="93"/>
        <v>6.5</v>
      </c>
      <c r="J319" s="94"/>
      <c r="K319" s="94">
        <v>6.5</v>
      </c>
      <c r="L319" s="94"/>
      <c r="M319" s="94"/>
      <c r="N319" s="94"/>
      <c r="O319" s="94"/>
      <c r="P319" s="118"/>
    </row>
    <row r="320" spans="2:16" outlineLevel="1" x14ac:dyDescent="0.2">
      <c r="B320" s="119"/>
      <c r="C320" s="133"/>
      <c r="D320" s="119"/>
      <c r="E320" s="119"/>
      <c r="F320" s="119"/>
      <c r="G320" s="119"/>
      <c r="H320" s="95" t="s">
        <v>5</v>
      </c>
      <c r="I320" s="17">
        <f t="shared" si="93"/>
        <v>0</v>
      </c>
      <c r="J320" s="94"/>
      <c r="K320" s="94"/>
      <c r="L320" s="94"/>
      <c r="M320" s="94"/>
      <c r="N320" s="94"/>
      <c r="O320" s="94"/>
      <c r="P320" s="119"/>
    </row>
    <row r="321" spans="2:16" ht="42.75" customHeight="1" outlineLevel="1" x14ac:dyDescent="0.2">
      <c r="B321" s="117" t="s">
        <v>1337</v>
      </c>
      <c r="C321" s="117"/>
      <c r="D321" s="117" t="s">
        <v>321</v>
      </c>
      <c r="E321" s="117">
        <v>2022</v>
      </c>
      <c r="F321" s="117"/>
      <c r="G321" s="117" t="s">
        <v>101</v>
      </c>
      <c r="H321" s="95" t="s">
        <v>3</v>
      </c>
      <c r="I321" s="17">
        <f t="shared" si="93"/>
        <v>33.5</v>
      </c>
      <c r="J321" s="94">
        <f t="shared" ref="J321:O321" si="99">J322+J323+J324</f>
        <v>0</v>
      </c>
      <c r="K321" s="94">
        <f t="shared" si="99"/>
        <v>0</v>
      </c>
      <c r="L321" s="94">
        <f t="shared" si="99"/>
        <v>33.5</v>
      </c>
      <c r="M321" s="94">
        <f t="shared" si="99"/>
        <v>0</v>
      </c>
      <c r="N321" s="94">
        <f t="shared" si="99"/>
        <v>0</v>
      </c>
      <c r="O321" s="94">
        <f t="shared" si="99"/>
        <v>0</v>
      </c>
      <c r="P321" s="117">
        <v>1256</v>
      </c>
    </row>
    <row r="322" spans="2:16" outlineLevel="1" x14ac:dyDescent="0.2">
      <c r="B322" s="118"/>
      <c r="C322" s="132"/>
      <c r="D322" s="118"/>
      <c r="E322" s="118"/>
      <c r="F322" s="118"/>
      <c r="G322" s="118"/>
      <c r="H322" s="95" t="s">
        <v>4</v>
      </c>
      <c r="I322" s="17">
        <f t="shared" si="93"/>
        <v>0</v>
      </c>
      <c r="J322" s="94"/>
      <c r="K322" s="94"/>
      <c r="L322" s="94"/>
      <c r="M322" s="94"/>
      <c r="N322" s="94"/>
      <c r="O322" s="94"/>
      <c r="P322" s="118"/>
    </row>
    <row r="323" spans="2:16" outlineLevel="1" x14ac:dyDescent="0.2">
      <c r="B323" s="118"/>
      <c r="C323" s="132"/>
      <c r="D323" s="118"/>
      <c r="E323" s="118"/>
      <c r="F323" s="118"/>
      <c r="G323" s="118"/>
      <c r="H323" s="95" t="s">
        <v>6</v>
      </c>
      <c r="I323" s="17">
        <f t="shared" si="93"/>
        <v>33.5</v>
      </c>
      <c r="J323" s="94"/>
      <c r="K323" s="94"/>
      <c r="L323" s="94">
        <v>33.5</v>
      </c>
      <c r="M323" s="94"/>
      <c r="N323" s="94"/>
      <c r="O323" s="94"/>
      <c r="P323" s="118"/>
    </row>
    <row r="324" spans="2:16" outlineLevel="1" x14ac:dyDescent="0.2">
      <c r="B324" s="119"/>
      <c r="C324" s="133"/>
      <c r="D324" s="119"/>
      <c r="E324" s="119"/>
      <c r="F324" s="119"/>
      <c r="G324" s="119"/>
      <c r="H324" s="95" t="s">
        <v>5</v>
      </c>
      <c r="I324" s="17">
        <f t="shared" si="93"/>
        <v>0</v>
      </c>
      <c r="J324" s="94"/>
      <c r="K324" s="94"/>
      <c r="L324" s="94"/>
      <c r="M324" s="94"/>
      <c r="N324" s="94"/>
      <c r="O324" s="94"/>
      <c r="P324" s="119"/>
    </row>
    <row r="325" spans="2:16" ht="42.75" customHeight="1" outlineLevel="1" x14ac:dyDescent="0.2">
      <c r="B325" s="117" t="s">
        <v>1338</v>
      </c>
      <c r="C325" s="117"/>
      <c r="D325" s="117" t="s">
        <v>760</v>
      </c>
      <c r="E325" s="117">
        <v>2022</v>
      </c>
      <c r="F325" s="117"/>
      <c r="G325" s="117" t="s">
        <v>101</v>
      </c>
      <c r="H325" s="95" t="s">
        <v>3</v>
      </c>
      <c r="I325" s="17">
        <f t="shared" si="93"/>
        <v>45.3</v>
      </c>
      <c r="J325" s="94">
        <f t="shared" ref="J325:O325" si="100">J326+J327+J328</f>
        <v>0</v>
      </c>
      <c r="K325" s="94">
        <f t="shared" si="100"/>
        <v>0</v>
      </c>
      <c r="L325" s="94">
        <f t="shared" si="100"/>
        <v>45.3</v>
      </c>
      <c r="M325" s="94">
        <f t="shared" si="100"/>
        <v>0</v>
      </c>
      <c r="N325" s="94">
        <f t="shared" si="100"/>
        <v>0</v>
      </c>
      <c r="O325" s="94">
        <f t="shared" si="100"/>
        <v>0</v>
      </c>
      <c r="P325" s="117">
        <v>2300</v>
      </c>
    </row>
    <row r="326" spans="2:16" outlineLevel="1" x14ac:dyDescent="0.2">
      <c r="B326" s="118"/>
      <c r="C326" s="132"/>
      <c r="D326" s="118"/>
      <c r="E326" s="118"/>
      <c r="F326" s="118"/>
      <c r="G326" s="118"/>
      <c r="H326" s="95" t="s">
        <v>4</v>
      </c>
      <c r="I326" s="17">
        <f t="shared" si="93"/>
        <v>0</v>
      </c>
      <c r="J326" s="94"/>
      <c r="K326" s="94"/>
      <c r="L326" s="94"/>
      <c r="M326" s="94"/>
      <c r="N326" s="94"/>
      <c r="O326" s="94"/>
      <c r="P326" s="118"/>
    </row>
    <row r="327" spans="2:16" outlineLevel="1" x14ac:dyDescent="0.2">
      <c r="B327" s="118"/>
      <c r="C327" s="132"/>
      <c r="D327" s="118"/>
      <c r="E327" s="118"/>
      <c r="F327" s="118"/>
      <c r="G327" s="118"/>
      <c r="H327" s="95" t="s">
        <v>6</v>
      </c>
      <c r="I327" s="17">
        <f t="shared" si="93"/>
        <v>45.3</v>
      </c>
      <c r="J327" s="94"/>
      <c r="K327" s="94"/>
      <c r="L327" s="94">
        <v>45.3</v>
      </c>
      <c r="M327" s="94"/>
      <c r="N327" s="94"/>
      <c r="O327" s="94"/>
      <c r="P327" s="118"/>
    </row>
    <row r="328" spans="2:16" outlineLevel="1" x14ac:dyDescent="0.2">
      <c r="B328" s="119"/>
      <c r="C328" s="133"/>
      <c r="D328" s="119"/>
      <c r="E328" s="119"/>
      <c r="F328" s="119"/>
      <c r="G328" s="119"/>
      <c r="H328" s="95" t="s">
        <v>5</v>
      </c>
      <c r="I328" s="17">
        <f t="shared" si="93"/>
        <v>0</v>
      </c>
      <c r="J328" s="94"/>
      <c r="K328" s="94"/>
      <c r="L328" s="94"/>
      <c r="M328" s="94"/>
      <c r="N328" s="94"/>
      <c r="O328" s="94"/>
      <c r="P328" s="119"/>
    </row>
    <row r="329" spans="2:16" ht="42.75" customHeight="1" outlineLevel="1" x14ac:dyDescent="0.2">
      <c r="B329" s="117" t="s">
        <v>1339</v>
      </c>
      <c r="C329" s="117"/>
      <c r="D329" s="117" t="s">
        <v>321</v>
      </c>
      <c r="E329" s="117">
        <v>2021</v>
      </c>
      <c r="F329" s="117"/>
      <c r="G329" s="117" t="s">
        <v>101</v>
      </c>
      <c r="H329" s="95" t="s">
        <v>3</v>
      </c>
      <c r="I329" s="17">
        <f t="shared" si="93"/>
        <v>14</v>
      </c>
      <c r="J329" s="94">
        <f t="shared" ref="J329:O329" si="101">J330+J331+J332</f>
        <v>0</v>
      </c>
      <c r="K329" s="94">
        <f t="shared" si="101"/>
        <v>14</v>
      </c>
      <c r="L329" s="94">
        <f t="shared" si="101"/>
        <v>0</v>
      </c>
      <c r="M329" s="94">
        <f t="shared" si="101"/>
        <v>0</v>
      </c>
      <c r="N329" s="94">
        <f t="shared" si="101"/>
        <v>0</v>
      </c>
      <c r="O329" s="94">
        <f t="shared" si="101"/>
        <v>0</v>
      </c>
      <c r="P329" s="117">
        <v>12000</v>
      </c>
    </row>
    <row r="330" spans="2:16" outlineLevel="1" x14ac:dyDescent="0.2">
      <c r="B330" s="118"/>
      <c r="C330" s="132"/>
      <c r="D330" s="118"/>
      <c r="E330" s="118"/>
      <c r="F330" s="118"/>
      <c r="G330" s="118"/>
      <c r="H330" s="95" t="s">
        <v>4</v>
      </c>
      <c r="I330" s="17">
        <f t="shared" si="93"/>
        <v>0</v>
      </c>
      <c r="J330" s="94"/>
      <c r="K330" s="94"/>
      <c r="L330" s="94"/>
      <c r="M330" s="94"/>
      <c r="N330" s="94"/>
      <c r="O330" s="94"/>
      <c r="P330" s="118"/>
    </row>
    <row r="331" spans="2:16" outlineLevel="1" x14ac:dyDescent="0.2">
      <c r="B331" s="118"/>
      <c r="C331" s="132"/>
      <c r="D331" s="118"/>
      <c r="E331" s="118"/>
      <c r="F331" s="118"/>
      <c r="G331" s="118"/>
      <c r="H331" s="95" t="s">
        <v>6</v>
      </c>
      <c r="I331" s="17">
        <f t="shared" si="93"/>
        <v>14</v>
      </c>
      <c r="J331" s="94"/>
      <c r="K331" s="94">
        <v>14</v>
      </c>
      <c r="L331" s="94"/>
      <c r="M331" s="94"/>
      <c r="N331" s="94"/>
      <c r="O331" s="94"/>
      <c r="P331" s="118"/>
    </row>
    <row r="332" spans="2:16" outlineLevel="1" x14ac:dyDescent="0.2">
      <c r="B332" s="119"/>
      <c r="C332" s="133"/>
      <c r="D332" s="119"/>
      <c r="E332" s="119"/>
      <c r="F332" s="119"/>
      <c r="G332" s="119"/>
      <c r="H332" s="95" t="s">
        <v>5</v>
      </c>
      <c r="I332" s="17">
        <f t="shared" si="93"/>
        <v>0</v>
      </c>
      <c r="J332" s="94"/>
      <c r="K332" s="94"/>
      <c r="L332" s="94"/>
      <c r="M332" s="94"/>
      <c r="N332" s="94"/>
      <c r="O332" s="94"/>
      <c r="P332" s="119"/>
    </row>
    <row r="333" spans="2:16" ht="42.75" customHeight="1" outlineLevel="1" x14ac:dyDescent="0.2">
      <c r="B333" s="117" t="s">
        <v>1340</v>
      </c>
      <c r="C333" s="117"/>
      <c r="D333" s="117" t="s">
        <v>1333</v>
      </c>
      <c r="E333" s="117" t="s">
        <v>1341</v>
      </c>
      <c r="F333" s="117"/>
      <c r="G333" s="117" t="s">
        <v>101</v>
      </c>
      <c r="H333" s="95" t="s">
        <v>3</v>
      </c>
      <c r="I333" s="17">
        <f t="shared" si="93"/>
        <v>45</v>
      </c>
      <c r="J333" s="94">
        <f t="shared" ref="J333:O333" si="102">J334+J335+J336</f>
        <v>14</v>
      </c>
      <c r="K333" s="94">
        <f t="shared" si="102"/>
        <v>31</v>
      </c>
      <c r="L333" s="94">
        <f t="shared" si="102"/>
        <v>0</v>
      </c>
      <c r="M333" s="94">
        <f t="shared" si="102"/>
        <v>0</v>
      </c>
      <c r="N333" s="94">
        <f t="shared" si="102"/>
        <v>0</v>
      </c>
      <c r="O333" s="94">
        <f t="shared" si="102"/>
        <v>0</v>
      </c>
      <c r="P333" s="117">
        <v>3300</v>
      </c>
    </row>
    <row r="334" spans="2:16" outlineLevel="1" x14ac:dyDescent="0.2">
      <c r="B334" s="118"/>
      <c r="C334" s="132"/>
      <c r="D334" s="118"/>
      <c r="E334" s="118"/>
      <c r="F334" s="118"/>
      <c r="G334" s="118"/>
      <c r="H334" s="95" t="s">
        <v>4</v>
      </c>
      <c r="I334" s="17">
        <f t="shared" si="93"/>
        <v>0</v>
      </c>
      <c r="J334" s="94"/>
      <c r="K334" s="94"/>
      <c r="L334" s="94"/>
      <c r="M334" s="94"/>
      <c r="N334" s="94"/>
      <c r="O334" s="94"/>
      <c r="P334" s="118"/>
    </row>
    <row r="335" spans="2:16" outlineLevel="1" x14ac:dyDescent="0.2">
      <c r="B335" s="118"/>
      <c r="C335" s="132"/>
      <c r="D335" s="118"/>
      <c r="E335" s="118"/>
      <c r="F335" s="118"/>
      <c r="G335" s="118"/>
      <c r="H335" s="95" t="s">
        <v>6</v>
      </c>
      <c r="I335" s="17">
        <f t="shared" si="93"/>
        <v>45</v>
      </c>
      <c r="J335" s="94">
        <v>14</v>
      </c>
      <c r="K335" s="94">
        <v>31</v>
      </c>
      <c r="L335" s="94"/>
      <c r="M335" s="94"/>
      <c r="N335" s="94"/>
      <c r="O335" s="94"/>
      <c r="P335" s="118"/>
    </row>
    <row r="336" spans="2:16" outlineLevel="1" x14ac:dyDescent="0.2">
      <c r="B336" s="119"/>
      <c r="C336" s="133"/>
      <c r="D336" s="119"/>
      <c r="E336" s="119"/>
      <c r="F336" s="119"/>
      <c r="G336" s="119"/>
      <c r="H336" s="95" t="s">
        <v>5</v>
      </c>
      <c r="I336" s="17">
        <f t="shared" si="93"/>
        <v>0</v>
      </c>
      <c r="J336" s="94"/>
      <c r="K336" s="94"/>
      <c r="L336" s="94"/>
      <c r="M336" s="94"/>
      <c r="N336" s="94"/>
      <c r="O336" s="94"/>
      <c r="P336" s="119"/>
    </row>
    <row r="337" spans="2:17" ht="42.75" customHeight="1" outlineLevel="1" x14ac:dyDescent="0.2">
      <c r="B337" s="117" t="s">
        <v>1342</v>
      </c>
      <c r="C337" s="117"/>
      <c r="D337" s="117" t="s">
        <v>1333</v>
      </c>
      <c r="E337" s="117">
        <v>2022</v>
      </c>
      <c r="F337" s="117"/>
      <c r="G337" s="117" t="s">
        <v>101</v>
      </c>
      <c r="H337" s="95" t="s">
        <v>3</v>
      </c>
      <c r="I337" s="17">
        <f t="shared" si="93"/>
        <v>3.5</v>
      </c>
      <c r="J337" s="94">
        <f t="shared" ref="J337:O337" si="103">J338+J339+J340</f>
        <v>0</v>
      </c>
      <c r="K337" s="94">
        <f t="shared" si="103"/>
        <v>0</v>
      </c>
      <c r="L337" s="94">
        <f t="shared" si="103"/>
        <v>3.5</v>
      </c>
      <c r="M337" s="94">
        <f t="shared" si="103"/>
        <v>0</v>
      </c>
      <c r="N337" s="94">
        <f t="shared" si="103"/>
        <v>0</v>
      </c>
      <c r="O337" s="94">
        <f t="shared" si="103"/>
        <v>0</v>
      </c>
      <c r="P337" s="117">
        <v>1086</v>
      </c>
    </row>
    <row r="338" spans="2:17" outlineLevel="1" x14ac:dyDescent="0.2">
      <c r="B338" s="118"/>
      <c r="C338" s="132"/>
      <c r="D338" s="118"/>
      <c r="E338" s="118"/>
      <c r="F338" s="118"/>
      <c r="G338" s="118"/>
      <c r="H338" s="95" t="s">
        <v>4</v>
      </c>
      <c r="I338" s="17">
        <f t="shared" si="93"/>
        <v>0</v>
      </c>
      <c r="J338" s="94"/>
      <c r="K338" s="94"/>
      <c r="L338" s="94"/>
      <c r="M338" s="94"/>
      <c r="N338" s="94"/>
      <c r="O338" s="94"/>
      <c r="P338" s="118"/>
    </row>
    <row r="339" spans="2:17" outlineLevel="1" x14ac:dyDescent="0.2">
      <c r="B339" s="118"/>
      <c r="C339" s="132"/>
      <c r="D339" s="118"/>
      <c r="E339" s="118"/>
      <c r="F339" s="118"/>
      <c r="G339" s="118"/>
      <c r="H339" s="95" t="s">
        <v>6</v>
      </c>
      <c r="I339" s="17">
        <f t="shared" si="93"/>
        <v>3.5</v>
      </c>
      <c r="J339" s="94"/>
      <c r="K339" s="94"/>
      <c r="L339" s="94">
        <v>3.5</v>
      </c>
      <c r="M339" s="94"/>
      <c r="N339" s="94"/>
      <c r="O339" s="94"/>
      <c r="P339" s="118"/>
    </row>
    <row r="340" spans="2:17" outlineLevel="1" x14ac:dyDescent="0.2">
      <c r="B340" s="119"/>
      <c r="C340" s="133"/>
      <c r="D340" s="119"/>
      <c r="E340" s="119"/>
      <c r="F340" s="119"/>
      <c r="G340" s="119"/>
      <c r="H340" s="95" t="s">
        <v>5</v>
      </c>
      <c r="I340" s="17">
        <f t="shared" si="93"/>
        <v>0</v>
      </c>
      <c r="J340" s="94"/>
      <c r="K340" s="94"/>
      <c r="L340" s="94"/>
      <c r="M340" s="94"/>
      <c r="N340" s="94"/>
      <c r="O340" s="94"/>
      <c r="P340" s="119"/>
    </row>
    <row r="341" spans="2:17" ht="42.75" customHeight="1" outlineLevel="1" x14ac:dyDescent="0.2">
      <c r="B341" s="117" t="s">
        <v>1343</v>
      </c>
      <c r="C341" s="117"/>
      <c r="D341" s="117" t="s">
        <v>760</v>
      </c>
      <c r="E341" s="117">
        <v>2020.2021</v>
      </c>
      <c r="F341" s="117"/>
      <c r="G341" s="117" t="s">
        <v>101</v>
      </c>
      <c r="H341" s="95" t="s">
        <v>3</v>
      </c>
      <c r="I341" s="17">
        <f t="shared" si="93"/>
        <v>29.7</v>
      </c>
      <c r="J341" s="94">
        <f t="shared" ref="J341:O341" si="104">J342+J343+J344</f>
        <v>10.8</v>
      </c>
      <c r="K341" s="94">
        <f t="shared" si="104"/>
        <v>18.899999999999999</v>
      </c>
      <c r="L341" s="94">
        <f t="shared" si="104"/>
        <v>0</v>
      </c>
      <c r="M341" s="94">
        <f t="shared" si="104"/>
        <v>0</v>
      </c>
      <c r="N341" s="94">
        <f t="shared" si="104"/>
        <v>0</v>
      </c>
      <c r="O341" s="94">
        <f t="shared" si="104"/>
        <v>0</v>
      </c>
      <c r="P341" s="117">
        <v>3200</v>
      </c>
    </row>
    <row r="342" spans="2:17" outlineLevel="1" x14ac:dyDescent="0.2">
      <c r="B342" s="118"/>
      <c r="C342" s="132"/>
      <c r="D342" s="118"/>
      <c r="E342" s="118"/>
      <c r="F342" s="118"/>
      <c r="G342" s="118"/>
      <c r="H342" s="95" t="s">
        <v>4</v>
      </c>
      <c r="I342" s="17">
        <f t="shared" si="93"/>
        <v>0</v>
      </c>
      <c r="J342" s="94"/>
      <c r="K342" s="94"/>
      <c r="L342" s="94"/>
      <c r="M342" s="94"/>
      <c r="N342" s="94"/>
      <c r="O342" s="94"/>
      <c r="P342" s="118"/>
    </row>
    <row r="343" spans="2:17" outlineLevel="1" x14ac:dyDescent="0.2">
      <c r="B343" s="118"/>
      <c r="C343" s="132"/>
      <c r="D343" s="118"/>
      <c r="E343" s="118"/>
      <c r="F343" s="118"/>
      <c r="G343" s="118"/>
      <c r="H343" s="95" t="s">
        <v>6</v>
      </c>
      <c r="I343" s="17">
        <f t="shared" si="93"/>
        <v>29.7</v>
      </c>
      <c r="J343" s="94">
        <v>10.8</v>
      </c>
      <c r="K343" s="94">
        <v>18.899999999999999</v>
      </c>
      <c r="L343" s="94"/>
      <c r="M343" s="94"/>
      <c r="N343" s="94"/>
      <c r="O343" s="94"/>
      <c r="P343" s="118"/>
    </row>
    <row r="344" spans="2:17" outlineLevel="1" x14ac:dyDescent="0.2">
      <c r="B344" s="119"/>
      <c r="C344" s="133"/>
      <c r="D344" s="119"/>
      <c r="E344" s="119"/>
      <c r="F344" s="119"/>
      <c r="G344" s="119"/>
      <c r="H344" s="95" t="s">
        <v>5</v>
      </c>
      <c r="I344" s="17">
        <f t="shared" si="93"/>
        <v>0</v>
      </c>
      <c r="J344" s="94"/>
      <c r="K344" s="94"/>
      <c r="L344" s="94"/>
      <c r="M344" s="94"/>
      <c r="N344" s="94"/>
      <c r="O344" s="94"/>
      <c r="P344" s="119"/>
    </row>
    <row r="345" spans="2:17" ht="42.75" x14ac:dyDescent="0.2">
      <c r="B345" s="128" t="s">
        <v>337</v>
      </c>
      <c r="C345" s="128" t="s">
        <v>38</v>
      </c>
      <c r="D345" s="128" t="s">
        <v>38</v>
      </c>
      <c r="E345" s="128" t="s">
        <v>38</v>
      </c>
      <c r="F345" s="128" t="s">
        <v>38</v>
      </c>
      <c r="G345" s="128" t="s">
        <v>38</v>
      </c>
      <c r="H345" s="95" t="s">
        <v>3</v>
      </c>
      <c r="I345" s="14">
        <f t="shared" ref="I345:O345" si="105">SUMIF($H$301:$H$344,"Объем*",I$301:I$344)</f>
        <v>596.70000000000005</v>
      </c>
      <c r="J345" s="14">
        <f t="shared" si="105"/>
        <v>24.8</v>
      </c>
      <c r="K345" s="14">
        <f t="shared" si="105"/>
        <v>385.59999999999997</v>
      </c>
      <c r="L345" s="14">
        <f t="shared" si="105"/>
        <v>182.3</v>
      </c>
      <c r="M345" s="14">
        <f t="shared" si="105"/>
        <v>4</v>
      </c>
      <c r="N345" s="14">
        <f t="shared" si="105"/>
        <v>0</v>
      </c>
      <c r="O345" s="14">
        <f t="shared" si="105"/>
        <v>0</v>
      </c>
      <c r="P345" s="128"/>
      <c r="Q345" s="7"/>
    </row>
    <row r="346" spans="2:17" ht="15.75" x14ac:dyDescent="0.2">
      <c r="B346" s="129"/>
      <c r="C346" s="129"/>
      <c r="D346" s="129"/>
      <c r="E346" s="129"/>
      <c r="F346" s="129"/>
      <c r="G346" s="129"/>
      <c r="H346" s="95" t="s">
        <v>4</v>
      </c>
      <c r="I346" s="14">
        <f t="shared" ref="I346:O346" si="106">SUMIF($H$301:$H$344,"фед*",I$301:I$344)</f>
        <v>0</v>
      </c>
      <c r="J346" s="14">
        <f t="shared" si="106"/>
        <v>0</v>
      </c>
      <c r="K346" s="14">
        <f t="shared" si="106"/>
        <v>0</v>
      </c>
      <c r="L346" s="14">
        <f t="shared" si="106"/>
        <v>0</v>
      </c>
      <c r="M346" s="14">
        <f t="shared" si="106"/>
        <v>0</v>
      </c>
      <c r="N346" s="14">
        <f t="shared" si="106"/>
        <v>0</v>
      </c>
      <c r="O346" s="14">
        <f t="shared" si="106"/>
        <v>0</v>
      </c>
      <c r="P346" s="129"/>
      <c r="Q346" s="7"/>
    </row>
    <row r="347" spans="2:17" ht="15.75" x14ac:dyDescent="0.2">
      <c r="B347" s="129"/>
      <c r="C347" s="129"/>
      <c r="D347" s="129"/>
      <c r="E347" s="129"/>
      <c r="F347" s="129"/>
      <c r="G347" s="129"/>
      <c r="H347" s="95" t="s">
        <v>6</v>
      </c>
      <c r="I347" s="14">
        <f t="shared" ref="I347:O347" si="107">SUMIF($H$301:$H$344,"конс*",I$301:I$344)</f>
        <v>596.70000000000005</v>
      </c>
      <c r="J347" s="14">
        <f t="shared" si="107"/>
        <v>24.8</v>
      </c>
      <c r="K347" s="14">
        <f t="shared" si="107"/>
        <v>385.59999999999997</v>
      </c>
      <c r="L347" s="14">
        <f t="shared" si="107"/>
        <v>182.3</v>
      </c>
      <c r="M347" s="14">
        <f t="shared" si="107"/>
        <v>4</v>
      </c>
      <c r="N347" s="14">
        <f t="shared" si="107"/>
        <v>0</v>
      </c>
      <c r="O347" s="14">
        <f t="shared" si="107"/>
        <v>0</v>
      </c>
      <c r="P347" s="129"/>
      <c r="Q347" s="7"/>
    </row>
    <row r="348" spans="2:17" ht="15.75" x14ac:dyDescent="0.2">
      <c r="B348" s="130"/>
      <c r="C348" s="130"/>
      <c r="D348" s="130"/>
      <c r="E348" s="130"/>
      <c r="F348" s="130"/>
      <c r="G348" s="130"/>
      <c r="H348" s="95" t="s">
        <v>5</v>
      </c>
      <c r="I348" s="14">
        <f t="shared" ref="I348:O348" si="108">SUMIF($H$301:$H$344,"вне*",I$301:I$344)</f>
        <v>0</v>
      </c>
      <c r="J348" s="14">
        <f t="shared" si="108"/>
        <v>0</v>
      </c>
      <c r="K348" s="14">
        <f t="shared" si="108"/>
        <v>0</v>
      </c>
      <c r="L348" s="14">
        <f t="shared" si="108"/>
        <v>0</v>
      </c>
      <c r="M348" s="14">
        <f t="shared" si="108"/>
        <v>0</v>
      </c>
      <c r="N348" s="14">
        <f t="shared" si="108"/>
        <v>0</v>
      </c>
      <c r="O348" s="14">
        <f t="shared" si="108"/>
        <v>0</v>
      </c>
      <c r="P348" s="130"/>
      <c r="Q348" s="7"/>
    </row>
    <row r="349" spans="2:17" ht="25.5" customHeight="1" x14ac:dyDescent="0.2">
      <c r="B349" s="111" t="s">
        <v>350</v>
      </c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3"/>
    </row>
    <row r="350" spans="2:17" ht="40.5" customHeight="1" outlineLevel="1" x14ac:dyDescent="0.2">
      <c r="B350" s="117" t="s">
        <v>1344</v>
      </c>
      <c r="C350" s="117" t="s">
        <v>1231</v>
      </c>
      <c r="D350" s="117" t="s">
        <v>1345</v>
      </c>
      <c r="E350" s="117" t="s">
        <v>203</v>
      </c>
      <c r="F350" s="117" t="s">
        <v>1346</v>
      </c>
      <c r="G350" s="117" t="s">
        <v>138</v>
      </c>
      <c r="H350" s="95" t="s">
        <v>3</v>
      </c>
      <c r="I350" s="17">
        <f t="shared" ref="I350:I361" si="109">SUM(J350:O350)</f>
        <v>207.5</v>
      </c>
      <c r="J350" s="94">
        <f t="shared" ref="J350:O350" si="110">J351+J352+J353</f>
        <v>68.3</v>
      </c>
      <c r="K350" s="94">
        <f t="shared" si="110"/>
        <v>139.19999999999999</v>
      </c>
      <c r="L350" s="94">
        <f t="shared" si="110"/>
        <v>0</v>
      </c>
      <c r="M350" s="94">
        <f t="shared" si="110"/>
        <v>0</v>
      </c>
      <c r="N350" s="94">
        <f t="shared" si="110"/>
        <v>0</v>
      </c>
      <c r="O350" s="94">
        <f t="shared" si="110"/>
        <v>0</v>
      </c>
      <c r="P350" s="117"/>
    </row>
    <row r="351" spans="2:17" outlineLevel="1" x14ac:dyDescent="0.2">
      <c r="B351" s="118"/>
      <c r="C351" s="132"/>
      <c r="D351" s="118"/>
      <c r="E351" s="118"/>
      <c r="F351" s="118"/>
      <c r="G351" s="118"/>
      <c r="H351" s="95" t="s">
        <v>4</v>
      </c>
      <c r="I351" s="17">
        <f t="shared" si="109"/>
        <v>142</v>
      </c>
      <c r="J351" s="94">
        <v>67.7</v>
      </c>
      <c r="K351" s="94">
        <v>74.3</v>
      </c>
      <c r="L351" s="94"/>
      <c r="M351" s="94"/>
      <c r="N351" s="94"/>
      <c r="O351" s="94"/>
      <c r="P351" s="118"/>
    </row>
    <row r="352" spans="2:17" outlineLevel="1" x14ac:dyDescent="0.2">
      <c r="B352" s="118"/>
      <c r="C352" s="132"/>
      <c r="D352" s="118"/>
      <c r="E352" s="118"/>
      <c r="F352" s="118"/>
      <c r="G352" s="118"/>
      <c r="H352" s="95" t="s">
        <v>6</v>
      </c>
      <c r="I352" s="17">
        <f t="shared" si="109"/>
        <v>65.5</v>
      </c>
      <c r="J352" s="94">
        <v>0.6</v>
      </c>
      <c r="K352" s="94">
        <v>64.900000000000006</v>
      </c>
      <c r="L352" s="94"/>
      <c r="M352" s="94"/>
      <c r="N352" s="94"/>
      <c r="O352" s="94"/>
      <c r="P352" s="118"/>
    </row>
    <row r="353" spans="2:17" outlineLevel="1" x14ac:dyDescent="0.2">
      <c r="B353" s="119"/>
      <c r="C353" s="133"/>
      <c r="D353" s="119"/>
      <c r="E353" s="119"/>
      <c r="F353" s="119"/>
      <c r="G353" s="119"/>
      <c r="H353" s="95" t="s">
        <v>5</v>
      </c>
      <c r="I353" s="17">
        <f t="shared" si="109"/>
        <v>0</v>
      </c>
      <c r="J353" s="94"/>
      <c r="K353" s="94"/>
      <c r="L353" s="94"/>
      <c r="M353" s="94"/>
      <c r="N353" s="94"/>
      <c r="O353" s="94"/>
      <c r="P353" s="119"/>
    </row>
    <row r="354" spans="2:17" ht="40.5" customHeight="1" outlineLevel="1" x14ac:dyDescent="0.2">
      <c r="B354" s="117" t="s">
        <v>1347</v>
      </c>
      <c r="C354" s="117" t="s">
        <v>1231</v>
      </c>
      <c r="D354" s="117" t="s">
        <v>1348</v>
      </c>
      <c r="E354" s="117">
        <v>2021</v>
      </c>
      <c r="F354" s="117"/>
      <c r="G354" s="117" t="s">
        <v>138</v>
      </c>
      <c r="H354" s="95" t="s">
        <v>3</v>
      </c>
      <c r="I354" s="17">
        <f t="shared" si="109"/>
        <v>36.5</v>
      </c>
      <c r="J354" s="94">
        <f t="shared" ref="J354:O354" si="111">J355+J356+J357</f>
        <v>0</v>
      </c>
      <c r="K354" s="94">
        <f t="shared" si="111"/>
        <v>36.5</v>
      </c>
      <c r="L354" s="94">
        <f t="shared" si="111"/>
        <v>0</v>
      </c>
      <c r="M354" s="94">
        <f t="shared" si="111"/>
        <v>0</v>
      </c>
      <c r="N354" s="94">
        <f t="shared" si="111"/>
        <v>0</v>
      </c>
      <c r="O354" s="94">
        <f t="shared" si="111"/>
        <v>0</v>
      </c>
      <c r="P354" s="117"/>
    </row>
    <row r="355" spans="2:17" outlineLevel="1" x14ac:dyDescent="0.2">
      <c r="B355" s="118"/>
      <c r="C355" s="132"/>
      <c r="D355" s="118"/>
      <c r="E355" s="118"/>
      <c r="F355" s="118"/>
      <c r="G355" s="118"/>
      <c r="H355" s="95" t="s">
        <v>4</v>
      </c>
      <c r="I355" s="17">
        <f t="shared" si="109"/>
        <v>30</v>
      </c>
      <c r="J355" s="94"/>
      <c r="K355" s="94">
        <v>30</v>
      </c>
      <c r="L355" s="94"/>
      <c r="M355" s="94"/>
      <c r="N355" s="94"/>
      <c r="O355" s="94"/>
      <c r="P355" s="118"/>
    </row>
    <row r="356" spans="2:17" outlineLevel="1" x14ac:dyDescent="0.2">
      <c r="B356" s="118"/>
      <c r="C356" s="132"/>
      <c r="D356" s="118"/>
      <c r="E356" s="118"/>
      <c r="F356" s="118"/>
      <c r="G356" s="118"/>
      <c r="H356" s="95" t="s">
        <v>6</v>
      </c>
      <c r="I356" s="17">
        <f t="shared" si="109"/>
        <v>6.5</v>
      </c>
      <c r="J356" s="94"/>
      <c r="K356" s="94">
        <v>6.5</v>
      </c>
      <c r="L356" s="94"/>
      <c r="M356" s="94"/>
      <c r="N356" s="94"/>
      <c r="O356" s="94"/>
      <c r="P356" s="118"/>
    </row>
    <row r="357" spans="2:17" outlineLevel="1" x14ac:dyDescent="0.2">
      <c r="B357" s="119"/>
      <c r="C357" s="133"/>
      <c r="D357" s="119"/>
      <c r="E357" s="119"/>
      <c r="F357" s="119"/>
      <c r="G357" s="119"/>
      <c r="H357" s="95" t="s">
        <v>5</v>
      </c>
      <c r="I357" s="17">
        <f t="shared" si="109"/>
        <v>0</v>
      </c>
      <c r="J357" s="94"/>
      <c r="K357" s="94"/>
      <c r="L357" s="94"/>
      <c r="M357" s="94"/>
      <c r="N357" s="94"/>
      <c r="O357" s="94"/>
      <c r="P357" s="119"/>
    </row>
    <row r="358" spans="2:17" ht="46.5" customHeight="1" outlineLevel="1" x14ac:dyDescent="0.2">
      <c r="B358" s="117" t="s">
        <v>1349</v>
      </c>
      <c r="C358" s="117" t="s">
        <v>1221</v>
      </c>
      <c r="D358" s="117" t="s">
        <v>1350</v>
      </c>
      <c r="E358" s="117" t="s">
        <v>50</v>
      </c>
      <c r="F358" s="117" t="s">
        <v>1351</v>
      </c>
      <c r="G358" s="117" t="s">
        <v>138</v>
      </c>
      <c r="H358" s="95" t="s">
        <v>3</v>
      </c>
      <c r="I358" s="17">
        <f t="shared" si="109"/>
        <v>150</v>
      </c>
      <c r="J358" s="94">
        <f t="shared" ref="J358:O358" si="112">J359+J360+J361</f>
        <v>0</v>
      </c>
      <c r="K358" s="94">
        <f t="shared" si="112"/>
        <v>75</v>
      </c>
      <c r="L358" s="94">
        <f t="shared" si="112"/>
        <v>75</v>
      </c>
      <c r="M358" s="94">
        <f t="shared" si="112"/>
        <v>0</v>
      </c>
      <c r="N358" s="94">
        <f t="shared" si="112"/>
        <v>0</v>
      </c>
      <c r="O358" s="94">
        <f t="shared" si="112"/>
        <v>0</v>
      </c>
      <c r="P358" s="117"/>
    </row>
    <row r="359" spans="2:17" outlineLevel="1" x14ac:dyDescent="0.2">
      <c r="B359" s="118"/>
      <c r="C359" s="132"/>
      <c r="D359" s="118"/>
      <c r="E359" s="118"/>
      <c r="F359" s="118"/>
      <c r="G359" s="118"/>
      <c r="H359" s="95" t="s">
        <v>4</v>
      </c>
      <c r="I359" s="17">
        <f t="shared" si="109"/>
        <v>102.69999999999999</v>
      </c>
      <c r="J359" s="94"/>
      <c r="K359" s="94">
        <v>51.4</v>
      </c>
      <c r="L359" s="94">
        <v>51.3</v>
      </c>
      <c r="M359" s="94"/>
      <c r="N359" s="94"/>
      <c r="O359" s="94"/>
      <c r="P359" s="118"/>
    </row>
    <row r="360" spans="2:17" outlineLevel="1" x14ac:dyDescent="0.2">
      <c r="B360" s="118"/>
      <c r="C360" s="132"/>
      <c r="D360" s="118"/>
      <c r="E360" s="118"/>
      <c r="F360" s="118"/>
      <c r="G360" s="118"/>
      <c r="H360" s="95" t="s">
        <v>6</v>
      </c>
      <c r="I360" s="17">
        <f t="shared" si="109"/>
        <v>47.3</v>
      </c>
      <c r="J360" s="94"/>
      <c r="K360" s="94">
        <v>23.6</v>
      </c>
      <c r="L360" s="94">
        <v>23.7</v>
      </c>
      <c r="M360" s="94"/>
      <c r="N360" s="94"/>
      <c r="O360" s="94"/>
      <c r="P360" s="118"/>
    </row>
    <row r="361" spans="2:17" outlineLevel="1" x14ac:dyDescent="0.2">
      <c r="B361" s="119"/>
      <c r="C361" s="133"/>
      <c r="D361" s="119"/>
      <c r="E361" s="119"/>
      <c r="F361" s="119"/>
      <c r="G361" s="119"/>
      <c r="H361" s="95" t="s">
        <v>5</v>
      </c>
      <c r="I361" s="17">
        <f t="shared" si="109"/>
        <v>0</v>
      </c>
      <c r="J361" s="94"/>
      <c r="K361" s="94"/>
      <c r="L361" s="94"/>
      <c r="M361" s="94"/>
      <c r="N361" s="94"/>
      <c r="O361" s="94"/>
      <c r="P361" s="119"/>
    </row>
    <row r="362" spans="2:17" ht="42.75" x14ac:dyDescent="0.2">
      <c r="B362" s="128" t="s">
        <v>357</v>
      </c>
      <c r="C362" s="128" t="s">
        <v>38</v>
      </c>
      <c r="D362" s="128" t="s">
        <v>38</v>
      </c>
      <c r="E362" s="128" t="s">
        <v>38</v>
      </c>
      <c r="F362" s="128" t="s">
        <v>38</v>
      </c>
      <c r="G362" s="128" t="s">
        <v>38</v>
      </c>
      <c r="H362" s="95" t="s">
        <v>3</v>
      </c>
      <c r="I362" s="14">
        <f t="shared" ref="I362:O362" si="113">SUMIF($H$350:$H$361,"Объем*",I$350:I$361)</f>
        <v>394</v>
      </c>
      <c r="J362" s="14">
        <f t="shared" si="113"/>
        <v>68.3</v>
      </c>
      <c r="K362" s="14">
        <f t="shared" si="113"/>
        <v>250.7</v>
      </c>
      <c r="L362" s="14">
        <f t="shared" si="113"/>
        <v>75</v>
      </c>
      <c r="M362" s="14">
        <f t="shared" si="113"/>
        <v>0</v>
      </c>
      <c r="N362" s="14">
        <f t="shared" si="113"/>
        <v>0</v>
      </c>
      <c r="O362" s="14">
        <f t="shared" si="113"/>
        <v>0</v>
      </c>
      <c r="P362" s="128"/>
      <c r="Q362" s="7"/>
    </row>
    <row r="363" spans="2:17" ht="15.75" x14ac:dyDescent="0.2">
      <c r="B363" s="129"/>
      <c r="C363" s="129"/>
      <c r="D363" s="129"/>
      <c r="E363" s="129"/>
      <c r="F363" s="129"/>
      <c r="G363" s="129"/>
      <c r="H363" s="95" t="s">
        <v>4</v>
      </c>
      <c r="I363" s="14">
        <f t="shared" ref="I363:O363" si="114">SUMIF($H$350:$H$361,"фед*",I$350:I$361)</f>
        <v>274.7</v>
      </c>
      <c r="J363" s="14">
        <f t="shared" si="114"/>
        <v>67.7</v>
      </c>
      <c r="K363" s="14">
        <f t="shared" si="114"/>
        <v>155.69999999999999</v>
      </c>
      <c r="L363" s="14">
        <f t="shared" si="114"/>
        <v>51.3</v>
      </c>
      <c r="M363" s="14">
        <f t="shared" si="114"/>
        <v>0</v>
      </c>
      <c r="N363" s="14">
        <f t="shared" si="114"/>
        <v>0</v>
      </c>
      <c r="O363" s="14">
        <f t="shared" si="114"/>
        <v>0</v>
      </c>
      <c r="P363" s="129"/>
      <c r="Q363" s="7"/>
    </row>
    <row r="364" spans="2:17" ht="15.75" x14ac:dyDescent="0.2">
      <c r="B364" s="129"/>
      <c r="C364" s="129"/>
      <c r="D364" s="129"/>
      <c r="E364" s="129"/>
      <c r="F364" s="129"/>
      <c r="G364" s="129"/>
      <c r="H364" s="95" t="s">
        <v>6</v>
      </c>
      <c r="I364" s="14">
        <f t="shared" ref="I364:O364" si="115">SUMIF($H$350:$H$361,"конс*",I$350:I$361)</f>
        <v>119.3</v>
      </c>
      <c r="J364" s="14">
        <f t="shared" si="115"/>
        <v>0.6</v>
      </c>
      <c r="K364" s="14">
        <f t="shared" si="115"/>
        <v>95</v>
      </c>
      <c r="L364" s="14">
        <f t="shared" si="115"/>
        <v>23.7</v>
      </c>
      <c r="M364" s="14">
        <f t="shared" si="115"/>
        <v>0</v>
      </c>
      <c r="N364" s="14">
        <f t="shared" si="115"/>
        <v>0</v>
      </c>
      <c r="O364" s="14">
        <f t="shared" si="115"/>
        <v>0</v>
      </c>
      <c r="P364" s="129"/>
      <c r="Q364" s="7"/>
    </row>
    <row r="365" spans="2:17" ht="15.75" x14ac:dyDescent="0.2">
      <c r="B365" s="130"/>
      <c r="C365" s="130"/>
      <c r="D365" s="130"/>
      <c r="E365" s="130"/>
      <c r="F365" s="130"/>
      <c r="G365" s="130"/>
      <c r="H365" s="95" t="s">
        <v>5</v>
      </c>
      <c r="I365" s="14">
        <f t="shared" ref="I365:O365" si="116">SUMIF($H$350:$H$361,"вне*",I$350:I$361)</f>
        <v>0</v>
      </c>
      <c r="J365" s="14">
        <f t="shared" si="116"/>
        <v>0</v>
      </c>
      <c r="K365" s="14">
        <f t="shared" si="116"/>
        <v>0</v>
      </c>
      <c r="L365" s="14">
        <f t="shared" si="116"/>
        <v>0</v>
      </c>
      <c r="M365" s="14">
        <f t="shared" si="116"/>
        <v>0</v>
      </c>
      <c r="N365" s="14">
        <f t="shared" si="116"/>
        <v>0</v>
      </c>
      <c r="O365" s="14">
        <f t="shared" si="116"/>
        <v>0</v>
      </c>
      <c r="P365" s="130"/>
      <c r="Q365" s="7"/>
    </row>
    <row r="366" spans="2:17" ht="25.5" customHeight="1" x14ac:dyDescent="0.2">
      <c r="B366" s="111" t="s">
        <v>47</v>
      </c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3"/>
    </row>
    <row r="367" spans="2:17" ht="176.25" customHeight="1" outlineLevel="1" x14ac:dyDescent="0.2">
      <c r="B367" s="117" t="s">
        <v>1352</v>
      </c>
      <c r="C367" s="173" t="s">
        <v>1353</v>
      </c>
      <c r="D367" s="150" t="s">
        <v>47</v>
      </c>
      <c r="E367" s="117" t="s">
        <v>203</v>
      </c>
      <c r="F367" s="117">
        <v>460</v>
      </c>
      <c r="G367" s="139" t="s">
        <v>1354</v>
      </c>
      <c r="H367" s="95" t="s">
        <v>3</v>
      </c>
      <c r="I367" s="94">
        <f>SUM(J367:O367)</f>
        <v>22</v>
      </c>
      <c r="J367" s="96">
        <f t="shared" ref="J367:O367" si="117">J368+J369+J370</f>
        <v>11.6</v>
      </c>
      <c r="K367" s="96">
        <f t="shared" si="117"/>
        <v>10.4</v>
      </c>
      <c r="L367" s="96">
        <f t="shared" si="117"/>
        <v>0</v>
      </c>
      <c r="M367" s="96">
        <f t="shared" si="117"/>
        <v>0</v>
      </c>
      <c r="N367" s="96">
        <f t="shared" si="117"/>
        <v>0</v>
      </c>
      <c r="O367" s="96">
        <f t="shared" si="117"/>
        <v>0</v>
      </c>
      <c r="P367" s="178">
        <v>101</v>
      </c>
    </row>
    <row r="368" spans="2:17" ht="17.25" customHeight="1" outlineLevel="1" x14ac:dyDescent="0.2">
      <c r="B368" s="118"/>
      <c r="C368" s="174"/>
      <c r="D368" s="151"/>
      <c r="E368" s="118"/>
      <c r="F368" s="118"/>
      <c r="G368" s="140"/>
      <c r="H368" s="95" t="s">
        <v>4</v>
      </c>
      <c r="I368" s="94">
        <f>SUM(J368:O368)</f>
        <v>0</v>
      </c>
      <c r="J368" s="96"/>
      <c r="K368" s="96"/>
      <c r="L368" s="60"/>
      <c r="M368" s="96"/>
      <c r="N368" s="96"/>
      <c r="O368" s="96"/>
      <c r="P368" s="178"/>
    </row>
    <row r="369" spans="2:16" ht="17.25" customHeight="1" outlineLevel="1" x14ac:dyDescent="0.2">
      <c r="B369" s="118"/>
      <c r="C369" s="174"/>
      <c r="D369" s="151"/>
      <c r="E369" s="118"/>
      <c r="F369" s="118"/>
      <c r="G369" s="140"/>
      <c r="H369" s="95" t="s">
        <v>6</v>
      </c>
      <c r="I369" s="94">
        <f>SUM(J369:O369)</f>
        <v>22</v>
      </c>
      <c r="J369" s="96">
        <v>11.6</v>
      </c>
      <c r="K369" s="96">
        <v>10.4</v>
      </c>
      <c r="L369" s="60"/>
      <c r="M369" s="96"/>
      <c r="N369" s="96"/>
      <c r="O369" s="96"/>
      <c r="P369" s="178"/>
    </row>
    <row r="370" spans="2:16" ht="17.25" customHeight="1" outlineLevel="1" x14ac:dyDescent="0.2">
      <c r="B370" s="119"/>
      <c r="C370" s="175"/>
      <c r="D370" s="152"/>
      <c r="E370" s="119"/>
      <c r="F370" s="119"/>
      <c r="G370" s="141"/>
      <c r="H370" s="95" t="s">
        <v>5</v>
      </c>
      <c r="I370" s="94"/>
      <c r="J370" s="60"/>
      <c r="K370" s="60"/>
      <c r="L370" s="60"/>
      <c r="M370" s="60"/>
      <c r="N370" s="60"/>
      <c r="O370" s="60"/>
      <c r="P370" s="178"/>
    </row>
    <row r="371" spans="2:16" ht="173.25" customHeight="1" outlineLevel="1" x14ac:dyDescent="0.2">
      <c r="B371" s="117" t="s">
        <v>1355</v>
      </c>
      <c r="C371" s="173" t="s">
        <v>1353</v>
      </c>
      <c r="D371" s="150" t="s">
        <v>47</v>
      </c>
      <c r="E371" s="117" t="s">
        <v>203</v>
      </c>
      <c r="F371" s="117">
        <v>320</v>
      </c>
      <c r="G371" s="139" t="s">
        <v>1356</v>
      </c>
      <c r="H371" s="95" t="s">
        <v>3</v>
      </c>
      <c r="I371" s="94">
        <f>SUM(J371:O371)</f>
        <v>32.4</v>
      </c>
      <c r="J371" s="96">
        <f t="shared" ref="J371:O371" si="118">J372+J373+J374</f>
        <v>16.2</v>
      </c>
      <c r="K371" s="96">
        <f t="shared" si="118"/>
        <v>16.2</v>
      </c>
      <c r="L371" s="96">
        <f t="shared" si="118"/>
        <v>0</v>
      </c>
      <c r="M371" s="96">
        <f t="shared" si="118"/>
        <v>0</v>
      </c>
      <c r="N371" s="96">
        <f t="shared" si="118"/>
        <v>0</v>
      </c>
      <c r="O371" s="96">
        <f t="shared" si="118"/>
        <v>0</v>
      </c>
      <c r="P371" s="178">
        <v>118</v>
      </c>
    </row>
    <row r="372" spans="2:16" ht="17.25" customHeight="1" outlineLevel="1" x14ac:dyDescent="0.2">
      <c r="B372" s="118"/>
      <c r="C372" s="174"/>
      <c r="D372" s="151"/>
      <c r="E372" s="118"/>
      <c r="F372" s="118"/>
      <c r="G372" s="140"/>
      <c r="H372" s="95" t="s">
        <v>4</v>
      </c>
      <c r="I372" s="94">
        <f>SUM(J372:O372)</f>
        <v>0</v>
      </c>
      <c r="J372" s="96"/>
      <c r="K372" s="96"/>
      <c r="L372" s="60"/>
      <c r="M372" s="96"/>
      <c r="N372" s="96"/>
      <c r="O372" s="96"/>
      <c r="P372" s="178"/>
    </row>
    <row r="373" spans="2:16" ht="17.25" customHeight="1" outlineLevel="1" x14ac:dyDescent="0.2">
      <c r="B373" s="118"/>
      <c r="C373" s="174"/>
      <c r="D373" s="151"/>
      <c r="E373" s="118"/>
      <c r="F373" s="118"/>
      <c r="G373" s="140"/>
      <c r="H373" s="95" t="s">
        <v>6</v>
      </c>
      <c r="I373" s="94">
        <f>SUM(J373:O373)</f>
        <v>32.4</v>
      </c>
      <c r="J373" s="96">
        <v>16.2</v>
      </c>
      <c r="K373" s="96">
        <v>16.2</v>
      </c>
      <c r="L373" s="60"/>
      <c r="M373" s="96"/>
      <c r="N373" s="96"/>
      <c r="O373" s="96"/>
      <c r="P373" s="178"/>
    </row>
    <row r="374" spans="2:16" ht="17.25" customHeight="1" outlineLevel="1" x14ac:dyDescent="0.2">
      <c r="B374" s="119"/>
      <c r="C374" s="175"/>
      <c r="D374" s="152"/>
      <c r="E374" s="119"/>
      <c r="F374" s="119"/>
      <c r="G374" s="141"/>
      <c r="H374" s="95" t="s">
        <v>5</v>
      </c>
      <c r="I374" s="94"/>
      <c r="J374" s="60"/>
      <c r="K374" s="60"/>
      <c r="L374" s="60"/>
      <c r="M374" s="60"/>
      <c r="N374" s="60"/>
      <c r="O374" s="60"/>
      <c r="P374" s="178"/>
    </row>
    <row r="375" spans="2:16" ht="42.75" customHeight="1" outlineLevel="1" x14ac:dyDescent="0.2">
      <c r="B375" s="117" t="s">
        <v>1357</v>
      </c>
      <c r="C375" s="117"/>
      <c r="D375" s="150" t="s">
        <v>47</v>
      </c>
      <c r="E375" s="117" t="s">
        <v>1358</v>
      </c>
      <c r="F375" s="117">
        <v>1296</v>
      </c>
      <c r="G375" s="139" t="s">
        <v>1359</v>
      </c>
      <c r="H375" s="95" t="s">
        <v>3</v>
      </c>
      <c r="I375" s="94">
        <f>SUM(J375:O375)</f>
        <v>19.5</v>
      </c>
      <c r="J375" s="96">
        <v>16.3</v>
      </c>
      <c r="K375" s="96">
        <f t="shared" ref="K375:O375" si="119">K376+K377+K378</f>
        <v>0</v>
      </c>
      <c r="L375" s="96">
        <f t="shared" si="119"/>
        <v>0</v>
      </c>
      <c r="M375" s="96">
        <f t="shared" si="119"/>
        <v>0</v>
      </c>
      <c r="N375" s="96">
        <v>3.2</v>
      </c>
      <c r="O375" s="96">
        <f t="shared" si="119"/>
        <v>0</v>
      </c>
      <c r="P375" s="178">
        <v>650</v>
      </c>
    </row>
    <row r="376" spans="2:16" ht="17.25" customHeight="1" outlineLevel="1" x14ac:dyDescent="0.2">
      <c r="B376" s="118"/>
      <c r="C376" s="118"/>
      <c r="D376" s="151"/>
      <c r="E376" s="118"/>
      <c r="F376" s="118"/>
      <c r="G376" s="140"/>
      <c r="H376" s="95" t="s">
        <v>4</v>
      </c>
      <c r="I376" s="94">
        <f>SUM(J376:O376)</f>
        <v>0</v>
      </c>
      <c r="J376" s="96"/>
      <c r="K376" s="96"/>
      <c r="L376" s="60"/>
      <c r="M376" s="96"/>
      <c r="N376" s="96"/>
      <c r="O376" s="96"/>
      <c r="P376" s="178"/>
    </row>
    <row r="377" spans="2:16" ht="17.25" customHeight="1" outlineLevel="1" x14ac:dyDescent="0.2">
      <c r="B377" s="118"/>
      <c r="C377" s="118"/>
      <c r="D377" s="151"/>
      <c r="E377" s="118"/>
      <c r="F377" s="118"/>
      <c r="G377" s="140"/>
      <c r="H377" s="95" t="s">
        <v>6</v>
      </c>
      <c r="I377" s="94">
        <f>SUM(J377:O377)</f>
        <v>19.5</v>
      </c>
      <c r="J377" s="96">
        <v>16.3</v>
      </c>
      <c r="K377" s="96"/>
      <c r="L377" s="60"/>
      <c r="M377" s="96"/>
      <c r="N377" s="96">
        <v>3.2</v>
      </c>
      <c r="O377" s="96"/>
      <c r="P377" s="178"/>
    </row>
    <row r="378" spans="2:16" ht="17.25" customHeight="1" outlineLevel="1" x14ac:dyDescent="0.2">
      <c r="B378" s="119"/>
      <c r="C378" s="119"/>
      <c r="D378" s="152"/>
      <c r="E378" s="119"/>
      <c r="F378" s="119"/>
      <c r="G378" s="141"/>
      <c r="H378" s="95" t="s">
        <v>5</v>
      </c>
      <c r="I378" s="94"/>
      <c r="J378" s="60"/>
      <c r="K378" s="60"/>
      <c r="L378" s="60"/>
      <c r="M378" s="60"/>
      <c r="N378" s="60"/>
      <c r="O378" s="60"/>
      <c r="P378" s="178"/>
    </row>
    <row r="379" spans="2:16" ht="106.5" customHeight="1" outlineLevel="1" x14ac:dyDescent="0.2">
      <c r="B379" s="117" t="s">
        <v>1360</v>
      </c>
      <c r="C379" s="173" t="s">
        <v>1361</v>
      </c>
      <c r="D379" s="150" t="s">
        <v>47</v>
      </c>
      <c r="E379" s="117" t="s">
        <v>1362</v>
      </c>
      <c r="F379" s="117" t="s">
        <v>1363</v>
      </c>
      <c r="G379" s="139" t="s">
        <v>1364</v>
      </c>
      <c r="H379" s="95" t="s">
        <v>3</v>
      </c>
      <c r="I379" s="94">
        <f>SUM(J379:O379)</f>
        <v>39.299999999999997</v>
      </c>
      <c r="J379" s="96">
        <f t="shared" ref="J379:O379" si="120">J380+J381+J382</f>
        <v>4.3</v>
      </c>
      <c r="K379" s="96">
        <f t="shared" si="120"/>
        <v>0</v>
      </c>
      <c r="L379" s="64">
        <v>35</v>
      </c>
      <c r="M379" s="96">
        <f t="shared" si="120"/>
        <v>0</v>
      </c>
      <c r="N379" s="96">
        <f t="shared" si="120"/>
        <v>0</v>
      </c>
      <c r="O379" s="96">
        <f t="shared" si="120"/>
        <v>0</v>
      </c>
      <c r="P379" s="178">
        <v>124</v>
      </c>
    </row>
    <row r="380" spans="2:16" ht="17.25" customHeight="1" outlineLevel="1" x14ac:dyDescent="0.2">
      <c r="B380" s="118"/>
      <c r="C380" s="174"/>
      <c r="D380" s="151"/>
      <c r="E380" s="118"/>
      <c r="F380" s="118"/>
      <c r="G380" s="140"/>
      <c r="H380" s="95" t="s">
        <v>4</v>
      </c>
      <c r="I380" s="94">
        <f>SUM(J380:O380)</f>
        <v>0</v>
      </c>
      <c r="J380" s="96"/>
      <c r="K380" s="96"/>
      <c r="L380" s="62"/>
      <c r="M380" s="96"/>
      <c r="N380" s="96"/>
      <c r="O380" s="96"/>
      <c r="P380" s="178"/>
    </row>
    <row r="381" spans="2:16" ht="17.25" customHeight="1" outlineLevel="1" x14ac:dyDescent="0.2">
      <c r="B381" s="118"/>
      <c r="C381" s="174"/>
      <c r="D381" s="151"/>
      <c r="E381" s="118"/>
      <c r="F381" s="118"/>
      <c r="G381" s="140"/>
      <c r="H381" s="95" t="s">
        <v>6</v>
      </c>
      <c r="I381" s="94">
        <f>SUM(J381:O381)</f>
        <v>39.299999999999997</v>
      </c>
      <c r="J381" s="96">
        <v>4.3</v>
      </c>
      <c r="K381" s="96"/>
      <c r="L381" s="62">
        <v>35</v>
      </c>
      <c r="M381" s="96"/>
      <c r="N381" s="96"/>
      <c r="O381" s="96"/>
      <c r="P381" s="178"/>
    </row>
    <row r="382" spans="2:16" ht="17.25" customHeight="1" outlineLevel="1" x14ac:dyDescent="0.2">
      <c r="B382" s="119"/>
      <c r="C382" s="175"/>
      <c r="D382" s="152"/>
      <c r="E382" s="119"/>
      <c r="F382" s="119"/>
      <c r="G382" s="141"/>
      <c r="H382" s="95" t="s">
        <v>5</v>
      </c>
      <c r="I382" s="94"/>
      <c r="J382" s="60"/>
      <c r="K382" s="60"/>
      <c r="L382" s="60"/>
      <c r="M382" s="60"/>
      <c r="N382" s="60"/>
      <c r="O382" s="60"/>
      <c r="P382" s="178"/>
    </row>
    <row r="383" spans="2:16" ht="106.5" customHeight="1" outlineLevel="1" x14ac:dyDescent="0.2">
      <c r="B383" s="117" t="s">
        <v>1365</v>
      </c>
      <c r="C383" s="173" t="s">
        <v>1361</v>
      </c>
      <c r="D383" s="150" t="s">
        <v>47</v>
      </c>
      <c r="E383" s="117" t="s">
        <v>1366</v>
      </c>
      <c r="F383" s="117">
        <v>135</v>
      </c>
      <c r="G383" s="139" t="s">
        <v>1364</v>
      </c>
      <c r="H383" s="95" t="s">
        <v>3</v>
      </c>
      <c r="I383" s="94">
        <f>SUM(J383:O383)</f>
        <v>15</v>
      </c>
      <c r="J383" s="96">
        <f t="shared" ref="J383:O383" si="121">J384+J385+J386</f>
        <v>10</v>
      </c>
      <c r="K383" s="96">
        <f t="shared" si="121"/>
        <v>0</v>
      </c>
      <c r="L383" s="96">
        <f t="shared" si="121"/>
        <v>0</v>
      </c>
      <c r="M383" s="96">
        <v>5</v>
      </c>
      <c r="N383" s="96">
        <f t="shared" si="121"/>
        <v>0</v>
      </c>
      <c r="O383" s="96">
        <f t="shared" si="121"/>
        <v>0</v>
      </c>
      <c r="P383" s="178">
        <v>111</v>
      </c>
    </row>
    <row r="384" spans="2:16" ht="17.25" customHeight="1" outlineLevel="1" x14ac:dyDescent="0.2">
      <c r="B384" s="118"/>
      <c r="C384" s="174"/>
      <c r="D384" s="151"/>
      <c r="E384" s="118"/>
      <c r="F384" s="118"/>
      <c r="G384" s="140"/>
      <c r="H384" s="95" t="s">
        <v>4</v>
      </c>
      <c r="I384" s="94">
        <f>SUM(J384:O384)</f>
        <v>0</v>
      </c>
      <c r="J384" s="96"/>
      <c r="K384" s="96"/>
      <c r="L384" s="60"/>
      <c r="M384" s="96"/>
      <c r="N384" s="96"/>
      <c r="O384" s="96"/>
      <c r="P384" s="178"/>
    </row>
    <row r="385" spans="2:16" ht="17.25" customHeight="1" outlineLevel="1" x14ac:dyDescent="0.2">
      <c r="B385" s="118"/>
      <c r="C385" s="174"/>
      <c r="D385" s="151"/>
      <c r="E385" s="118"/>
      <c r="F385" s="118"/>
      <c r="G385" s="140"/>
      <c r="H385" s="95" t="s">
        <v>6</v>
      </c>
      <c r="I385" s="94">
        <f>SUM(J385:O385)</f>
        <v>15</v>
      </c>
      <c r="J385" s="96">
        <v>10</v>
      </c>
      <c r="K385" s="96"/>
      <c r="L385" s="60"/>
      <c r="M385" s="96">
        <v>5</v>
      </c>
      <c r="N385" s="96"/>
      <c r="O385" s="96"/>
      <c r="P385" s="178"/>
    </row>
    <row r="386" spans="2:16" ht="17.25" customHeight="1" outlineLevel="1" x14ac:dyDescent="0.2">
      <c r="B386" s="119"/>
      <c r="C386" s="175"/>
      <c r="D386" s="152"/>
      <c r="E386" s="119"/>
      <c r="F386" s="119"/>
      <c r="G386" s="141"/>
      <c r="H386" s="95" t="s">
        <v>5</v>
      </c>
      <c r="I386" s="94"/>
      <c r="J386" s="60"/>
      <c r="K386" s="60"/>
      <c r="L386" s="60"/>
      <c r="M386" s="60"/>
      <c r="N386" s="60"/>
      <c r="O386" s="60"/>
      <c r="P386" s="178"/>
    </row>
    <row r="387" spans="2:16" ht="42.75" customHeight="1" outlineLevel="1" x14ac:dyDescent="0.2">
      <c r="B387" s="117" t="s">
        <v>1367</v>
      </c>
      <c r="C387" s="117"/>
      <c r="D387" s="150" t="s">
        <v>47</v>
      </c>
      <c r="E387" s="117">
        <v>2024</v>
      </c>
      <c r="F387" s="117">
        <v>120</v>
      </c>
      <c r="G387" s="139" t="s">
        <v>101</v>
      </c>
      <c r="H387" s="95" t="s">
        <v>3</v>
      </c>
      <c r="I387" s="94">
        <f>SUM(J387:O387)</f>
        <v>3</v>
      </c>
      <c r="J387" s="96">
        <v>0</v>
      </c>
      <c r="K387" s="96">
        <v>0</v>
      </c>
      <c r="L387" s="96">
        <v>0</v>
      </c>
      <c r="M387" s="96">
        <v>0</v>
      </c>
      <c r="N387" s="64">
        <v>3</v>
      </c>
      <c r="O387" s="96">
        <v>0</v>
      </c>
      <c r="P387" s="178">
        <v>93</v>
      </c>
    </row>
    <row r="388" spans="2:16" ht="17.25" customHeight="1" outlineLevel="1" x14ac:dyDescent="0.2">
      <c r="B388" s="118"/>
      <c r="C388" s="118"/>
      <c r="D388" s="151"/>
      <c r="E388" s="118"/>
      <c r="F388" s="118"/>
      <c r="G388" s="140"/>
      <c r="H388" s="95" t="s">
        <v>4</v>
      </c>
      <c r="I388" s="94">
        <f>SUM(J388:O388)</f>
        <v>0</v>
      </c>
      <c r="J388" s="96">
        <v>0</v>
      </c>
      <c r="K388" s="96">
        <v>0</v>
      </c>
      <c r="L388" s="96">
        <v>0</v>
      </c>
      <c r="M388" s="96">
        <v>0</v>
      </c>
      <c r="N388" s="96">
        <v>0</v>
      </c>
      <c r="O388" s="96">
        <v>0</v>
      </c>
      <c r="P388" s="178"/>
    </row>
    <row r="389" spans="2:16" ht="17.25" customHeight="1" outlineLevel="1" x14ac:dyDescent="0.2">
      <c r="B389" s="118"/>
      <c r="C389" s="118"/>
      <c r="D389" s="151"/>
      <c r="E389" s="118"/>
      <c r="F389" s="118"/>
      <c r="G389" s="140"/>
      <c r="H389" s="95" t="s">
        <v>6</v>
      </c>
      <c r="I389" s="94">
        <f>SUM(J389:O389)</f>
        <v>3</v>
      </c>
      <c r="J389" s="96">
        <v>0</v>
      </c>
      <c r="K389" s="96">
        <v>0</v>
      </c>
      <c r="L389" s="96">
        <v>0</v>
      </c>
      <c r="M389" s="96">
        <v>0</v>
      </c>
      <c r="N389" s="64">
        <v>3</v>
      </c>
      <c r="O389" s="96">
        <v>0</v>
      </c>
      <c r="P389" s="178"/>
    </row>
    <row r="390" spans="2:16" ht="17.25" customHeight="1" outlineLevel="1" x14ac:dyDescent="0.2">
      <c r="B390" s="119"/>
      <c r="C390" s="119"/>
      <c r="D390" s="152"/>
      <c r="E390" s="119"/>
      <c r="F390" s="119"/>
      <c r="G390" s="141"/>
      <c r="H390" s="95" t="s">
        <v>5</v>
      </c>
      <c r="I390" s="94"/>
      <c r="J390" s="96">
        <v>0</v>
      </c>
      <c r="K390" s="96">
        <v>0</v>
      </c>
      <c r="L390" s="96">
        <v>0</v>
      </c>
      <c r="M390" s="96">
        <v>0</v>
      </c>
      <c r="N390" s="96">
        <v>0</v>
      </c>
      <c r="O390" s="96">
        <v>0</v>
      </c>
      <c r="P390" s="178"/>
    </row>
    <row r="391" spans="2:16" ht="42.75" customHeight="1" outlineLevel="1" x14ac:dyDescent="0.2">
      <c r="B391" s="117" t="s">
        <v>1368</v>
      </c>
      <c r="C391" s="117"/>
      <c r="D391" s="150" t="s">
        <v>47</v>
      </c>
      <c r="E391" s="117">
        <v>2022</v>
      </c>
      <c r="F391" s="117">
        <v>167</v>
      </c>
      <c r="G391" s="139" t="s">
        <v>101</v>
      </c>
      <c r="H391" s="95" t="s">
        <v>3</v>
      </c>
      <c r="I391" s="94">
        <f>SUM(J391:O391)</f>
        <v>18</v>
      </c>
      <c r="J391" s="96">
        <v>0</v>
      </c>
      <c r="K391" s="96">
        <v>0</v>
      </c>
      <c r="L391" s="64">
        <v>18</v>
      </c>
      <c r="M391" s="96">
        <v>0</v>
      </c>
      <c r="N391" s="96">
        <v>0</v>
      </c>
      <c r="O391" s="96">
        <v>0</v>
      </c>
      <c r="P391" s="178">
        <v>144</v>
      </c>
    </row>
    <row r="392" spans="2:16" ht="17.25" customHeight="1" outlineLevel="1" x14ac:dyDescent="0.2">
      <c r="B392" s="118"/>
      <c r="C392" s="118"/>
      <c r="D392" s="151"/>
      <c r="E392" s="118"/>
      <c r="F392" s="118"/>
      <c r="G392" s="140"/>
      <c r="H392" s="95" t="s">
        <v>4</v>
      </c>
      <c r="I392" s="94">
        <f>SUM(J392:O392)</f>
        <v>0</v>
      </c>
      <c r="J392" s="96">
        <v>0</v>
      </c>
      <c r="K392" s="96">
        <v>0</v>
      </c>
      <c r="L392" s="96">
        <v>0</v>
      </c>
      <c r="M392" s="96">
        <v>0</v>
      </c>
      <c r="N392" s="96">
        <v>0</v>
      </c>
      <c r="O392" s="96">
        <v>0</v>
      </c>
      <c r="P392" s="178"/>
    </row>
    <row r="393" spans="2:16" ht="17.25" customHeight="1" outlineLevel="1" x14ac:dyDescent="0.2">
      <c r="B393" s="118"/>
      <c r="C393" s="118"/>
      <c r="D393" s="151"/>
      <c r="E393" s="118"/>
      <c r="F393" s="118"/>
      <c r="G393" s="140"/>
      <c r="H393" s="95" t="s">
        <v>6</v>
      </c>
      <c r="I393" s="94">
        <f>SUM(J393:O393)</f>
        <v>18</v>
      </c>
      <c r="J393" s="96">
        <v>0</v>
      </c>
      <c r="K393" s="96">
        <v>0</v>
      </c>
      <c r="L393" s="64">
        <v>18</v>
      </c>
      <c r="M393" s="96">
        <v>0</v>
      </c>
      <c r="N393" s="96">
        <v>0</v>
      </c>
      <c r="O393" s="96">
        <v>0</v>
      </c>
      <c r="P393" s="178"/>
    </row>
    <row r="394" spans="2:16" ht="17.25" customHeight="1" outlineLevel="1" x14ac:dyDescent="0.2">
      <c r="B394" s="119"/>
      <c r="C394" s="119"/>
      <c r="D394" s="152"/>
      <c r="E394" s="119"/>
      <c r="F394" s="119"/>
      <c r="G394" s="141"/>
      <c r="H394" s="95" t="s">
        <v>5</v>
      </c>
      <c r="I394" s="94"/>
      <c r="J394" s="96">
        <v>0</v>
      </c>
      <c r="K394" s="96">
        <v>0</v>
      </c>
      <c r="L394" s="96">
        <v>0</v>
      </c>
      <c r="M394" s="96">
        <v>0</v>
      </c>
      <c r="N394" s="96">
        <v>0</v>
      </c>
      <c r="O394" s="96">
        <v>0</v>
      </c>
      <c r="P394" s="178"/>
    </row>
    <row r="395" spans="2:16" ht="42.75" customHeight="1" outlineLevel="1" x14ac:dyDescent="0.2">
      <c r="B395" s="117" t="s">
        <v>1369</v>
      </c>
      <c r="C395" s="117"/>
      <c r="D395" s="150" t="s">
        <v>47</v>
      </c>
      <c r="E395" s="117">
        <v>2021</v>
      </c>
      <c r="F395" s="117"/>
      <c r="G395" s="139" t="s">
        <v>101</v>
      </c>
      <c r="H395" s="95" t="s">
        <v>3</v>
      </c>
      <c r="I395" s="94">
        <f>SUM(J395:O395)</f>
        <v>6</v>
      </c>
      <c r="J395" s="96">
        <v>0</v>
      </c>
      <c r="K395" s="64">
        <v>6</v>
      </c>
      <c r="L395" s="96">
        <v>0</v>
      </c>
      <c r="M395" s="96">
        <v>0</v>
      </c>
      <c r="N395" s="96">
        <v>0</v>
      </c>
      <c r="O395" s="96">
        <v>0</v>
      </c>
      <c r="P395" s="178"/>
    </row>
    <row r="396" spans="2:16" ht="17.25" customHeight="1" outlineLevel="1" x14ac:dyDescent="0.2">
      <c r="B396" s="118"/>
      <c r="C396" s="118"/>
      <c r="D396" s="151"/>
      <c r="E396" s="118"/>
      <c r="F396" s="118"/>
      <c r="G396" s="140"/>
      <c r="H396" s="95" t="s">
        <v>4</v>
      </c>
      <c r="I396" s="94">
        <f>SUM(J396:O396)</f>
        <v>0</v>
      </c>
      <c r="J396" s="96">
        <v>0</v>
      </c>
      <c r="K396" s="96">
        <v>0</v>
      </c>
      <c r="L396" s="96">
        <v>0</v>
      </c>
      <c r="M396" s="96">
        <v>0</v>
      </c>
      <c r="N396" s="96">
        <v>0</v>
      </c>
      <c r="O396" s="96">
        <v>0</v>
      </c>
      <c r="P396" s="178"/>
    </row>
    <row r="397" spans="2:16" ht="17.25" customHeight="1" outlineLevel="1" x14ac:dyDescent="0.2">
      <c r="B397" s="118"/>
      <c r="C397" s="118"/>
      <c r="D397" s="151"/>
      <c r="E397" s="118"/>
      <c r="F397" s="118"/>
      <c r="G397" s="140"/>
      <c r="H397" s="95" t="s">
        <v>6</v>
      </c>
      <c r="I397" s="94">
        <f>SUM(J397:O397)</f>
        <v>6</v>
      </c>
      <c r="J397" s="96">
        <v>0</v>
      </c>
      <c r="K397" s="64">
        <v>6</v>
      </c>
      <c r="L397" s="96">
        <v>0</v>
      </c>
      <c r="M397" s="96">
        <v>0</v>
      </c>
      <c r="N397" s="96">
        <v>0</v>
      </c>
      <c r="O397" s="96">
        <v>0</v>
      </c>
      <c r="P397" s="178"/>
    </row>
    <row r="398" spans="2:16" ht="17.25" customHeight="1" outlineLevel="1" x14ac:dyDescent="0.2">
      <c r="B398" s="119"/>
      <c r="C398" s="119"/>
      <c r="D398" s="152"/>
      <c r="E398" s="119"/>
      <c r="F398" s="119"/>
      <c r="G398" s="141"/>
      <c r="H398" s="95" t="s">
        <v>5</v>
      </c>
      <c r="I398" s="94"/>
      <c r="J398" s="96">
        <v>0</v>
      </c>
      <c r="K398" s="96">
        <v>0</v>
      </c>
      <c r="L398" s="96">
        <v>0</v>
      </c>
      <c r="M398" s="96">
        <v>0</v>
      </c>
      <c r="N398" s="96">
        <v>0</v>
      </c>
      <c r="O398" s="96">
        <v>0</v>
      </c>
      <c r="P398" s="178"/>
    </row>
    <row r="399" spans="2:16" ht="42.75" customHeight="1" outlineLevel="1" x14ac:dyDescent="0.2">
      <c r="B399" s="117" t="s">
        <v>1370</v>
      </c>
      <c r="C399" s="117"/>
      <c r="D399" s="150" t="s">
        <v>47</v>
      </c>
      <c r="E399" s="117">
        <v>2022</v>
      </c>
      <c r="F399" s="117"/>
      <c r="G399" s="139" t="s">
        <v>101</v>
      </c>
      <c r="H399" s="95" t="s">
        <v>3</v>
      </c>
      <c r="I399" s="94">
        <f>SUM(J399:O399)</f>
        <v>6</v>
      </c>
      <c r="J399" s="96">
        <v>0</v>
      </c>
      <c r="K399" s="96">
        <v>0</v>
      </c>
      <c r="L399" s="64">
        <v>6</v>
      </c>
      <c r="M399" s="96">
        <v>0</v>
      </c>
      <c r="N399" s="96">
        <v>0</v>
      </c>
      <c r="O399" s="96">
        <v>0</v>
      </c>
      <c r="P399" s="178"/>
    </row>
    <row r="400" spans="2:16" ht="17.25" customHeight="1" outlineLevel="1" x14ac:dyDescent="0.2">
      <c r="B400" s="118"/>
      <c r="C400" s="118"/>
      <c r="D400" s="151"/>
      <c r="E400" s="118"/>
      <c r="F400" s="118"/>
      <c r="G400" s="140"/>
      <c r="H400" s="95" t="s">
        <v>4</v>
      </c>
      <c r="I400" s="94">
        <f>SUM(J400:O400)</f>
        <v>0</v>
      </c>
      <c r="J400" s="96">
        <v>0</v>
      </c>
      <c r="K400" s="96">
        <v>0</v>
      </c>
      <c r="L400" s="96">
        <v>0</v>
      </c>
      <c r="M400" s="96">
        <v>0</v>
      </c>
      <c r="N400" s="96">
        <v>0</v>
      </c>
      <c r="O400" s="96">
        <v>0</v>
      </c>
      <c r="P400" s="178"/>
    </row>
    <row r="401" spans="2:17" ht="17.25" customHeight="1" outlineLevel="1" x14ac:dyDescent="0.2">
      <c r="B401" s="118"/>
      <c r="C401" s="118"/>
      <c r="D401" s="151"/>
      <c r="E401" s="118"/>
      <c r="F401" s="118"/>
      <c r="G401" s="140"/>
      <c r="H401" s="95" t="s">
        <v>6</v>
      </c>
      <c r="I401" s="94">
        <f>SUM(J401:O401)</f>
        <v>6</v>
      </c>
      <c r="J401" s="96">
        <v>0</v>
      </c>
      <c r="K401" s="96">
        <v>0</v>
      </c>
      <c r="L401" s="64">
        <v>6</v>
      </c>
      <c r="M401" s="96">
        <v>0</v>
      </c>
      <c r="N401" s="96">
        <v>0</v>
      </c>
      <c r="O401" s="96">
        <v>0</v>
      </c>
      <c r="P401" s="178"/>
    </row>
    <row r="402" spans="2:17" ht="17.25" customHeight="1" outlineLevel="1" x14ac:dyDescent="0.2">
      <c r="B402" s="119"/>
      <c r="C402" s="119"/>
      <c r="D402" s="152"/>
      <c r="E402" s="119"/>
      <c r="F402" s="119"/>
      <c r="G402" s="141"/>
      <c r="H402" s="95" t="s">
        <v>5</v>
      </c>
      <c r="I402" s="94"/>
      <c r="J402" s="96">
        <v>0</v>
      </c>
      <c r="K402" s="96">
        <v>0</v>
      </c>
      <c r="L402" s="96">
        <v>0</v>
      </c>
      <c r="M402" s="96">
        <v>0</v>
      </c>
      <c r="N402" s="96">
        <v>0</v>
      </c>
      <c r="O402" s="96">
        <v>0</v>
      </c>
      <c r="P402" s="178"/>
    </row>
    <row r="403" spans="2:17" ht="42.75" customHeight="1" outlineLevel="1" x14ac:dyDescent="0.2">
      <c r="B403" s="117" t="s">
        <v>1371</v>
      </c>
      <c r="C403" s="117"/>
      <c r="D403" s="150" t="s">
        <v>47</v>
      </c>
      <c r="E403" s="117">
        <v>2022</v>
      </c>
      <c r="F403" s="117"/>
      <c r="G403" s="139" t="s">
        <v>101</v>
      </c>
      <c r="H403" s="95" t="s">
        <v>3</v>
      </c>
      <c r="I403" s="94">
        <f>SUM(J403:O403)</f>
        <v>6</v>
      </c>
      <c r="J403" s="96">
        <v>0</v>
      </c>
      <c r="K403" s="96">
        <v>0</v>
      </c>
      <c r="L403" s="64">
        <v>6</v>
      </c>
      <c r="M403" s="96">
        <v>0</v>
      </c>
      <c r="N403" s="96">
        <v>0</v>
      </c>
      <c r="O403" s="96">
        <v>0</v>
      </c>
      <c r="P403" s="178"/>
    </row>
    <row r="404" spans="2:17" ht="17.25" customHeight="1" outlineLevel="1" x14ac:dyDescent="0.2">
      <c r="B404" s="118"/>
      <c r="C404" s="118"/>
      <c r="D404" s="151"/>
      <c r="E404" s="118"/>
      <c r="F404" s="118"/>
      <c r="G404" s="140"/>
      <c r="H404" s="95" t="s">
        <v>4</v>
      </c>
      <c r="I404" s="94">
        <f>SUM(J404:O404)</f>
        <v>0</v>
      </c>
      <c r="J404" s="96">
        <v>0</v>
      </c>
      <c r="K404" s="96">
        <v>0</v>
      </c>
      <c r="L404" s="96">
        <v>0</v>
      </c>
      <c r="M404" s="96">
        <v>0</v>
      </c>
      <c r="N404" s="96">
        <v>0</v>
      </c>
      <c r="O404" s="96">
        <v>0</v>
      </c>
      <c r="P404" s="178"/>
    </row>
    <row r="405" spans="2:17" ht="17.25" customHeight="1" outlineLevel="1" x14ac:dyDescent="0.2">
      <c r="B405" s="118"/>
      <c r="C405" s="118"/>
      <c r="D405" s="151"/>
      <c r="E405" s="118"/>
      <c r="F405" s="118"/>
      <c r="G405" s="140"/>
      <c r="H405" s="95" t="s">
        <v>6</v>
      </c>
      <c r="I405" s="94">
        <f>SUM(J405:O405)</f>
        <v>6</v>
      </c>
      <c r="J405" s="96">
        <v>0</v>
      </c>
      <c r="K405" s="96">
        <v>0</v>
      </c>
      <c r="L405" s="64">
        <v>6</v>
      </c>
      <c r="M405" s="96">
        <v>0</v>
      </c>
      <c r="N405" s="96">
        <v>0</v>
      </c>
      <c r="O405" s="96">
        <v>0</v>
      </c>
      <c r="P405" s="178"/>
    </row>
    <row r="406" spans="2:17" ht="17.25" customHeight="1" outlineLevel="1" x14ac:dyDescent="0.2">
      <c r="B406" s="119"/>
      <c r="C406" s="119"/>
      <c r="D406" s="152"/>
      <c r="E406" s="119"/>
      <c r="F406" s="119"/>
      <c r="G406" s="141"/>
      <c r="H406" s="95" t="s">
        <v>5</v>
      </c>
      <c r="I406" s="94"/>
      <c r="J406" s="96">
        <v>0</v>
      </c>
      <c r="K406" s="96">
        <v>0</v>
      </c>
      <c r="L406" s="96">
        <v>0</v>
      </c>
      <c r="M406" s="96">
        <v>0</v>
      </c>
      <c r="N406" s="96">
        <v>0</v>
      </c>
      <c r="O406" s="96">
        <v>0</v>
      </c>
      <c r="P406" s="178"/>
    </row>
    <row r="407" spans="2:17" ht="62.25" customHeight="1" outlineLevel="1" x14ac:dyDescent="0.2">
      <c r="B407" s="117" t="s">
        <v>1372</v>
      </c>
      <c r="C407" s="117"/>
      <c r="D407" s="150" t="s">
        <v>47</v>
      </c>
      <c r="E407" s="117">
        <v>2022</v>
      </c>
      <c r="F407" s="117"/>
      <c r="G407" s="198" t="s">
        <v>1373</v>
      </c>
      <c r="H407" s="95" t="s">
        <v>3</v>
      </c>
      <c r="I407" s="94">
        <f>SUM(J407:O407)</f>
        <v>49.8</v>
      </c>
      <c r="J407" s="96">
        <v>0</v>
      </c>
      <c r="K407" s="96">
        <v>0</v>
      </c>
      <c r="L407" s="96">
        <v>49.8</v>
      </c>
      <c r="M407" s="96">
        <v>0</v>
      </c>
      <c r="N407" s="96">
        <v>0</v>
      </c>
      <c r="O407" s="96">
        <v>0</v>
      </c>
      <c r="P407" s="178">
        <v>161</v>
      </c>
    </row>
    <row r="408" spans="2:17" ht="17.25" customHeight="1" outlineLevel="1" x14ac:dyDescent="0.2">
      <c r="B408" s="118"/>
      <c r="C408" s="118"/>
      <c r="D408" s="151"/>
      <c r="E408" s="118"/>
      <c r="F408" s="118"/>
      <c r="G408" s="199"/>
      <c r="H408" s="95" t="s">
        <v>4</v>
      </c>
      <c r="I408" s="94">
        <f>SUM(J408:O408)</f>
        <v>0</v>
      </c>
      <c r="J408" s="96">
        <v>0</v>
      </c>
      <c r="K408" s="96">
        <v>0</v>
      </c>
      <c r="L408" s="96">
        <v>0</v>
      </c>
      <c r="M408" s="96">
        <v>0</v>
      </c>
      <c r="N408" s="96">
        <v>0</v>
      </c>
      <c r="O408" s="96">
        <v>0</v>
      </c>
      <c r="P408" s="178"/>
    </row>
    <row r="409" spans="2:17" ht="17.25" customHeight="1" outlineLevel="1" x14ac:dyDescent="0.2">
      <c r="B409" s="118"/>
      <c r="C409" s="118"/>
      <c r="D409" s="151"/>
      <c r="E409" s="118"/>
      <c r="F409" s="118"/>
      <c r="G409" s="199"/>
      <c r="H409" s="95" t="s">
        <v>6</v>
      </c>
      <c r="I409" s="94">
        <f>SUM(J409:O409)</f>
        <v>49.8</v>
      </c>
      <c r="J409" s="96">
        <v>0</v>
      </c>
      <c r="K409" s="96">
        <v>0</v>
      </c>
      <c r="L409" s="96">
        <v>49.8</v>
      </c>
      <c r="M409" s="96">
        <v>0</v>
      </c>
      <c r="N409" s="96">
        <v>0</v>
      </c>
      <c r="O409" s="96">
        <v>0</v>
      </c>
      <c r="P409" s="178"/>
    </row>
    <row r="410" spans="2:17" ht="17.25" customHeight="1" outlineLevel="1" x14ac:dyDescent="0.2">
      <c r="B410" s="119"/>
      <c r="C410" s="119"/>
      <c r="D410" s="152"/>
      <c r="E410" s="119"/>
      <c r="F410" s="119"/>
      <c r="G410" s="200"/>
      <c r="H410" s="95" t="s">
        <v>5</v>
      </c>
      <c r="I410" s="94"/>
      <c r="J410" s="96">
        <v>0</v>
      </c>
      <c r="K410" s="96">
        <v>0</v>
      </c>
      <c r="L410" s="96">
        <v>0</v>
      </c>
      <c r="M410" s="96">
        <v>0</v>
      </c>
      <c r="N410" s="96">
        <v>0</v>
      </c>
      <c r="O410" s="96">
        <v>0</v>
      </c>
      <c r="P410" s="178"/>
    </row>
    <row r="411" spans="2:17" ht="42.75" x14ac:dyDescent="0.2">
      <c r="B411" s="128" t="s">
        <v>57</v>
      </c>
      <c r="C411" s="128" t="s">
        <v>38</v>
      </c>
      <c r="D411" s="128" t="s">
        <v>38</v>
      </c>
      <c r="E411" s="128" t="s">
        <v>38</v>
      </c>
      <c r="F411" s="128" t="s">
        <v>38</v>
      </c>
      <c r="G411" s="128" t="s">
        <v>38</v>
      </c>
      <c r="H411" s="95" t="s">
        <v>3</v>
      </c>
      <c r="I411" s="14">
        <f t="shared" ref="I411:O411" si="122">SUMIF($H$367:$H$410,"Объем*",I$367:I$410)</f>
        <v>217</v>
      </c>
      <c r="J411" s="14">
        <f t="shared" si="122"/>
        <v>58.399999999999991</v>
      </c>
      <c r="K411" s="14">
        <f t="shared" si="122"/>
        <v>32.6</v>
      </c>
      <c r="L411" s="14">
        <f t="shared" si="122"/>
        <v>114.8</v>
      </c>
      <c r="M411" s="14">
        <f t="shared" si="122"/>
        <v>5</v>
      </c>
      <c r="N411" s="14">
        <f t="shared" si="122"/>
        <v>6.2</v>
      </c>
      <c r="O411" s="14">
        <f t="shared" si="122"/>
        <v>0</v>
      </c>
      <c r="P411" s="128"/>
      <c r="Q411" s="7"/>
    </row>
    <row r="412" spans="2:17" ht="15.75" x14ac:dyDescent="0.2">
      <c r="B412" s="129"/>
      <c r="C412" s="129"/>
      <c r="D412" s="129"/>
      <c r="E412" s="129"/>
      <c r="F412" s="129"/>
      <c r="G412" s="129"/>
      <c r="H412" s="95" t="s">
        <v>4</v>
      </c>
      <c r="I412" s="14">
        <f t="shared" ref="I412:O412" si="123">SUMIF($H$367:$H$410,"фед*",I$367:I$410)</f>
        <v>0</v>
      </c>
      <c r="J412" s="14">
        <f t="shared" si="123"/>
        <v>0</v>
      </c>
      <c r="K412" s="14">
        <f t="shared" si="123"/>
        <v>0</v>
      </c>
      <c r="L412" s="14">
        <f t="shared" si="123"/>
        <v>0</v>
      </c>
      <c r="M412" s="14">
        <f t="shared" si="123"/>
        <v>0</v>
      </c>
      <c r="N412" s="14">
        <f t="shared" si="123"/>
        <v>0</v>
      </c>
      <c r="O412" s="14">
        <f t="shared" si="123"/>
        <v>0</v>
      </c>
      <c r="P412" s="129"/>
      <c r="Q412" s="7"/>
    </row>
    <row r="413" spans="2:17" ht="15.75" x14ac:dyDescent="0.2">
      <c r="B413" s="129"/>
      <c r="C413" s="129"/>
      <c r="D413" s="129"/>
      <c r="E413" s="129"/>
      <c r="F413" s="129"/>
      <c r="G413" s="129"/>
      <c r="H413" s="95" t="s">
        <v>6</v>
      </c>
      <c r="I413" s="14">
        <f t="shared" ref="I413:O413" si="124">SUMIF($H$367:$H$410,"конс*",I$367:I$410)</f>
        <v>217</v>
      </c>
      <c r="J413" s="14">
        <f t="shared" si="124"/>
        <v>58.399999999999991</v>
      </c>
      <c r="K413" s="14">
        <f t="shared" si="124"/>
        <v>32.6</v>
      </c>
      <c r="L413" s="14">
        <f t="shared" si="124"/>
        <v>114.8</v>
      </c>
      <c r="M413" s="14">
        <f t="shared" si="124"/>
        <v>5</v>
      </c>
      <c r="N413" s="14">
        <f t="shared" si="124"/>
        <v>6.2</v>
      </c>
      <c r="O413" s="14">
        <f t="shared" si="124"/>
        <v>0</v>
      </c>
      <c r="P413" s="129"/>
      <c r="Q413" s="7"/>
    </row>
    <row r="414" spans="2:17" ht="15.75" x14ac:dyDescent="0.2">
      <c r="B414" s="130"/>
      <c r="C414" s="130"/>
      <c r="D414" s="130"/>
      <c r="E414" s="130"/>
      <c r="F414" s="130"/>
      <c r="G414" s="130"/>
      <c r="H414" s="95" t="s">
        <v>5</v>
      </c>
      <c r="I414" s="14">
        <f t="shared" ref="I414:O414" si="125">SUMIF($H$367:$H$410,"вне*",I$367:I$410)</f>
        <v>0</v>
      </c>
      <c r="J414" s="14">
        <f t="shared" si="125"/>
        <v>0</v>
      </c>
      <c r="K414" s="14">
        <f t="shared" si="125"/>
        <v>0</v>
      </c>
      <c r="L414" s="14">
        <f t="shared" si="125"/>
        <v>0</v>
      </c>
      <c r="M414" s="14">
        <f t="shared" si="125"/>
        <v>0</v>
      </c>
      <c r="N414" s="14">
        <f t="shared" si="125"/>
        <v>0</v>
      </c>
      <c r="O414" s="14">
        <f t="shared" si="125"/>
        <v>0</v>
      </c>
      <c r="P414" s="130"/>
      <c r="Q414" s="7"/>
    </row>
    <row r="415" spans="2:17" ht="25.5" customHeight="1" x14ac:dyDescent="0.2">
      <c r="B415" s="111" t="s">
        <v>409</v>
      </c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3"/>
    </row>
    <row r="416" spans="2:17" ht="42.75" outlineLevel="1" x14ac:dyDescent="0.2">
      <c r="B416" s="117" t="s">
        <v>1374</v>
      </c>
      <c r="C416" s="117"/>
      <c r="D416" s="117" t="s">
        <v>812</v>
      </c>
      <c r="E416" s="117" t="s">
        <v>61</v>
      </c>
      <c r="F416" s="117" t="s">
        <v>1375</v>
      </c>
      <c r="G416" s="117" t="s">
        <v>107</v>
      </c>
      <c r="H416" s="95" t="s">
        <v>3</v>
      </c>
      <c r="I416" s="94">
        <f>SUM(J416:O416)</f>
        <v>175</v>
      </c>
      <c r="J416" s="94">
        <f t="shared" ref="J416:O416" si="126">J417+J418+J419</f>
        <v>0</v>
      </c>
      <c r="K416" s="94">
        <f t="shared" si="126"/>
        <v>0</v>
      </c>
      <c r="L416" s="94">
        <f t="shared" si="126"/>
        <v>75</v>
      </c>
      <c r="M416" s="94">
        <f t="shared" si="126"/>
        <v>100</v>
      </c>
      <c r="N416" s="94">
        <f t="shared" si="126"/>
        <v>0</v>
      </c>
      <c r="O416" s="94">
        <f t="shared" si="126"/>
        <v>0</v>
      </c>
      <c r="P416" s="117">
        <v>1817</v>
      </c>
    </row>
    <row r="417" spans="2:16" outlineLevel="1" x14ac:dyDescent="0.2">
      <c r="B417" s="118"/>
      <c r="C417" s="132"/>
      <c r="D417" s="118"/>
      <c r="E417" s="118"/>
      <c r="F417" s="118"/>
      <c r="G417" s="118"/>
      <c r="H417" s="95" t="s">
        <v>4</v>
      </c>
      <c r="I417" s="94"/>
      <c r="J417" s="94"/>
      <c r="K417" s="94"/>
      <c r="L417" s="94"/>
      <c r="M417" s="94"/>
      <c r="N417" s="94"/>
      <c r="O417" s="94"/>
      <c r="P417" s="118"/>
    </row>
    <row r="418" spans="2:16" outlineLevel="1" x14ac:dyDescent="0.2">
      <c r="B418" s="118"/>
      <c r="C418" s="132"/>
      <c r="D418" s="118"/>
      <c r="E418" s="118"/>
      <c r="F418" s="118"/>
      <c r="G418" s="118"/>
      <c r="H418" s="95" t="s">
        <v>6</v>
      </c>
      <c r="I418" s="94">
        <f>SUM(J418:O418)</f>
        <v>175</v>
      </c>
      <c r="J418" s="94"/>
      <c r="K418" s="94"/>
      <c r="L418" s="94">
        <v>75</v>
      </c>
      <c r="M418" s="94">
        <v>100</v>
      </c>
      <c r="N418" s="94"/>
      <c r="O418" s="94"/>
      <c r="P418" s="118"/>
    </row>
    <row r="419" spans="2:16" outlineLevel="1" x14ac:dyDescent="0.2">
      <c r="B419" s="119"/>
      <c r="C419" s="133"/>
      <c r="D419" s="119"/>
      <c r="E419" s="119"/>
      <c r="F419" s="119"/>
      <c r="G419" s="119"/>
      <c r="H419" s="95" t="s">
        <v>5</v>
      </c>
      <c r="I419" s="94"/>
      <c r="J419" s="94"/>
      <c r="K419" s="94"/>
      <c r="L419" s="94"/>
      <c r="M419" s="94"/>
      <c r="N419" s="94"/>
      <c r="O419" s="94"/>
      <c r="P419" s="119"/>
    </row>
    <row r="420" spans="2:16" s="51" customFormat="1" ht="42.75" outlineLevel="1" x14ac:dyDescent="0.2">
      <c r="B420" s="114" t="s">
        <v>1376</v>
      </c>
      <c r="C420" s="114"/>
      <c r="D420" s="197" t="s">
        <v>1377</v>
      </c>
      <c r="E420" s="114">
        <v>2021</v>
      </c>
      <c r="F420" s="114"/>
      <c r="G420" s="114" t="s">
        <v>67</v>
      </c>
      <c r="H420" s="50" t="s">
        <v>3</v>
      </c>
      <c r="I420" s="96">
        <v>17.3</v>
      </c>
      <c r="J420" s="96"/>
      <c r="K420" s="96">
        <v>17.3</v>
      </c>
      <c r="L420" s="96"/>
      <c r="M420" s="96"/>
      <c r="N420" s="96"/>
      <c r="O420" s="96"/>
      <c r="P420" s="114"/>
    </row>
    <row r="421" spans="2:16" s="51" customFormat="1" outlineLevel="1" x14ac:dyDescent="0.2">
      <c r="B421" s="115"/>
      <c r="C421" s="137"/>
      <c r="D421" s="197"/>
      <c r="E421" s="115"/>
      <c r="F421" s="115"/>
      <c r="G421" s="115"/>
      <c r="H421" s="50" t="s">
        <v>4</v>
      </c>
      <c r="I421" s="96"/>
      <c r="J421" s="96"/>
      <c r="K421" s="96"/>
      <c r="L421" s="60"/>
      <c r="M421" s="60"/>
      <c r="N421" s="60"/>
      <c r="O421" s="60"/>
      <c r="P421" s="115"/>
    </row>
    <row r="422" spans="2:16" s="51" customFormat="1" outlineLevel="1" x14ac:dyDescent="0.2">
      <c r="B422" s="115"/>
      <c r="C422" s="137"/>
      <c r="D422" s="197"/>
      <c r="E422" s="115"/>
      <c r="F422" s="115"/>
      <c r="G422" s="115"/>
      <c r="H422" s="50" t="s">
        <v>6</v>
      </c>
      <c r="I422" s="96">
        <v>17.3</v>
      </c>
      <c r="J422" s="96"/>
      <c r="K422" s="96">
        <v>17.3</v>
      </c>
      <c r="L422" s="60"/>
      <c r="M422" s="60"/>
      <c r="N422" s="60"/>
      <c r="O422" s="60"/>
      <c r="P422" s="115"/>
    </row>
    <row r="423" spans="2:16" s="51" customFormat="1" outlineLevel="1" x14ac:dyDescent="0.2">
      <c r="B423" s="116"/>
      <c r="C423" s="138"/>
      <c r="D423" s="197"/>
      <c r="E423" s="116"/>
      <c r="F423" s="116"/>
      <c r="G423" s="116"/>
      <c r="H423" s="50" t="s">
        <v>5</v>
      </c>
      <c r="I423" s="96"/>
      <c r="J423" s="96"/>
      <c r="K423" s="96"/>
      <c r="L423" s="96"/>
      <c r="M423" s="96"/>
      <c r="N423" s="96"/>
      <c r="O423" s="96"/>
      <c r="P423" s="116"/>
    </row>
    <row r="424" spans="2:16" s="51" customFormat="1" ht="42.75" outlineLevel="1" x14ac:dyDescent="0.2">
      <c r="B424" s="114" t="s">
        <v>1378</v>
      </c>
      <c r="C424" s="114"/>
      <c r="D424" s="197" t="s">
        <v>1379</v>
      </c>
      <c r="E424" s="114">
        <v>2022</v>
      </c>
      <c r="F424" s="114" t="s">
        <v>1320</v>
      </c>
      <c r="G424" s="114" t="s">
        <v>1249</v>
      </c>
      <c r="H424" s="50" t="s">
        <v>3</v>
      </c>
      <c r="I424" s="96">
        <v>17.2</v>
      </c>
      <c r="J424" s="96"/>
      <c r="K424" s="96"/>
      <c r="L424" s="96">
        <v>17.2</v>
      </c>
      <c r="M424" s="96"/>
      <c r="N424" s="96"/>
      <c r="O424" s="96"/>
      <c r="P424" s="114">
        <v>1475</v>
      </c>
    </row>
    <row r="425" spans="2:16" s="51" customFormat="1" outlineLevel="1" x14ac:dyDescent="0.2">
      <c r="B425" s="115"/>
      <c r="C425" s="137"/>
      <c r="D425" s="197"/>
      <c r="E425" s="115"/>
      <c r="F425" s="115"/>
      <c r="G425" s="115"/>
      <c r="H425" s="50" t="s">
        <v>4</v>
      </c>
      <c r="I425" s="96"/>
      <c r="J425" s="96"/>
      <c r="K425" s="96"/>
      <c r="L425" s="60"/>
      <c r="M425" s="60"/>
      <c r="N425" s="60"/>
      <c r="O425" s="60"/>
      <c r="P425" s="115"/>
    </row>
    <row r="426" spans="2:16" s="51" customFormat="1" outlineLevel="1" x14ac:dyDescent="0.2">
      <c r="B426" s="115"/>
      <c r="C426" s="137"/>
      <c r="D426" s="197"/>
      <c r="E426" s="115"/>
      <c r="F426" s="115"/>
      <c r="G426" s="115"/>
      <c r="H426" s="50" t="s">
        <v>6</v>
      </c>
      <c r="I426" s="96">
        <v>17.2</v>
      </c>
      <c r="J426" s="96"/>
      <c r="K426" s="96"/>
      <c r="L426" s="60">
        <v>17.2</v>
      </c>
      <c r="M426" s="60"/>
      <c r="N426" s="60"/>
      <c r="O426" s="60"/>
      <c r="P426" s="115"/>
    </row>
    <row r="427" spans="2:16" s="51" customFormat="1" outlineLevel="1" x14ac:dyDescent="0.2">
      <c r="B427" s="116"/>
      <c r="C427" s="138"/>
      <c r="D427" s="197"/>
      <c r="E427" s="116"/>
      <c r="F427" s="116"/>
      <c r="G427" s="116"/>
      <c r="H427" s="50" t="s">
        <v>5</v>
      </c>
      <c r="I427" s="96"/>
      <c r="J427" s="96"/>
      <c r="K427" s="96"/>
      <c r="L427" s="96"/>
      <c r="M427" s="96"/>
      <c r="N427" s="96"/>
      <c r="O427" s="96"/>
      <c r="P427" s="116"/>
    </row>
    <row r="428" spans="2:16" s="51" customFormat="1" ht="42.75" outlineLevel="1" x14ac:dyDescent="0.2">
      <c r="B428" s="114" t="s">
        <v>1380</v>
      </c>
      <c r="C428" s="114"/>
      <c r="D428" s="197" t="s">
        <v>1381</v>
      </c>
      <c r="E428" s="114">
        <v>2022</v>
      </c>
      <c r="F428" s="114"/>
      <c r="G428" s="114" t="s">
        <v>138</v>
      </c>
      <c r="H428" s="50" t="s">
        <v>3</v>
      </c>
      <c r="I428" s="96">
        <v>32.9</v>
      </c>
      <c r="J428" s="96"/>
      <c r="K428" s="96"/>
      <c r="L428" s="96">
        <v>32.9</v>
      </c>
      <c r="M428" s="96"/>
      <c r="N428" s="96"/>
      <c r="O428" s="96"/>
      <c r="P428" s="114"/>
    </row>
    <row r="429" spans="2:16" s="51" customFormat="1" outlineLevel="1" x14ac:dyDescent="0.2">
      <c r="B429" s="115"/>
      <c r="C429" s="137"/>
      <c r="D429" s="197"/>
      <c r="E429" s="115"/>
      <c r="F429" s="115"/>
      <c r="G429" s="115"/>
      <c r="H429" s="50" t="s">
        <v>4</v>
      </c>
      <c r="I429" s="96"/>
      <c r="J429" s="96"/>
      <c r="K429" s="96"/>
      <c r="L429" s="60"/>
      <c r="M429" s="60"/>
      <c r="N429" s="60"/>
      <c r="O429" s="60"/>
      <c r="P429" s="115"/>
    </row>
    <row r="430" spans="2:16" s="51" customFormat="1" outlineLevel="1" x14ac:dyDescent="0.2">
      <c r="B430" s="115"/>
      <c r="C430" s="137"/>
      <c r="D430" s="197"/>
      <c r="E430" s="115"/>
      <c r="F430" s="115"/>
      <c r="G430" s="115"/>
      <c r="H430" s="50" t="s">
        <v>6</v>
      </c>
      <c r="I430" s="96">
        <v>32.9</v>
      </c>
      <c r="J430" s="96"/>
      <c r="K430" s="96"/>
      <c r="L430" s="60">
        <v>32.9</v>
      </c>
      <c r="M430" s="60"/>
      <c r="N430" s="60"/>
      <c r="O430" s="60"/>
      <c r="P430" s="115"/>
    </row>
    <row r="431" spans="2:16" s="51" customFormat="1" outlineLevel="1" x14ac:dyDescent="0.2">
      <c r="B431" s="116"/>
      <c r="C431" s="138"/>
      <c r="D431" s="197"/>
      <c r="E431" s="116"/>
      <c r="F431" s="116"/>
      <c r="G431" s="116"/>
      <c r="H431" s="50" t="s">
        <v>5</v>
      </c>
      <c r="I431" s="96"/>
      <c r="J431" s="96"/>
      <c r="K431" s="96"/>
      <c r="L431" s="96"/>
      <c r="M431" s="96"/>
      <c r="N431" s="96"/>
      <c r="O431" s="96"/>
      <c r="P431" s="116"/>
    </row>
    <row r="432" spans="2:16" s="51" customFormat="1" ht="42.75" outlineLevel="1" x14ac:dyDescent="0.2">
      <c r="B432" s="114" t="s">
        <v>1382</v>
      </c>
      <c r="C432" s="114"/>
      <c r="D432" s="197" t="s">
        <v>812</v>
      </c>
      <c r="E432" s="114">
        <v>2022</v>
      </c>
      <c r="F432" s="114"/>
      <c r="G432" s="114" t="s">
        <v>1249</v>
      </c>
      <c r="H432" s="50" t="s">
        <v>3</v>
      </c>
      <c r="I432" s="96">
        <v>15.1</v>
      </c>
      <c r="J432" s="96"/>
      <c r="K432" s="96"/>
      <c r="L432" s="96">
        <v>15.1</v>
      </c>
      <c r="M432" s="96"/>
      <c r="N432" s="96"/>
      <c r="O432" s="96"/>
      <c r="P432" s="114"/>
    </row>
    <row r="433" spans="2:18" s="51" customFormat="1" outlineLevel="1" x14ac:dyDescent="0.2">
      <c r="B433" s="115"/>
      <c r="C433" s="137"/>
      <c r="D433" s="197"/>
      <c r="E433" s="115"/>
      <c r="F433" s="115"/>
      <c r="G433" s="115"/>
      <c r="H433" s="50" t="s">
        <v>4</v>
      </c>
      <c r="I433" s="96"/>
      <c r="J433" s="96"/>
      <c r="K433" s="96"/>
      <c r="L433" s="60"/>
      <c r="M433" s="60"/>
      <c r="N433" s="60"/>
      <c r="O433" s="60"/>
      <c r="P433" s="115"/>
    </row>
    <row r="434" spans="2:18" s="51" customFormat="1" outlineLevel="1" x14ac:dyDescent="0.2">
      <c r="B434" s="115"/>
      <c r="C434" s="137"/>
      <c r="D434" s="197"/>
      <c r="E434" s="115"/>
      <c r="F434" s="115"/>
      <c r="G434" s="115"/>
      <c r="H434" s="50" t="s">
        <v>6</v>
      </c>
      <c r="I434" s="96">
        <v>15.1</v>
      </c>
      <c r="J434" s="96"/>
      <c r="K434" s="96"/>
      <c r="L434" s="60">
        <v>15.1</v>
      </c>
      <c r="M434" s="60"/>
      <c r="N434" s="60"/>
      <c r="O434" s="60"/>
      <c r="P434" s="115"/>
    </row>
    <row r="435" spans="2:18" s="51" customFormat="1" outlineLevel="1" x14ac:dyDescent="0.2">
      <c r="B435" s="116"/>
      <c r="C435" s="138"/>
      <c r="D435" s="197"/>
      <c r="E435" s="116"/>
      <c r="F435" s="116"/>
      <c r="G435" s="116"/>
      <c r="H435" s="50" t="s">
        <v>5</v>
      </c>
      <c r="I435" s="96"/>
      <c r="J435" s="96"/>
      <c r="K435" s="96"/>
      <c r="L435" s="96"/>
      <c r="M435" s="96"/>
      <c r="N435" s="96"/>
      <c r="O435" s="96"/>
      <c r="P435" s="116"/>
    </row>
    <row r="436" spans="2:18" ht="42.75" x14ac:dyDescent="0.2">
      <c r="B436" s="128" t="s">
        <v>414</v>
      </c>
      <c r="C436" s="128" t="s">
        <v>38</v>
      </c>
      <c r="D436" s="128" t="s">
        <v>38</v>
      </c>
      <c r="E436" s="128" t="s">
        <v>38</v>
      </c>
      <c r="F436" s="128" t="s">
        <v>38</v>
      </c>
      <c r="G436" s="128" t="s">
        <v>38</v>
      </c>
      <c r="H436" s="95" t="s">
        <v>3</v>
      </c>
      <c r="I436" s="14">
        <f t="shared" ref="I436:O436" si="127">SUMIF($H$416:$H$435,"Объем*",I$416:I$435)</f>
        <v>257.5</v>
      </c>
      <c r="J436" s="14">
        <f t="shared" si="127"/>
        <v>0</v>
      </c>
      <c r="K436" s="14">
        <f t="shared" si="127"/>
        <v>17.3</v>
      </c>
      <c r="L436" s="14">
        <f t="shared" si="127"/>
        <v>140.19999999999999</v>
      </c>
      <c r="M436" s="14">
        <f t="shared" si="127"/>
        <v>100</v>
      </c>
      <c r="N436" s="14">
        <f t="shared" si="127"/>
        <v>0</v>
      </c>
      <c r="O436" s="14">
        <f t="shared" si="127"/>
        <v>0</v>
      </c>
      <c r="P436" s="128"/>
      <c r="Q436" s="7"/>
    </row>
    <row r="437" spans="2:18" ht="15.75" x14ac:dyDescent="0.2">
      <c r="B437" s="129"/>
      <c r="C437" s="129"/>
      <c r="D437" s="129"/>
      <c r="E437" s="129"/>
      <c r="F437" s="129"/>
      <c r="G437" s="129"/>
      <c r="H437" s="95" t="s">
        <v>4</v>
      </c>
      <c r="I437" s="14">
        <f t="shared" ref="I437:O437" si="128">SUMIF($H$416:$H$435,"фед*",I$416:I$435)</f>
        <v>0</v>
      </c>
      <c r="J437" s="14">
        <f t="shared" si="128"/>
        <v>0</v>
      </c>
      <c r="K437" s="14">
        <f t="shared" si="128"/>
        <v>0</v>
      </c>
      <c r="L437" s="14">
        <f t="shared" si="128"/>
        <v>0</v>
      </c>
      <c r="M437" s="14">
        <f t="shared" si="128"/>
        <v>0</v>
      </c>
      <c r="N437" s="14">
        <f t="shared" si="128"/>
        <v>0</v>
      </c>
      <c r="O437" s="14">
        <f t="shared" si="128"/>
        <v>0</v>
      </c>
      <c r="P437" s="129"/>
      <c r="Q437" s="7"/>
    </row>
    <row r="438" spans="2:18" ht="15.75" x14ac:dyDescent="0.2">
      <c r="B438" s="129"/>
      <c r="C438" s="129"/>
      <c r="D438" s="129"/>
      <c r="E438" s="129"/>
      <c r="F438" s="129"/>
      <c r="G438" s="129"/>
      <c r="H438" s="95" t="s">
        <v>6</v>
      </c>
      <c r="I438" s="14">
        <f t="shared" ref="I438:O438" si="129">SUMIF($H$416:$H$435,"конс*",I$416:I$435)</f>
        <v>257.5</v>
      </c>
      <c r="J438" s="14">
        <f t="shared" si="129"/>
        <v>0</v>
      </c>
      <c r="K438" s="14">
        <f t="shared" si="129"/>
        <v>17.3</v>
      </c>
      <c r="L438" s="14">
        <f t="shared" si="129"/>
        <v>140.19999999999999</v>
      </c>
      <c r="M438" s="14">
        <f t="shared" si="129"/>
        <v>100</v>
      </c>
      <c r="N438" s="14">
        <f t="shared" si="129"/>
        <v>0</v>
      </c>
      <c r="O438" s="14">
        <f t="shared" si="129"/>
        <v>0</v>
      </c>
      <c r="P438" s="129"/>
      <c r="Q438" s="7"/>
    </row>
    <row r="439" spans="2:18" ht="15.75" x14ac:dyDescent="0.2">
      <c r="B439" s="130"/>
      <c r="C439" s="130"/>
      <c r="D439" s="130"/>
      <c r="E439" s="130"/>
      <c r="F439" s="130"/>
      <c r="G439" s="130"/>
      <c r="H439" s="95" t="s">
        <v>5</v>
      </c>
      <c r="I439" s="14">
        <f t="shared" ref="I439:O439" si="130">SUMIF($H$416:$H$435,"вне*",I$416:I$435)</f>
        <v>0</v>
      </c>
      <c r="J439" s="14">
        <f t="shared" si="130"/>
        <v>0</v>
      </c>
      <c r="K439" s="14">
        <f t="shared" si="130"/>
        <v>0</v>
      </c>
      <c r="L439" s="14">
        <f t="shared" si="130"/>
        <v>0</v>
      </c>
      <c r="M439" s="14">
        <f t="shared" si="130"/>
        <v>0</v>
      </c>
      <c r="N439" s="14">
        <f t="shared" si="130"/>
        <v>0</v>
      </c>
      <c r="O439" s="14">
        <f t="shared" si="130"/>
        <v>0</v>
      </c>
      <c r="P439" s="130"/>
      <c r="Q439" s="7"/>
      <c r="R439" s="7"/>
    </row>
    <row r="440" spans="2:18" ht="25.5" customHeight="1" x14ac:dyDescent="0.2">
      <c r="B440" s="111" t="s">
        <v>58</v>
      </c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3"/>
    </row>
    <row r="441" spans="2:18" ht="42.75" outlineLevel="1" x14ac:dyDescent="0.2">
      <c r="B441" s="117" t="s">
        <v>1383</v>
      </c>
      <c r="C441" s="117" t="s">
        <v>1384</v>
      </c>
      <c r="D441" s="117" t="s">
        <v>418</v>
      </c>
      <c r="E441" s="117" t="s">
        <v>50</v>
      </c>
      <c r="F441" s="117" t="s">
        <v>1385</v>
      </c>
      <c r="G441" s="117" t="s">
        <v>1386</v>
      </c>
      <c r="H441" s="95" t="s">
        <v>3</v>
      </c>
      <c r="I441" s="94">
        <f>SUM(J441:O441)</f>
        <v>329</v>
      </c>
      <c r="J441" s="94">
        <f t="shared" ref="J441:O441" si="131">J442+J443+J444</f>
        <v>3.5</v>
      </c>
      <c r="K441" s="94">
        <f t="shared" si="131"/>
        <v>0</v>
      </c>
      <c r="L441" s="94">
        <f t="shared" si="131"/>
        <v>325.5</v>
      </c>
      <c r="M441" s="94">
        <f t="shared" si="131"/>
        <v>0</v>
      </c>
      <c r="N441" s="94">
        <f t="shared" si="131"/>
        <v>0</v>
      </c>
      <c r="O441" s="94">
        <f t="shared" si="131"/>
        <v>0</v>
      </c>
      <c r="P441" s="117"/>
    </row>
    <row r="442" spans="2:18" outlineLevel="1" x14ac:dyDescent="0.2">
      <c r="B442" s="118"/>
      <c r="C442" s="132"/>
      <c r="D442" s="118"/>
      <c r="E442" s="118"/>
      <c r="F442" s="118"/>
      <c r="G442" s="118"/>
      <c r="H442" s="95" t="s">
        <v>4</v>
      </c>
      <c r="I442" s="94">
        <f t="shared" ref="I442:I456" si="132">SUM(J442:O442)</f>
        <v>325.5</v>
      </c>
      <c r="J442" s="94"/>
      <c r="K442" s="94"/>
      <c r="L442" s="94">
        <v>325.5</v>
      </c>
      <c r="M442" s="94"/>
      <c r="N442" s="94"/>
      <c r="O442" s="94"/>
      <c r="P442" s="118"/>
    </row>
    <row r="443" spans="2:18" outlineLevel="1" x14ac:dyDescent="0.2">
      <c r="B443" s="118"/>
      <c r="C443" s="132"/>
      <c r="D443" s="118"/>
      <c r="E443" s="118"/>
      <c r="F443" s="118"/>
      <c r="G443" s="118"/>
      <c r="H443" s="95" t="s">
        <v>6</v>
      </c>
      <c r="I443" s="94">
        <f t="shared" si="132"/>
        <v>3.5</v>
      </c>
      <c r="J443" s="94">
        <v>3.5</v>
      </c>
      <c r="K443" s="94"/>
      <c r="L443" s="94"/>
      <c r="M443" s="94"/>
      <c r="N443" s="94"/>
      <c r="O443" s="94"/>
      <c r="P443" s="118"/>
    </row>
    <row r="444" spans="2:18" outlineLevel="1" x14ac:dyDescent="0.2">
      <c r="B444" s="119"/>
      <c r="C444" s="133"/>
      <c r="D444" s="119"/>
      <c r="E444" s="119"/>
      <c r="F444" s="119"/>
      <c r="G444" s="119"/>
      <c r="H444" s="95" t="s">
        <v>5</v>
      </c>
      <c r="I444" s="94">
        <f t="shared" si="132"/>
        <v>0</v>
      </c>
      <c r="J444" s="94"/>
      <c r="K444" s="94"/>
      <c r="L444" s="94"/>
      <c r="M444" s="94"/>
      <c r="N444" s="94"/>
      <c r="O444" s="94"/>
      <c r="P444" s="119"/>
    </row>
    <row r="445" spans="2:18" ht="42.75" outlineLevel="1" x14ac:dyDescent="0.2">
      <c r="B445" s="117" t="s">
        <v>1387</v>
      </c>
      <c r="C445" s="117" t="s">
        <v>1384</v>
      </c>
      <c r="D445" s="117" t="s">
        <v>58</v>
      </c>
      <c r="E445" s="117" t="s">
        <v>203</v>
      </c>
      <c r="F445" s="117"/>
      <c r="G445" s="117" t="s">
        <v>1388</v>
      </c>
      <c r="H445" s="95" t="s">
        <v>3</v>
      </c>
      <c r="I445" s="94">
        <f t="shared" si="132"/>
        <v>309</v>
      </c>
      <c r="J445" s="94">
        <f t="shared" ref="J445:O445" si="133">J446+J447+J448</f>
        <v>2.5</v>
      </c>
      <c r="K445" s="94">
        <f t="shared" si="133"/>
        <v>306.5</v>
      </c>
      <c r="L445" s="94">
        <f t="shared" si="133"/>
        <v>0</v>
      </c>
      <c r="M445" s="94">
        <f t="shared" si="133"/>
        <v>0</v>
      </c>
      <c r="N445" s="94">
        <f t="shared" si="133"/>
        <v>0</v>
      </c>
      <c r="O445" s="94">
        <f t="shared" si="133"/>
        <v>0</v>
      </c>
      <c r="P445" s="117"/>
    </row>
    <row r="446" spans="2:18" outlineLevel="1" x14ac:dyDescent="0.2">
      <c r="B446" s="118"/>
      <c r="C446" s="132"/>
      <c r="D446" s="118"/>
      <c r="E446" s="118"/>
      <c r="F446" s="118"/>
      <c r="G446" s="118"/>
      <c r="H446" s="95" t="s">
        <v>4</v>
      </c>
      <c r="I446" s="94">
        <f t="shared" si="132"/>
        <v>306.5</v>
      </c>
      <c r="J446" s="94"/>
      <c r="K446" s="94">
        <v>306.5</v>
      </c>
      <c r="L446" s="94"/>
      <c r="M446" s="94"/>
      <c r="N446" s="94"/>
      <c r="O446" s="94"/>
      <c r="P446" s="118"/>
    </row>
    <row r="447" spans="2:18" outlineLevel="1" x14ac:dyDescent="0.2">
      <c r="B447" s="118"/>
      <c r="C447" s="132"/>
      <c r="D447" s="118"/>
      <c r="E447" s="118"/>
      <c r="F447" s="118"/>
      <c r="G447" s="118"/>
      <c r="H447" s="95" t="s">
        <v>6</v>
      </c>
      <c r="I447" s="94">
        <f t="shared" si="132"/>
        <v>2.5</v>
      </c>
      <c r="J447" s="94">
        <v>2.5</v>
      </c>
      <c r="K447" s="94"/>
      <c r="L447" s="94"/>
      <c r="M447" s="94"/>
      <c r="N447" s="94"/>
      <c r="O447" s="94"/>
      <c r="P447" s="118"/>
    </row>
    <row r="448" spans="2:18" outlineLevel="1" x14ac:dyDescent="0.2">
      <c r="B448" s="119"/>
      <c r="C448" s="133"/>
      <c r="D448" s="119"/>
      <c r="E448" s="119"/>
      <c r="F448" s="119"/>
      <c r="G448" s="119"/>
      <c r="H448" s="95" t="s">
        <v>5</v>
      </c>
      <c r="I448" s="94">
        <f t="shared" si="132"/>
        <v>0</v>
      </c>
      <c r="J448" s="94"/>
      <c r="K448" s="94"/>
      <c r="L448" s="94"/>
      <c r="M448" s="94"/>
      <c r="N448" s="94"/>
      <c r="O448" s="94"/>
      <c r="P448" s="119"/>
    </row>
    <row r="449" spans="2:18" ht="42.75" outlineLevel="1" x14ac:dyDescent="0.2">
      <c r="B449" s="117" t="s">
        <v>1389</v>
      </c>
      <c r="C449" s="117" t="s">
        <v>1221</v>
      </c>
      <c r="D449" s="117" t="s">
        <v>821</v>
      </c>
      <c r="E449" s="117" t="s">
        <v>203</v>
      </c>
      <c r="F449" s="117" t="s">
        <v>1223</v>
      </c>
      <c r="G449" s="117" t="s">
        <v>83</v>
      </c>
      <c r="H449" s="95" t="s">
        <v>3</v>
      </c>
      <c r="I449" s="94">
        <f t="shared" si="132"/>
        <v>217.60000000000002</v>
      </c>
      <c r="J449" s="94">
        <f t="shared" ref="J449:O449" si="134">J450+J451+J452</f>
        <v>67</v>
      </c>
      <c r="K449" s="94">
        <f t="shared" si="134"/>
        <v>150.60000000000002</v>
      </c>
      <c r="L449" s="94">
        <f t="shared" si="134"/>
        <v>0</v>
      </c>
      <c r="M449" s="94">
        <f t="shared" si="134"/>
        <v>0</v>
      </c>
      <c r="N449" s="94">
        <f t="shared" si="134"/>
        <v>0</v>
      </c>
      <c r="O449" s="94">
        <f t="shared" si="134"/>
        <v>0</v>
      </c>
      <c r="P449" s="117"/>
    </row>
    <row r="450" spans="2:18" outlineLevel="1" x14ac:dyDescent="0.2">
      <c r="B450" s="118"/>
      <c r="C450" s="132"/>
      <c r="D450" s="118"/>
      <c r="E450" s="118"/>
      <c r="F450" s="118"/>
      <c r="G450" s="118"/>
      <c r="H450" s="95" t="s">
        <v>4</v>
      </c>
      <c r="I450" s="94">
        <f t="shared" si="132"/>
        <v>216.5</v>
      </c>
      <c r="J450" s="94">
        <v>66.7</v>
      </c>
      <c r="K450" s="94">
        <v>149.80000000000001</v>
      </c>
      <c r="L450" s="94"/>
      <c r="M450" s="94"/>
      <c r="N450" s="94"/>
      <c r="O450" s="94"/>
      <c r="P450" s="118"/>
    </row>
    <row r="451" spans="2:18" outlineLevel="1" x14ac:dyDescent="0.2">
      <c r="B451" s="118"/>
      <c r="C451" s="132"/>
      <c r="D451" s="118"/>
      <c r="E451" s="118"/>
      <c r="F451" s="118"/>
      <c r="G451" s="118"/>
      <c r="H451" s="95" t="s">
        <v>6</v>
      </c>
      <c r="I451" s="94">
        <f t="shared" si="132"/>
        <v>1.1000000000000001</v>
      </c>
      <c r="J451" s="94">
        <v>0.3</v>
      </c>
      <c r="K451" s="94">
        <v>0.8</v>
      </c>
      <c r="L451" s="94"/>
      <c r="M451" s="94"/>
      <c r="N451" s="94"/>
      <c r="O451" s="94"/>
      <c r="P451" s="118"/>
    </row>
    <row r="452" spans="2:18" outlineLevel="1" x14ac:dyDescent="0.2">
      <c r="B452" s="119"/>
      <c r="C452" s="133"/>
      <c r="D452" s="119"/>
      <c r="E452" s="119"/>
      <c r="F452" s="119"/>
      <c r="G452" s="119"/>
      <c r="H452" s="95" t="s">
        <v>5</v>
      </c>
      <c r="I452" s="94">
        <f t="shared" si="132"/>
        <v>0</v>
      </c>
      <c r="J452" s="94"/>
      <c r="K452" s="94"/>
      <c r="L452" s="94"/>
      <c r="M452" s="94"/>
      <c r="N452" s="94"/>
      <c r="O452" s="94"/>
      <c r="P452" s="119"/>
    </row>
    <row r="453" spans="2:18" ht="42.75" outlineLevel="1" x14ac:dyDescent="0.2">
      <c r="B453" s="117" t="s">
        <v>1390</v>
      </c>
      <c r="C453" s="117" t="s">
        <v>1221</v>
      </c>
      <c r="D453" s="117" t="s">
        <v>418</v>
      </c>
      <c r="E453" s="117" t="s">
        <v>209</v>
      </c>
      <c r="F453" s="117" t="s">
        <v>1385</v>
      </c>
      <c r="G453" s="117" t="s">
        <v>1386</v>
      </c>
      <c r="H453" s="95" t="s">
        <v>3</v>
      </c>
      <c r="I453" s="94">
        <f t="shared" si="132"/>
        <v>330.5</v>
      </c>
      <c r="J453" s="94">
        <f>J454+J455+J456</f>
        <v>5.5</v>
      </c>
      <c r="K453" s="94">
        <f>K454+K455+K456</f>
        <v>0</v>
      </c>
      <c r="L453" s="94">
        <v>0</v>
      </c>
      <c r="M453" s="94">
        <f t="shared" ref="M453:O453" si="135">M454+M455+M456</f>
        <v>325</v>
      </c>
      <c r="N453" s="94">
        <f t="shared" si="135"/>
        <v>0</v>
      </c>
      <c r="O453" s="94">
        <f t="shared" si="135"/>
        <v>0</v>
      </c>
      <c r="P453" s="117"/>
    </row>
    <row r="454" spans="2:18" outlineLevel="1" x14ac:dyDescent="0.2">
      <c r="B454" s="118"/>
      <c r="C454" s="132"/>
      <c r="D454" s="118"/>
      <c r="E454" s="118"/>
      <c r="F454" s="118"/>
      <c r="G454" s="118"/>
      <c r="H454" s="95" t="s">
        <v>4</v>
      </c>
      <c r="I454" s="94">
        <f t="shared" si="132"/>
        <v>325</v>
      </c>
      <c r="J454" s="94"/>
      <c r="K454" s="94"/>
      <c r="L454" s="94"/>
      <c r="M454" s="94">
        <v>325</v>
      </c>
      <c r="N454" s="94"/>
      <c r="O454" s="94"/>
      <c r="P454" s="118"/>
    </row>
    <row r="455" spans="2:18" outlineLevel="1" x14ac:dyDescent="0.2">
      <c r="B455" s="118"/>
      <c r="C455" s="132"/>
      <c r="D455" s="118"/>
      <c r="E455" s="118"/>
      <c r="F455" s="118"/>
      <c r="G455" s="118"/>
      <c r="H455" s="95" t="s">
        <v>6</v>
      </c>
      <c r="I455" s="94">
        <f t="shared" si="132"/>
        <v>5.5</v>
      </c>
      <c r="J455" s="94">
        <v>5.5</v>
      </c>
      <c r="K455" s="94"/>
      <c r="L455" s="94"/>
      <c r="M455" s="94"/>
      <c r="N455" s="94"/>
      <c r="O455" s="94"/>
      <c r="P455" s="118"/>
    </row>
    <row r="456" spans="2:18" outlineLevel="1" x14ac:dyDescent="0.2">
      <c r="B456" s="119"/>
      <c r="C456" s="133"/>
      <c r="D456" s="119"/>
      <c r="E456" s="119"/>
      <c r="F456" s="119"/>
      <c r="G456" s="119"/>
      <c r="H456" s="95" t="s">
        <v>5</v>
      </c>
      <c r="I456" s="94">
        <f t="shared" si="132"/>
        <v>0</v>
      </c>
      <c r="J456" s="94"/>
      <c r="K456" s="94"/>
      <c r="L456" s="94"/>
      <c r="M456" s="94"/>
      <c r="N456" s="94"/>
      <c r="O456" s="94"/>
      <c r="P456" s="119"/>
    </row>
    <row r="457" spans="2:18" ht="42.75" x14ac:dyDescent="0.2">
      <c r="B457" s="128" t="s">
        <v>64</v>
      </c>
      <c r="C457" s="128" t="s">
        <v>38</v>
      </c>
      <c r="D457" s="128" t="s">
        <v>38</v>
      </c>
      <c r="E457" s="128" t="s">
        <v>38</v>
      </c>
      <c r="F457" s="128" t="s">
        <v>38</v>
      </c>
      <c r="G457" s="128" t="s">
        <v>38</v>
      </c>
      <c r="H457" s="95" t="s">
        <v>3</v>
      </c>
      <c r="I457" s="14">
        <f t="shared" ref="I457:O457" si="136">SUMIF($H$441:$H$456,"Объем*",I$441:I$456)</f>
        <v>1186.0999999999999</v>
      </c>
      <c r="J457" s="14">
        <f t="shared" si="136"/>
        <v>78.5</v>
      </c>
      <c r="K457" s="14">
        <f t="shared" si="136"/>
        <v>457.1</v>
      </c>
      <c r="L457" s="14">
        <f t="shared" si="136"/>
        <v>325.5</v>
      </c>
      <c r="M457" s="14">
        <f t="shared" si="136"/>
        <v>325</v>
      </c>
      <c r="N457" s="14">
        <f t="shared" si="136"/>
        <v>0</v>
      </c>
      <c r="O457" s="14">
        <f t="shared" si="136"/>
        <v>0</v>
      </c>
      <c r="P457" s="128"/>
      <c r="Q457" s="7"/>
    </row>
    <row r="458" spans="2:18" ht="15.75" x14ac:dyDescent="0.2">
      <c r="B458" s="129"/>
      <c r="C458" s="129"/>
      <c r="D458" s="129"/>
      <c r="E458" s="129"/>
      <c r="F458" s="129"/>
      <c r="G458" s="129"/>
      <c r="H458" s="95" t="s">
        <v>4</v>
      </c>
      <c r="I458" s="14">
        <f t="shared" ref="I458:O458" si="137">SUMIF($H$441:$H$456,"фед*",I$441:I$456)</f>
        <v>1173.5</v>
      </c>
      <c r="J458" s="14">
        <f t="shared" si="137"/>
        <v>66.7</v>
      </c>
      <c r="K458" s="14">
        <f t="shared" si="137"/>
        <v>456.3</v>
      </c>
      <c r="L458" s="14">
        <f t="shared" si="137"/>
        <v>325.5</v>
      </c>
      <c r="M458" s="14">
        <f t="shared" si="137"/>
        <v>325</v>
      </c>
      <c r="N458" s="14">
        <f t="shared" si="137"/>
        <v>0</v>
      </c>
      <c r="O458" s="14">
        <f t="shared" si="137"/>
        <v>0</v>
      </c>
      <c r="P458" s="129"/>
      <c r="Q458" s="7"/>
    </row>
    <row r="459" spans="2:18" ht="15.75" x14ac:dyDescent="0.2">
      <c r="B459" s="129"/>
      <c r="C459" s="129"/>
      <c r="D459" s="129"/>
      <c r="E459" s="129"/>
      <c r="F459" s="129"/>
      <c r="G459" s="129"/>
      <c r="H459" s="95" t="s">
        <v>6</v>
      </c>
      <c r="I459" s="14">
        <f t="shared" ref="I459:O459" si="138">SUMIF($H$441:$H$456,"конс*",I$441:I$456)</f>
        <v>12.6</v>
      </c>
      <c r="J459" s="14">
        <f t="shared" si="138"/>
        <v>11.8</v>
      </c>
      <c r="K459" s="14">
        <f t="shared" si="138"/>
        <v>0.8</v>
      </c>
      <c r="L459" s="14">
        <f t="shared" si="138"/>
        <v>0</v>
      </c>
      <c r="M459" s="14">
        <f t="shared" si="138"/>
        <v>0</v>
      </c>
      <c r="N459" s="14">
        <f t="shared" si="138"/>
        <v>0</v>
      </c>
      <c r="O459" s="14">
        <f t="shared" si="138"/>
        <v>0</v>
      </c>
      <c r="P459" s="129"/>
      <c r="Q459" s="7"/>
    </row>
    <row r="460" spans="2:18" ht="15.75" x14ac:dyDescent="0.2">
      <c r="B460" s="130"/>
      <c r="C460" s="130"/>
      <c r="D460" s="130"/>
      <c r="E460" s="130"/>
      <c r="F460" s="130"/>
      <c r="G460" s="130"/>
      <c r="H460" s="95" t="s">
        <v>5</v>
      </c>
      <c r="I460" s="14">
        <f t="shared" ref="I460:O460" si="139">SUMIF($H$441:$H$456,"вне*",I$441:I$456)</f>
        <v>0</v>
      </c>
      <c r="J460" s="14">
        <f t="shared" si="139"/>
        <v>0</v>
      </c>
      <c r="K460" s="14">
        <f t="shared" si="139"/>
        <v>0</v>
      </c>
      <c r="L460" s="14">
        <f t="shared" si="139"/>
        <v>0</v>
      </c>
      <c r="M460" s="14">
        <f t="shared" si="139"/>
        <v>0</v>
      </c>
      <c r="N460" s="14">
        <f t="shared" si="139"/>
        <v>0</v>
      </c>
      <c r="O460" s="14">
        <f t="shared" si="139"/>
        <v>0</v>
      </c>
      <c r="P460" s="130"/>
      <c r="Q460" s="7"/>
      <c r="R460" s="7"/>
    </row>
    <row r="461" spans="2:18" ht="25.5" customHeight="1" x14ac:dyDescent="0.2">
      <c r="B461" s="111" t="s">
        <v>430</v>
      </c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3"/>
    </row>
    <row r="462" spans="2:18" ht="42.75" outlineLevel="1" x14ac:dyDescent="0.2">
      <c r="B462" s="117" t="s">
        <v>1391</v>
      </c>
      <c r="C462" s="117"/>
      <c r="D462" s="117" t="s">
        <v>1392</v>
      </c>
      <c r="E462" s="117">
        <v>2021</v>
      </c>
      <c r="F462" s="117"/>
      <c r="G462" s="117" t="s">
        <v>138</v>
      </c>
      <c r="H462" s="95" t="s">
        <v>3</v>
      </c>
      <c r="I462" s="94">
        <f t="shared" ref="I462:I469" si="140">SUM(J462:O462)</f>
        <v>2.7</v>
      </c>
      <c r="J462" s="94">
        <f t="shared" ref="J462:O462" si="141">J463+J464+J465</f>
        <v>0</v>
      </c>
      <c r="K462" s="94">
        <f t="shared" si="141"/>
        <v>2.7</v>
      </c>
      <c r="L462" s="94">
        <f t="shared" si="141"/>
        <v>0</v>
      </c>
      <c r="M462" s="94">
        <f t="shared" si="141"/>
        <v>0</v>
      </c>
      <c r="N462" s="94">
        <f t="shared" si="141"/>
        <v>0</v>
      </c>
      <c r="O462" s="94">
        <f t="shared" si="141"/>
        <v>0</v>
      </c>
      <c r="P462" s="117"/>
    </row>
    <row r="463" spans="2:18" outlineLevel="1" x14ac:dyDescent="0.2">
      <c r="B463" s="118"/>
      <c r="C463" s="132"/>
      <c r="D463" s="118"/>
      <c r="E463" s="118"/>
      <c r="F463" s="118"/>
      <c r="G463" s="118"/>
      <c r="H463" s="95" t="s">
        <v>4</v>
      </c>
      <c r="I463" s="94">
        <f t="shared" si="140"/>
        <v>0</v>
      </c>
      <c r="J463" s="94"/>
      <c r="K463" s="94"/>
      <c r="L463" s="94"/>
      <c r="M463" s="94"/>
      <c r="N463" s="94"/>
      <c r="O463" s="94"/>
      <c r="P463" s="118"/>
    </row>
    <row r="464" spans="2:18" outlineLevel="1" x14ac:dyDescent="0.2">
      <c r="B464" s="118"/>
      <c r="C464" s="132"/>
      <c r="D464" s="118"/>
      <c r="E464" s="118"/>
      <c r="F464" s="118"/>
      <c r="G464" s="118"/>
      <c r="H464" s="95" t="s">
        <v>6</v>
      </c>
      <c r="I464" s="94">
        <f t="shared" si="140"/>
        <v>2.7</v>
      </c>
      <c r="J464" s="94"/>
      <c r="K464" s="94">
        <v>2.7</v>
      </c>
      <c r="L464" s="94"/>
      <c r="M464" s="94"/>
      <c r="N464" s="94"/>
      <c r="O464" s="94"/>
      <c r="P464" s="118"/>
    </row>
    <row r="465" spans="2:18" outlineLevel="1" x14ac:dyDescent="0.2">
      <c r="B465" s="119"/>
      <c r="C465" s="133"/>
      <c r="D465" s="119"/>
      <c r="E465" s="119"/>
      <c r="F465" s="119"/>
      <c r="G465" s="119"/>
      <c r="H465" s="95" t="s">
        <v>5</v>
      </c>
      <c r="I465" s="94">
        <f t="shared" si="140"/>
        <v>0</v>
      </c>
      <c r="J465" s="94"/>
      <c r="K465" s="94"/>
      <c r="L465" s="94"/>
      <c r="M465" s="94"/>
      <c r="N465" s="94"/>
      <c r="O465" s="94"/>
      <c r="P465" s="119"/>
    </row>
    <row r="466" spans="2:18" ht="42.75" outlineLevel="1" x14ac:dyDescent="0.2">
      <c r="B466" s="117" t="s">
        <v>1393</v>
      </c>
      <c r="C466" s="117"/>
      <c r="D466" s="117" t="s">
        <v>1394</v>
      </c>
      <c r="E466" s="117">
        <v>2021</v>
      </c>
      <c r="F466" s="117"/>
      <c r="G466" s="117" t="s">
        <v>138</v>
      </c>
      <c r="H466" s="95" t="s">
        <v>3</v>
      </c>
      <c r="I466" s="94">
        <f t="shared" si="140"/>
        <v>6</v>
      </c>
      <c r="J466" s="94">
        <f t="shared" ref="J466:O466" si="142">J467+J468+J469</f>
        <v>0</v>
      </c>
      <c r="K466" s="94">
        <f t="shared" si="142"/>
        <v>6</v>
      </c>
      <c r="L466" s="94">
        <f t="shared" si="142"/>
        <v>0</v>
      </c>
      <c r="M466" s="94">
        <f t="shared" si="142"/>
        <v>0</v>
      </c>
      <c r="N466" s="94">
        <f t="shared" si="142"/>
        <v>0</v>
      </c>
      <c r="O466" s="94">
        <f t="shared" si="142"/>
        <v>0</v>
      </c>
      <c r="P466" s="117"/>
    </row>
    <row r="467" spans="2:18" ht="29.25" customHeight="1" outlineLevel="1" x14ac:dyDescent="0.2">
      <c r="B467" s="118"/>
      <c r="C467" s="132"/>
      <c r="D467" s="118"/>
      <c r="E467" s="118"/>
      <c r="F467" s="118"/>
      <c r="G467" s="118"/>
      <c r="H467" s="95" t="s">
        <v>4</v>
      </c>
      <c r="I467" s="94">
        <f t="shared" si="140"/>
        <v>0</v>
      </c>
      <c r="J467" s="94"/>
      <c r="K467" s="94"/>
      <c r="L467" s="94"/>
      <c r="M467" s="94"/>
      <c r="N467" s="94"/>
      <c r="O467" s="94"/>
      <c r="P467" s="118"/>
    </row>
    <row r="468" spans="2:18" outlineLevel="1" x14ac:dyDescent="0.2">
      <c r="B468" s="118"/>
      <c r="C468" s="132"/>
      <c r="D468" s="118"/>
      <c r="E468" s="118"/>
      <c r="F468" s="118"/>
      <c r="G468" s="118"/>
      <c r="H468" s="95" t="s">
        <v>6</v>
      </c>
      <c r="I468" s="94">
        <f t="shared" si="140"/>
        <v>6</v>
      </c>
      <c r="J468" s="94"/>
      <c r="K468" s="94">
        <v>6</v>
      </c>
      <c r="L468" s="94"/>
      <c r="M468" s="94"/>
      <c r="N468" s="94"/>
      <c r="O468" s="94"/>
      <c r="P468" s="118"/>
    </row>
    <row r="469" spans="2:18" outlineLevel="1" x14ac:dyDescent="0.2">
      <c r="B469" s="119"/>
      <c r="C469" s="133"/>
      <c r="D469" s="119"/>
      <c r="E469" s="119"/>
      <c r="F469" s="119"/>
      <c r="G469" s="119"/>
      <c r="H469" s="95" t="s">
        <v>5</v>
      </c>
      <c r="I469" s="94">
        <f t="shared" si="140"/>
        <v>0</v>
      </c>
      <c r="J469" s="94"/>
      <c r="K469" s="94"/>
      <c r="L469" s="94"/>
      <c r="M469" s="94"/>
      <c r="N469" s="94"/>
      <c r="O469" s="94"/>
      <c r="P469" s="119"/>
    </row>
    <row r="470" spans="2:18" ht="42.75" x14ac:dyDescent="0.2">
      <c r="B470" s="128" t="s">
        <v>448</v>
      </c>
      <c r="C470" s="128" t="s">
        <v>38</v>
      </c>
      <c r="D470" s="128" t="s">
        <v>38</v>
      </c>
      <c r="E470" s="128" t="s">
        <v>38</v>
      </c>
      <c r="F470" s="128" t="s">
        <v>38</v>
      </c>
      <c r="G470" s="128" t="s">
        <v>38</v>
      </c>
      <c r="H470" s="95" t="s">
        <v>3</v>
      </c>
      <c r="I470" s="14">
        <f t="shared" ref="I470:O470" si="143">SUMIF($H$462:$H$469,"Объем*",I$462:I$469)</f>
        <v>8.6999999999999993</v>
      </c>
      <c r="J470" s="14">
        <f t="shared" si="143"/>
        <v>0</v>
      </c>
      <c r="K470" s="14">
        <f t="shared" si="143"/>
        <v>8.6999999999999993</v>
      </c>
      <c r="L470" s="14">
        <f t="shared" si="143"/>
        <v>0</v>
      </c>
      <c r="M470" s="14">
        <f t="shared" si="143"/>
        <v>0</v>
      </c>
      <c r="N470" s="14">
        <f t="shared" si="143"/>
        <v>0</v>
      </c>
      <c r="O470" s="14">
        <f t="shared" si="143"/>
        <v>0</v>
      </c>
      <c r="P470" s="128">
        <f>P462+P466</f>
        <v>0</v>
      </c>
      <c r="Q470" s="7"/>
    </row>
    <row r="471" spans="2:18" ht="15.75" x14ac:dyDescent="0.2">
      <c r="B471" s="129"/>
      <c r="C471" s="129"/>
      <c r="D471" s="129"/>
      <c r="E471" s="129"/>
      <c r="F471" s="129"/>
      <c r="G471" s="129"/>
      <c r="H471" s="95" t="s">
        <v>4</v>
      </c>
      <c r="I471" s="14">
        <f t="shared" ref="I471:O471" si="144">SUMIF($H$462:$H$469,"фед*",I$462:I$469)</f>
        <v>0</v>
      </c>
      <c r="J471" s="14">
        <f t="shared" si="144"/>
        <v>0</v>
      </c>
      <c r="K471" s="14">
        <f t="shared" si="144"/>
        <v>0</v>
      </c>
      <c r="L471" s="14">
        <f t="shared" si="144"/>
        <v>0</v>
      </c>
      <c r="M471" s="14">
        <f t="shared" si="144"/>
        <v>0</v>
      </c>
      <c r="N471" s="14">
        <f t="shared" si="144"/>
        <v>0</v>
      </c>
      <c r="O471" s="14">
        <f t="shared" si="144"/>
        <v>0</v>
      </c>
      <c r="P471" s="129"/>
      <c r="Q471" s="7"/>
    </row>
    <row r="472" spans="2:18" ht="15.75" x14ac:dyDescent="0.2">
      <c r="B472" s="129"/>
      <c r="C472" s="129"/>
      <c r="D472" s="129"/>
      <c r="E472" s="129"/>
      <c r="F472" s="129"/>
      <c r="G472" s="129"/>
      <c r="H472" s="95" t="s">
        <v>6</v>
      </c>
      <c r="I472" s="14">
        <f t="shared" ref="I472:O472" si="145">SUMIF($H$462:$H$469,"конс*",I$462:I$469)</f>
        <v>8.6999999999999993</v>
      </c>
      <c r="J472" s="14">
        <f t="shared" si="145"/>
        <v>0</v>
      </c>
      <c r="K472" s="14">
        <f t="shared" si="145"/>
        <v>8.6999999999999993</v>
      </c>
      <c r="L472" s="14">
        <f t="shared" si="145"/>
        <v>0</v>
      </c>
      <c r="M472" s="14">
        <f t="shared" si="145"/>
        <v>0</v>
      </c>
      <c r="N472" s="14">
        <f t="shared" si="145"/>
        <v>0</v>
      </c>
      <c r="O472" s="14">
        <f t="shared" si="145"/>
        <v>0</v>
      </c>
      <c r="P472" s="129"/>
      <c r="Q472" s="7"/>
    </row>
    <row r="473" spans="2:18" ht="15.75" x14ac:dyDescent="0.2">
      <c r="B473" s="130"/>
      <c r="C473" s="130"/>
      <c r="D473" s="130"/>
      <c r="E473" s="130"/>
      <c r="F473" s="130"/>
      <c r="G473" s="130"/>
      <c r="H473" s="95" t="s">
        <v>5</v>
      </c>
      <c r="I473" s="14">
        <f t="shared" ref="I473:O473" si="146">SUMIF($H$462:$H$469,"вне*",I$462:I$469)</f>
        <v>0</v>
      </c>
      <c r="J473" s="14">
        <f t="shared" si="146"/>
        <v>0</v>
      </c>
      <c r="K473" s="14">
        <f t="shared" si="146"/>
        <v>0</v>
      </c>
      <c r="L473" s="14">
        <f t="shared" si="146"/>
        <v>0</v>
      </c>
      <c r="M473" s="14">
        <f t="shared" si="146"/>
        <v>0</v>
      </c>
      <c r="N473" s="14">
        <f t="shared" si="146"/>
        <v>0</v>
      </c>
      <c r="O473" s="14">
        <f t="shared" si="146"/>
        <v>0</v>
      </c>
      <c r="P473" s="130"/>
      <c r="Q473" s="7"/>
      <c r="R473" s="7"/>
    </row>
    <row r="474" spans="2:18" ht="24.75" customHeight="1" x14ac:dyDescent="0.2">
      <c r="B474" s="111" t="s">
        <v>449</v>
      </c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3"/>
    </row>
    <row r="475" spans="2:18" ht="42.75" customHeight="1" outlineLevel="1" x14ac:dyDescent="0.2">
      <c r="B475" s="180" t="s">
        <v>1395</v>
      </c>
      <c r="C475" s="183"/>
      <c r="D475" s="186" t="s">
        <v>1396</v>
      </c>
      <c r="E475" s="180">
        <v>2022</v>
      </c>
      <c r="F475" s="180">
        <v>735</v>
      </c>
      <c r="G475" s="139" t="s">
        <v>52</v>
      </c>
      <c r="H475" s="95" t="s">
        <v>3</v>
      </c>
      <c r="I475" s="94">
        <f>SUM(J475:O475)</f>
        <v>54.54</v>
      </c>
      <c r="J475" s="94">
        <f t="shared" ref="J475:O475" si="147">J476+J477+J478</f>
        <v>15.8</v>
      </c>
      <c r="K475" s="94">
        <f t="shared" si="147"/>
        <v>15.6</v>
      </c>
      <c r="L475" s="94">
        <f t="shared" si="147"/>
        <v>23.14</v>
      </c>
      <c r="M475" s="94">
        <f t="shared" si="147"/>
        <v>0</v>
      </c>
      <c r="N475" s="94">
        <f t="shared" si="147"/>
        <v>0</v>
      </c>
      <c r="O475" s="94">
        <f t="shared" si="147"/>
        <v>0</v>
      </c>
      <c r="P475" s="178"/>
    </row>
    <row r="476" spans="2:18" ht="17.25" customHeight="1" outlineLevel="1" x14ac:dyDescent="0.2">
      <c r="B476" s="181"/>
      <c r="C476" s="184"/>
      <c r="D476" s="187"/>
      <c r="E476" s="181"/>
      <c r="F476" s="181"/>
      <c r="G476" s="140"/>
      <c r="H476" s="95" t="s">
        <v>4</v>
      </c>
      <c r="I476" s="94"/>
      <c r="J476" s="94"/>
      <c r="K476" s="94"/>
      <c r="L476" s="87"/>
      <c r="M476" s="94"/>
      <c r="N476" s="94"/>
      <c r="O476" s="94"/>
      <c r="P476" s="178"/>
    </row>
    <row r="477" spans="2:18" ht="17.25" customHeight="1" outlineLevel="1" x14ac:dyDescent="0.2">
      <c r="B477" s="181"/>
      <c r="C477" s="184"/>
      <c r="D477" s="187"/>
      <c r="E477" s="181"/>
      <c r="F477" s="181"/>
      <c r="G477" s="140"/>
      <c r="H477" s="95" t="s">
        <v>6</v>
      </c>
      <c r="I477" s="94">
        <f>SUM(J477:O477)</f>
        <v>54.54</v>
      </c>
      <c r="J477" s="94">
        <v>15.8</v>
      </c>
      <c r="K477" s="94">
        <v>15.6</v>
      </c>
      <c r="L477" s="87">
        <v>23.14</v>
      </c>
      <c r="M477" s="94"/>
      <c r="N477" s="94"/>
      <c r="O477" s="94"/>
      <c r="P477" s="178"/>
    </row>
    <row r="478" spans="2:18" ht="17.25" customHeight="1" outlineLevel="1" x14ac:dyDescent="0.2">
      <c r="B478" s="182"/>
      <c r="C478" s="185"/>
      <c r="D478" s="188"/>
      <c r="E478" s="182"/>
      <c r="F478" s="182"/>
      <c r="G478" s="141"/>
      <c r="H478" s="95" t="s">
        <v>5</v>
      </c>
      <c r="I478" s="94"/>
      <c r="J478" s="87"/>
      <c r="K478" s="87"/>
      <c r="L478" s="87"/>
      <c r="M478" s="87"/>
      <c r="N478" s="87"/>
      <c r="O478" s="87"/>
      <c r="P478" s="178"/>
    </row>
    <row r="479" spans="2:18" ht="42.75" x14ac:dyDescent="0.2">
      <c r="B479" s="128" t="s">
        <v>452</v>
      </c>
      <c r="C479" s="128" t="s">
        <v>38</v>
      </c>
      <c r="D479" s="128" t="s">
        <v>38</v>
      </c>
      <c r="E479" s="128" t="s">
        <v>38</v>
      </c>
      <c r="F479" s="128" t="s">
        <v>38</v>
      </c>
      <c r="G479" s="128" t="s">
        <v>38</v>
      </c>
      <c r="H479" s="95" t="s">
        <v>3</v>
      </c>
      <c r="I479" s="14">
        <f t="shared" ref="I479:O479" si="148">SUMIF($H$475:$H$478,"Объем*",I$475:I$478)</f>
        <v>54.54</v>
      </c>
      <c r="J479" s="14">
        <f t="shared" si="148"/>
        <v>15.8</v>
      </c>
      <c r="K479" s="14">
        <f t="shared" si="148"/>
        <v>15.6</v>
      </c>
      <c r="L479" s="14">
        <f t="shared" si="148"/>
        <v>23.14</v>
      </c>
      <c r="M479" s="14">
        <f t="shared" si="148"/>
        <v>0</v>
      </c>
      <c r="N479" s="14">
        <f t="shared" si="148"/>
        <v>0</v>
      </c>
      <c r="O479" s="14">
        <f t="shared" si="148"/>
        <v>0</v>
      </c>
      <c r="P479" s="128"/>
      <c r="Q479" s="7"/>
    </row>
    <row r="480" spans="2:18" ht="15.75" x14ac:dyDescent="0.2">
      <c r="B480" s="129"/>
      <c r="C480" s="129"/>
      <c r="D480" s="129"/>
      <c r="E480" s="129"/>
      <c r="F480" s="129"/>
      <c r="G480" s="129"/>
      <c r="H480" s="95" t="s">
        <v>4</v>
      </c>
      <c r="I480" s="14">
        <f t="shared" ref="I480:O480" si="149">SUMIF($H$475:$H$478,"фед*",I$475:I$478)</f>
        <v>0</v>
      </c>
      <c r="J480" s="14">
        <f t="shared" si="149"/>
        <v>0</v>
      </c>
      <c r="K480" s="14">
        <f t="shared" si="149"/>
        <v>0</v>
      </c>
      <c r="L480" s="14">
        <f t="shared" si="149"/>
        <v>0</v>
      </c>
      <c r="M480" s="14">
        <f t="shared" si="149"/>
        <v>0</v>
      </c>
      <c r="N480" s="14">
        <f t="shared" si="149"/>
        <v>0</v>
      </c>
      <c r="O480" s="14">
        <f t="shared" si="149"/>
        <v>0</v>
      </c>
      <c r="P480" s="129"/>
      <c r="Q480" s="7"/>
    </row>
    <row r="481" spans="2:18" ht="15.75" x14ac:dyDescent="0.2">
      <c r="B481" s="129"/>
      <c r="C481" s="129"/>
      <c r="D481" s="129"/>
      <c r="E481" s="129"/>
      <c r="F481" s="129"/>
      <c r="G481" s="129"/>
      <c r="H481" s="95" t="s">
        <v>6</v>
      </c>
      <c r="I481" s="14">
        <f t="shared" ref="I481:O481" si="150">SUMIF($H$475:$H$478,"конс*",I$475:I$478)</f>
        <v>54.54</v>
      </c>
      <c r="J481" s="14">
        <f t="shared" si="150"/>
        <v>15.8</v>
      </c>
      <c r="K481" s="14">
        <f t="shared" si="150"/>
        <v>15.6</v>
      </c>
      <c r="L481" s="14">
        <f t="shared" si="150"/>
        <v>23.14</v>
      </c>
      <c r="M481" s="14">
        <f t="shared" si="150"/>
        <v>0</v>
      </c>
      <c r="N481" s="14">
        <f t="shared" si="150"/>
        <v>0</v>
      </c>
      <c r="O481" s="14">
        <f t="shared" si="150"/>
        <v>0</v>
      </c>
      <c r="P481" s="129"/>
      <c r="Q481" s="7"/>
    </row>
    <row r="482" spans="2:18" ht="15.75" x14ac:dyDescent="0.2">
      <c r="B482" s="130"/>
      <c r="C482" s="130"/>
      <c r="D482" s="130"/>
      <c r="E482" s="130"/>
      <c r="F482" s="130"/>
      <c r="G482" s="130"/>
      <c r="H482" s="95" t="s">
        <v>5</v>
      </c>
      <c r="I482" s="14">
        <f t="shared" ref="I482:O482" si="151">SUMIF($H$475:$H$478,"вне*",I$475:I$478)</f>
        <v>0</v>
      </c>
      <c r="J482" s="14">
        <f t="shared" si="151"/>
        <v>0</v>
      </c>
      <c r="K482" s="14">
        <f t="shared" si="151"/>
        <v>0</v>
      </c>
      <c r="L482" s="14">
        <f t="shared" si="151"/>
        <v>0</v>
      </c>
      <c r="M482" s="14">
        <f t="shared" si="151"/>
        <v>0</v>
      </c>
      <c r="N482" s="14">
        <f t="shared" si="151"/>
        <v>0</v>
      </c>
      <c r="O482" s="14">
        <f t="shared" si="151"/>
        <v>0</v>
      </c>
      <c r="P482" s="130"/>
      <c r="Q482" s="7"/>
    </row>
    <row r="483" spans="2:18" ht="25.5" customHeight="1" x14ac:dyDescent="0.2">
      <c r="B483" s="111" t="s">
        <v>453</v>
      </c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3"/>
    </row>
    <row r="484" spans="2:18" ht="42.75" outlineLevel="1" x14ac:dyDescent="0.2">
      <c r="B484" s="117" t="s">
        <v>1397</v>
      </c>
      <c r="C484" s="117"/>
      <c r="D484" s="117" t="s">
        <v>1398</v>
      </c>
      <c r="E484" s="117" t="s">
        <v>1265</v>
      </c>
      <c r="F484" s="117"/>
      <c r="G484" s="117" t="s">
        <v>83</v>
      </c>
      <c r="H484" s="95" t="s">
        <v>3</v>
      </c>
      <c r="I484" s="94">
        <f>SUM(J484:O484)</f>
        <v>0.4</v>
      </c>
      <c r="J484" s="94">
        <f t="shared" ref="J484:O484" si="152">J485+J486+J487</f>
        <v>0.4</v>
      </c>
      <c r="K484" s="94">
        <f t="shared" si="152"/>
        <v>0</v>
      </c>
      <c r="L484" s="94">
        <f t="shared" si="152"/>
        <v>0</v>
      </c>
      <c r="M484" s="94">
        <f t="shared" si="152"/>
        <v>0</v>
      </c>
      <c r="N484" s="94">
        <f t="shared" si="152"/>
        <v>0</v>
      </c>
      <c r="O484" s="94">
        <f t="shared" si="152"/>
        <v>0</v>
      </c>
      <c r="P484" s="117"/>
    </row>
    <row r="485" spans="2:18" outlineLevel="1" x14ac:dyDescent="0.2">
      <c r="B485" s="118"/>
      <c r="C485" s="132"/>
      <c r="D485" s="118"/>
      <c r="E485" s="118"/>
      <c r="F485" s="118"/>
      <c r="G485" s="118"/>
      <c r="H485" s="95" t="s">
        <v>4</v>
      </c>
      <c r="I485" s="94">
        <f t="shared" ref="I485:I487" si="153">SUM(J485:O485)</f>
        <v>0</v>
      </c>
      <c r="J485" s="94"/>
      <c r="K485" s="94"/>
      <c r="L485" s="94"/>
      <c r="M485" s="94"/>
      <c r="N485" s="94"/>
      <c r="O485" s="94"/>
      <c r="P485" s="118"/>
    </row>
    <row r="486" spans="2:18" outlineLevel="1" x14ac:dyDescent="0.2">
      <c r="B486" s="118"/>
      <c r="C486" s="132"/>
      <c r="D486" s="118"/>
      <c r="E486" s="118"/>
      <c r="F486" s="118"/>
      <c r="G486" s="118"/>
      <c r="H486" s="95" t="s">
        <v>6</v>
      </c>
      <c r="I486" s="94">
        <f t="shared" si="153"/>
        <v>0.4</v>
      </c>
      <c r="J486" s="94">
        <v>0.4</v>
      </c>
      <c r="K486" s="94"/>
      <c r="L486" s="94"/>
      <c r="M486" s="94"/>
      <c r="N486" s="94"/>
      <c r="O486" s="94"/>
      <c r="P486" s="118"/>
    </row>
    <row r="487" spans="2:18" outlineLevel="1" x14ac:dyDescent="0.2">
      <c r="B487" s="119"/>
      <c r="C487" s="133"/>
      <c r="D487" s="119"/>
      <c r="E487" s="119"/>
      <c r="F487" s="119"/>
      <c r="G487" s="119"/>
      <c r="H487" s="95" t="s">
        <v>5</v>
      </c>
      <c r="I487" s="94">
        <f t="shared" si="153"/>
        <v>0</v>
      </c>
      <c r="J487" s="94"/>
      <c r="K487" s="94"/>
      <c r="L487" s="94"/>
      <c r="M487" s="94"/>
      <c r="N487" s="94"/>
      <c r="O487" s="94"/>
      <c r="P487" s="119"/>
    </row>
    <row r="488" spans="2:18" ht="42.75" x14ac:dyDescent="0.2">
      <c r="B488" s="128" t="s">
        <v>492</v>
      </c>
      <c r="C488" s="128" t="s">
        <v>38</v>
      </c>
      <c r="D488" s="128" t="s">
        <v>38</v>
      </c>
      <c r="E488" s="128" t="s">
        <v>38</v>
      </c>
      <c r="F488" s="128" t="s">
        <v>38</v>
      </c>
      <c r="G488" s="128" t="s">
        <v>38</v>
      </c>
      <c r="H488" s="95" t="s">
        <v>3</v>
      </c>
      <c r="I488" s="14">
        <f t="shared" ref="I488:O488" si="154">SUMIF($H$484:$H$487,"Объем*",I$484:I$487)</f>
        <v>0.4</v>
      </c>
      <c r="J488" s="14">
        <f t="shared" si="154"/>
        <v>0.4</v>
      </c>
      <c r="K488" s="14">
        <f t="shared" si="154"/>
        <v>0</v>
      </c>
      <c r="L488" s="14">
        <f t="shared" si="154"/>
        <v>0</v>
      </c>
      <c r="M488" s="14">
        <f t="shared" si="154"/>
        <v>0</v>
      </c>
      <c r="N488" s="14">
        <f t="shared" si="154"/>
        <v>0</v>
      </c>
      <c r="O488" s="14">
        <f t="shared" si="154"/>
        <v>0</v>
      </c>
      <c r="P488" s="128"/>
      <c r="Q488" s="7"/>
    </row>
    <row r="489" spans="2:18" ht="15.75" x14ac:dyDescent="0.2">
      <c r="B489" s="129"/>
      <c r="C489" s="129"/>
      <c r="D489" s="129"/>
      <c r="E489" s="129"/>
      <c r="F489" s="129"/>
      <c r="G489" s="129"/>
      <c r="H489" s="95" t="s">
        <v>4</v>
      </c>
      <c r="I489" s="14">
        <f t="shared" ref="I489:O489" si="155">SUMIF($H$484:$H$487,"фед*",I$484:I$487)</f>
        <v>0</v>
      </c>
      <c r="J489" s="14">
        <f t="shared" si="155"/>
        <v>0</v>
      </c>
      <c r="K489" s="14">
        <f t="shared" si="155"/>
        <v>0</v>
      </c>
      <c r="L489" s="14">
        <f t="shared" si="155"/>
        <v>0</v>
      </c>
      <c r="M489" s="14">
        <f t="shared" si="155"/>
        <v>0</v>
      </c>
      <c r="N489" s="14">
        <f t="shared" si="155"/>
        <v>0</v>
      </c>
      <c r="O489" s="14">
        <f t="shared" si="155"/>
        <v>0</v>
      </c>
      <c r="P489" s="129"/>
      <c r="Q489" s="7"/>
    </row>
    <row r="490" spans="2:18" ht="15.75" x14ac:dyDescent="0.2">
      <c r="B490" s="129"/>
      <c r="C490" s="129"/>
      <c r="D490" s="129"/>
      <c r="E490" s="129"/>
      <c r="F490" s="129"/>
      <c r="G490" s="129"/>
      <c r="H490" s="95" t="s">
        <v>6</v>
      </c>
      <c r="I490" s="14">
        <f t="shared" ref="I490:O490" si="156">SUMIF($H$484:$H$487,"конс*",I$484:I$487)</f>
        <v>0.4</v>
      </c>
      <c r="J490" s="14">
        <f t="shared" si="156"/>
        <v>0.4</v>
      </c>
      <c r="K490" s="14">
        <f t="shared" si="156"/>
        <v>0</v>
      </c>
      <c r="L490" s="14">
        <f t="shared" si="156"/>
        <v>0</v>
      </c>
      <c r="M490" s="14">
        <f t="shared" si="156"/>
        <v>0</v>
      </c>
      <c r="N490" s="14">
        <f t="shared" si="156"/>
        <v>0</v>
      </c>
      <c r="O490" s="14">
        <f t="shared" si="156"/>
        <v>0</v>
      </c>
      <c r="P490" s="129"/>
      <c r="Q490" s="7"/>
    </row>
    <row r="491" spans="2:18" ht="15.75" x14ac:dyDescent="0.2">
      <c r="B491" s="130"/>
      <c r="C491" s="130"/>
      <c r="D491" s="130"/>
      <c r="E491" s="130"/>
      <c r="F491" s="130"/>
      <c r="G491" s="130"/>
      <c r="H491" s="95" t="s">
        <v>5</v>
      </c>
      <c r="I491" s="14">
        <f t="shared" ref="I491:O491" si="157">SUMIF($H$484:$H$487,"вне*",I$484:I$487)</f>
        <v>0</v>
      </c>
      <c r="J491" s="14">
        <f t="shared" si="157"/>
        <v>0</v>
      </c>
      <c r="K491" s="14">
        <f t="shared" si="157"/>
        <v>0</v>
      </c>
      <c r="L491" s="14">
        <f t="shared" si="157"/>
        <v>0</v>
      </c>
      <c r="M491" s="14">
        <f t="shared" si="157"/>
        <v>0</v>
      </c>
      <c r="N491" s="14">
        <f t="shared" si="157"/>
        <v>0</v>
      </c>
      <c r="O491" s="14">
        <f t="shared" si="157"/>
        <v>0</v>
      </c>
      <c r="P491" s="130"/>
      <c r="Q491" s="7"/>
      <c r="R491" s="7"/>
    </row>
    <row r="492" spans="2:18" ht="25.5" customHeight="1" x14ac:dyDescent="0.2">
      <c r="B492" s="111" t="s">
        <v>493</v>
      </c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3"/>
    </row>
    <row r="493" spans="2:18" ht="42.75" outlineLevel="1" x14ac:dyDescent="0.2">
      <c r="B493" s="178" t="s">
        <v>1399</v>
      </c>
      <c r="C493" s="178"/>
      <c r="D493" s="178" t="s">
        <v>493</v>
      </c>
      <c r="E493" s="178">
        <v>2021</v>
      </c>
      <c r="F493" s="178" t="s">
        <v>1375</v>
      </c>
      <c r="G493" s="178" t="s">
        <v>107</v>
      </c>
      <c r="H493" s="95" t="s">
        <v>3</v>
      </c>
      <c r="I493" s="94">
        <f>SUM(J493:O493)</f>
        <v>180</v>
      </c>
      <c r="J493" s="94">
        <f t="shared" ref="J493:O493" si="158">J494+J495+J496</f>
        <v>0</v>
      </c>
      <c r="K493" s="94">
        <f t="shared" si="158"/>
        <v>180</v>
      </c>
      <c r="L493" s="94">
        <f t="shared" si="158"/>
        <v>0</v>
      </c>
      <c r="M493" s="94">
        <f t="shared" si="158"/>
        <v>0</v>
      </c>
      <c r="N493" s="94">
        <f t="shared" si="158"/>
        <v>0</v>
      </c>
      <c r="O493" s="94">
        <f t="shared" si="158"/>
        <v>0</v>
      </c>
      <c r="P493" s="178"/>
    </row>
    <row r="494" spans="2:18" outlineLevel="1" x14ac:dyDescent="0.2">
      <c r="B494" s="178"/>
      <c r="C494" s="143"/>
      <c r="D494" s="178"/>
      <c r="E494" s="178"/>
      <c r="F494" s="178"/>
      <c r="G494" s="178"/>
      <c r="H494" s="95" t="s">
        <v>4</v>
      </c>
      <c r="I494" s="94">
        <f t="shared" ref="I494:I504" si="159">SUM(J494:O494)</f>
        <v>0</v>
      </c>
      <c r="J494" s="94"/>
      <c r="K494" s="94"/>
      <c r="L494" s="94"/>
      <c r="M494" s="94"/>
      <c r="N494" s="94"/>
      <c r="O494" s="94"/>
      <c r="P494" s="178"/>
    </row>
    <row r="495" spans="2:18" outlineLevel="1" x14ac:dyDescent="0.2">
      <c r="B495" s="178"/>
      <c r="C495" s="143"/>
      <c r="D495" s="178"/>
      <c r="E495" s="178"/>
      <c r="F495" s="178"/>
      <c r="G495" s="178"/>
      <c r="H495" s="95" t="s">
        <v>6</v>
      </c>
      <c r="I495" s="94">
        <f t="shared" si="159"/>
        <v>180</v>
      </c>
      <c r="J495" s="94"/>
      <c r="K495" s="94">
        <v>180</v>
      </c>
      <c r="L495" s="94"/>
      <c r="M495" s="94"/>
      <c r="N495" s="94"/>
      <c r="O495" s="94"/>
      <c r="P495" s="178"/>
    </row>
    <row r="496" spans="2:18" outlineLevel="1" x14ac:dyDescent="0.2">
      <c r="B496" s="178"/>
      <c r="C496" s="143"/>
      <c r="D496" s="178"/>
      <c r="E496" s="178"/>
      <c r="F496" s="178"/>
      <c r="G496" s="178"/>
      <c r="H496" s="95" t="s">
        <v>5</v>
      </c>
      <c r="I496" s="94">
        <f t="shared" si="159"/>
        <v>0</v>
      </c>
      <c r="J496" s="94"/>
      <c r="K496" s="94"/>
      <c r="L496" s="94"/>
      <c r="M496" s="94"/>
      <c r="N496" s="94"/>
      <c r="O496" s="94"/>
      <c r="P496" s="178"/>
    </row>
    <row r="497" spans="2:18" ht="42.75" outlineLevel="1" x14ac:dyDescent="0.2">
      <c r="B497" s="178" t="s">
        <v>1400</v>
      </c>
      <c r="C497" s="178"/>
      <c r="D497" s="178" t="s">
        <v>1170</v>
      </c>
      <c r="E497" s="178">
        <v>2020</v>
      </c>
      <c r="F497" s="178" t="s">
        <v>1401</v>
      </c>
      <c r="G497" s="178" t="s">
        <v>101</v>
      </c>
      <c r="H497" s="95" t="s">
        <v>3</v>
      </c>
      <c r="I497" s="94">
        <f t="shared" si="159"/>
        <v>111.8</v>
      </c>
      <c r="J497" s="94">
        <v>111.8</v>
      </c>
      <c r="K497" s="94">
        <v>0</v>
      </c>
      <c r="L497" s="94">
        <v>0</v>
      </c>
      <c r="M497" s="94">
        <f t="shared" ref="M497:O497" si="160">M498+M499+M500</f>
        <v>0</v>
      </c>
      <c r="N497" s="94">
        <f t="shared" si="160"/>
        <v>0</v>
      </c>
      <c r="O497" s="94">
        <f t="shared" si="160"/>
        <v>0</v>
      </c>
      <c r="P497" s="178"/>
    </row>
    <row r="498" spans="2:18" outlineLevel="1" x14ac:dyDescent="0.2">
      <c r="B498" s="178"/>
      <c r="C498" s="143"/>
      <c r="D498" s="178"/>
      <c r="E498" s="178"/>
      <c r="F498" s="178"/>
      <c r="G498" s="178"/>
      <c r="H498" s="95" t="s">
        <v>4</v>
      </c>
      <c r="I498" s="94">
        <f t="shared" si="159"/>
        <v>0</v>
      </c>
      <c r="J498" s="94"/>
      <c r="K498" s="94"/>
      <c r="L498" s="94"/>
      <c r="M498" s="94"/>
      <c r="N498" s="94"/>
      <c r="O498" s="94"/>
      <c r="P498" s="178"/>
    </row>
    <row r="499" spans="2:18" outlineLevel="1" x14ac:dyDescent="0.2">
      <c r="B499" s="178"/>
      <c r="C499" s="143"/>
      <c r="D499" s="178"/>
      <c r="E499" s="178"/>
      <c r="F499" s="178"/>
      <c r="G499" s="178"/>
      <c r="H499" s="95" t="s">
        <v>6</v>
      </c>
      <c r="I499" s="94">
        <f t="shared" si="159"/>
        <v>111.8</v>
      </c>
      <c r="J499" s="94">
        <v>111.8</v>
      </c>
      <c r="K499" s="94"/>
      <c r="L499" s="94"/>
      <c r="M499" s="94"/>
      <c r="N499" s="94"/>
      <c r="O499" s="94"/>
      <c r="P499" s="178"/>
    </row>
    <row r="500" spans="2:18" outlineLevel="1" x14ac:dyDescent="0.2">
      <c r="B500" s="178"/>
      <c r="C500" s="143"/>
      <c r="D500" s="178"/>
      <c r="E500" s="178"/>
      <c r="F500" s="178"/>
      <c r="G500" s="178"/>
      <c r="H500" s="95" t="s">
        <v>5</v>
      </c>
      <c r="I500" s="94">
        <f t="shared" si="159"/>
        <v>0</v>
      </c>
      <c r="J500" s="94"/>
      <c r="K500" s="94"/>
      <c r="L500" s="94"/>
      <c r="M500" s="94"/>
      <c r="N500" s="94"/>
      <c r="O500" s="94"/>
      <c r="P500" s="178"/>
    </row>
    <row r="501" spans="2:18" ht="42.75" outlineLevel="1" x14ac:dyDescent="0.2">
      <c r="B501" s="178" t="s">
        <v>1402</v>
      </c>
      <c r="C501" s="178"/>
      <c r="D501" s="178" t="s">
        <v>493</v>
      </c>
      <c r="E501" s="178">
        <v>2020</v>
      </c>
      <c r="F501" s="178" t="s">
        <v>1403</v>
      </c>
      <c r="G501" s="178" t="s">
        <v>101</v>
      </c>
      <c r="H501" s="95" t="s">
        <v>3</v>
      </c>
      <c r="I501" s="94">
        <f t="shared" si="159"/>
        <v>8.6999999999999993</v>
      </c>
      <c r="J501" s="94">
        <v>8.6999999999999993</v>
      </c>
      <c r="K501" s="94">
        <v>0</v>
      </c>
      <c r="L501" s="94">
        <v>0</v>
      </c>
      <c r="M501" s="94">
        <f t="shared" ref="M501:O501" si="161">M502+M503+M504</f>
        <v>0</v>
      </c>
      <c r="N501" s="94">
        <f t="shared" si="161"/>
        <v>0</v>
      </c>
      <c r="O501" s="94">
        <f t="shared" si="161"/>
        <v>0</v>
      </c>
      <c r="P501" s="178"/>
    </row>
    <row r="502" spans="2:18" outlineLevel="1" x14ac:dyDescent="0.2">
      <c r="B502" s="178"/>
      <c r="C502" s="143"/>
      <c r="D502" s="178"/>
      <c r="E502" s="178"/>
      <c r="F502" s="178"/>
      <c r="G502" s="178"/>
      <c r="H502" s="95" t="s">
        <v>4</v>
      </c>
      <c r="I502" s="94">
        <f t="shared" si="159"/>
        <v>0</v>
      </c>
      <c r="J502" s="94"/>
      <c r="K502" s="94"/>
      <c r="L502" s="94"/>
      <c r="M502" s="94"/>
      <c r="N502" s="94"/>
      <c r="O502" s="94"/>
      <c r="P502" s="178"/>
    </row>
    <row r="503" spans="2:18" outlineLevel="1" x14ac:dyDescent="0.2">
      <c r="B503" s="178"/>
      <c r="C503" s="143"/>
      <c r="D503" s="178"/>
      <c r="E503" s="178"/>
      <c r="F503" s="178"/>
      <c r="G503" s="178"/>
      <c r="H503" s="95" t="s">
        <v>6</v>
      </c>
      <c r="I503" s="94">
        <f t="shared" si="159"/>
        <v>8.6999999999999993</v>
      </c>
      <c r="J503" s="94">
        <v>8.6999999999999993</v>
      </c>
      <c r="K503" s="94"/>
      <c r="L503" s="94"/>
      <c r="M503" s="94"/>
      <c r="N503" s="94"/>
      <c r="O503" s="94"/>
      <c r="P503" s="178"/>
    </row>
    <row r="504" spans="2:18" outlineLevel="1" x14ac:dyDescent="0.2">
      <c r="B504" s="178"/>
      <c r="C504" s="143"/>
      <c r="D504" s="178"/>
      <c r="E504" s="178"/>
      <c r="F504" s="178"/>
      <c r="G504" s="178"/>
      <c r="H504" s="95" t="s">
        <v>5</v>
      </c>
      <c r="I504" s="94">
        <f t="shared" si="159"/>
        <v>0</v>
      </c>
      <c r="J504" s="94"/>
      <c r="K504" s="94"/>
      <c r="L504" s="94"/>
      <c r="M504" s="94"/>
      <c r="N504" s="94"/>
      <c r="O504" s="94"/>
      <c r="P504" s="178"/>
    </row>
    <row r="505" spans="2:18" ht="42.75" x14ac:dyDescent="0.2">
      <c r="B505" s="128" t="s">
        <v>510</v>
      </c>
      <c r="C505" s="128" t="s">
        <v>38</v>
      </c>
      <c r="D505" s="128" t="s">
        <v>38</v>
      </c>
      <c r="E505" s="128" t="s">
        <v>38</v>
      </c>
      <c r="F505" s="128" t="s">
        <v>38</v>
      </c>
      <c r="G505" s="128" t="s">
        <v>38</v>
      </c>
      <c r="H505" s="95" t="s">
        <v>3</v>
      </c>
      <c r="I505" s="14">
        <f t="shared" ref="I505:O505" si="162">SUMIF($H$493:$H$504,"Объем*",I$493:I$504)</f>
        <v>300.5</v>
      </c>
      <c r="J505" s="14">
        <f t="shared" si="162"/>
        <v>120.5</v>
      </c>
      <c r="K505" s="14">
        <f t="shared" si="162"/>
        <v>180</v>
      </c>
      <c r="L505" s="14">
        <f t="shared" si="162"/>
        <v>0</v>
      </c>
      <c r="M505" s="14">
        <f t="shared" si="162"/>
        <v>0</v>
      </c>
      <c r="N505" s="14">
        <f t="shared" si="162"/>
        <v>0</v>
      </c>
      <c r="O505" s="14">
        <f t="shared" si="162"/>
        <v>0</v>
      </c>
      <c r="P505" s="128"/>
      <c r="Q505" s="7"/>
    </row>
    <row r="506" spans="2:18" ht="15.75" x14ac:dyDescent="0.2">
      <c r="B506" s="129"/>
      <c r="C506" s="129"/>
      <c r="D506" s="129"/>
      <c r="E506" s="129"/>
      <c r="F506" s="129"/>
      <c r="G506" s="129"/>
      <c r="H506" s="95" t="s">
        <v>4</v>
      </c>
      <c r="I506" s="14">
        <f t="shared" ref="I506:O506" si="163">SUMIF($H$493:$H$504,"фед*",I$493:I$504)</f>
        <v>0</v>
      </c>
      <c r="J506" s="14">
        <f t="shared" si="163"/>
        <v>0</v>
      </c>
      <c r="K506" s="14">
        <f t="shared" si="163"/>
        <v>0</v>
      </c>
      <c r="L506" s="14">
        <f t="shared" si="163"/>
        <v>0</v>
      </c>
      <c r="M506" s="14">
        <f t="shared" si="163"/>
        <v>0</v>
      </c>
      <c r="N506" s="14">
        <f t="shared" si="163"/>
        <v>0</v>
      </c>
      <c r="O506" s="14">
        <f t="shared" si="163"/>
        <v>0</v>
      </c>
      <c r="P506" s="129"/>
      <c r="Q506" s="7"/>
    </row>
    <row r="507" spans="2:18" ht="15.75" x14ac:dyDescent="0.2">
      <c r="B507" s="129"/>
      <c r="C507" s="129"/>
      <c r="D507" s="129"/>
      <c r="E507" s="129"/>
      <c r="F507" s="129"/>
      <c r="G507" s="129"/>
      <c r="H507" s="95" t="s">
        <v>6</v>
      </c>
      <c r="I507" s="14">
        <f t="shared" ref="I507:O507" si="164">SUMIF($H$493:$H$504,"конс*",I$493:I$504)</f>
        <v>300.5</v>
      </c>
      <c r="J507" s="14">
        <f t="shared" si="164"/>
        <v>120.5</v>
      </c>
      <c r="K507" s="14">
        <f t="shared" si="164"/>
        <v>180</v>
      </c>
      <c r="L507" s="14">
        <f t="shared" si="164"/>
        <v>0</v>
      </c>
      <c r="M507" s="14">
        <f t="shared" si="164"/>
        <v>0</v>
      </c>
      <c r="N507" s="14">
        <f t="shared" si="164"/>
        <v>0</v>
      </c>
      <c r="O507" s="14">
        <f t="shared" si="164"/>
        <v>0</v>
      </c>
      <c r="P507" s="129"/>
      <c r="Q507" s="7"/>
    </row>
    <row r="508" spans="2:18" ht="15.75" x14ac:dyDescent="0.2">
      <c r="B508" s="130"/>
      <c r="C508" s="130"/>
      <c r="D508" s="130"/>
      <c r="E508" s="130"/>
      <c r="F508" s="130"/>
      <c r="G508" s="130"/>
      <c r="H508" s="95" t="s">
        <v>5</v>
      </c>
      <c r="I508" s="14">
        <f t="shared" ref="I508:O508" si="165">SUMIF($H$493:$H$504,"вне*",I$493:I$504)</f>
        <v>0</v>
      </c>
      <c r="J508" s="14">
        <f t="shared" si="165"/>
        <v>0</v>
      </c>
      <c r="K508" s="14">
        <f t="shared" si="165"/>
        <v>0</v>
      </c>
      <c r="L508" s="14">
        <f t="shared" si="165"/>
        <v>0</v>
      </c>
      <c r="M508" s="14">
        <f t="shared" si="165"/>
        <v>0</v>
      </c>
      <c r="N508" s="14">
        <f t="shared" si="165"/>
        <v>0</v>
      </c>
      <c r="O508" s="14">
        <f t="shared" si="165"/>
        <v>0</v>
      </c>
      <c r="P508" s="130"/>
      <c r="Q508" s="7"/>
      <c r="R508" s="7"/>
    </row>
    <row r="509" spans="2:18" ht="25.5" customHeight="1" x14ac:dyDescent="0.2">
      <c r="B509" s="111" t="s">
        <v>511</v>
      </c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3"/>
    </row>
    <row r="510" spans="2:18" ht="42.75" outlineLevel="1" x14ac:dyDescent="0.2">
      <c r="B510" s="117" t="s">
        <v>1404</v>
      </c>
      <c r="C510" s="117"/>
      <c r="D510" s="117" t="s">
        <v>511</v>
      </c>
      <c r="E510" s="117">
        <v>2021</v>
      </c>
      <c r="F510" s="117"/>
      <c r="G510" s="117" t="s">
        <v>63</v>
      </c>
      <c r="H510" s="95" t="s">
        <v>3</v>
      </c>
      <c r="I510" s="94">
        <f>SUM(J510:O510)</f>
        <v>32</v>
      </c>
      <c r="J510" s="94">
        <f t="shared" ref="J510:O510" si="166">J511+J512+J513</f>
        <v>0</v>
      </c>
      <c r="K510" s="94">
        <f t="shared" si="166"/>
        <v>32</v>
      </c>
      <c r="L510" s="94">
        <f t="shared" si="166"/>
        <v>0</v>
      </c>
      <c r="M510" s="94">
        <v>0</v>
      </c>
      <c r="N510" s="94">
        <f t="shared" si="166"/>
        <v>0</v>
      </c>
      <c r="O510" s="94">
        <f t="shared" si="166"/>
        <v>0</v>
      </c>
      <c r="P510" s="117">
        <v>708</v>
      </c>
    </row>
    <row r="511" spans="2:18" outlineLevel="1" x14ac:dyDescent="0.2">
      <c r="B511" s="118"/>
      <c r="C511" s="132"/>
      <c r="D511" s="118"/>
      <c r="E511" s="118"/>
      <c r="F511" s="118"/>
      <c r="G511" s="118"/>
      <c r="H511" s="95" t="s">
        <v>4</v>
      </c>
      <c r="I511" s="94"/>
      <c r="J511" s="94"/>
      <c r="K511" s="94"/>
      <c r="L511" s="94"/>
      <c r="M511" s="94"/>
      <c r="N511" s="94"/>
      <c r="O511" s="94"/>
      <c r="P511" s="118"/>
    </row>
    <row r="512" spans="2:18" outlineLevel="1" x14ac:dyDescent="0.2">
      <c r="B512" s="118"/>
      <c r="C512" s="132"/>
      <c r="D512" s="118"/>
      <c r="E512" s="118"/>
      <c r="F512" s="118"/>
      <c r="G512" s="118"/>
      <c r="H512" s="95" t="s">
        <v>6</v>
      </c>
      <c r="I512" s="94">
        <f>SUM(J512:O512)</f>
        <v>32</v>
      </c>
      <c r="J512" s="94"/>
      <c r="K512" s="94">
        <v>32</v>
      </c>
      <c r="L512" s="94"/>
      <c r="M512" s="94"/>
      <c r="N512" s="94"/>
      <c r="O512" s="94"/>
      <c r="P512" s="118"/>
    </row>
    <row r="513" spans="2:18" outlineLevel="1" x14ac:dyDescent="0.2">
      <c r="B513" s="119"/>
      <c r="C513" s="133"/>
      <c r="D513" s="119"/>
      <c r="E513" s="119"/>
      <c r="F513" s="119"/>
      <c r="G513" s="119"/>
      <c r="H513" s="95" t="s">
        <v>5</v>
      </c>
      <c r="I513" s="94"/>
      <c r="J513" s="94"/>
      <c r="K513" s="94"/>
      <c r="L513" s="94"/>
      <c r="M513" s="94"/>
      <c r="N513" s="94"/>
      <c r="O513" s="94"/>
      <c r="P513" s="119"/>
    </row>
    <row r="514" spans="2:18" ht="42.75" outlineLevel="1" x14ac:dyDescent="0.2">
      <c r="B514" s="117" t="s">
        <v>1405</v>
      </c>
      <c r="C514" s="117"/>
      <c r="D514" s="117" t="s">
        <v>511</v>
      </c>
      <c r="E514" s="117">
        <v>2021</v>
      </c>
      <c r="F514" s="117"/>
      <c r="G514" s="117" t="s">
        <v>63</v>
      </c>
      <c r="H514" s="95" t="s">
        <v>3</v>
      </c>
      <c r="I514" s="94">
        <f>SUM(J514:O514)</f>
        <v>10</v>
      </c>
      <c r="J514" s="94">
        <v>0</v>
      </c>
      <c r="K514" s="94">
        <f>K515+K516+K517</f>
        <v>10</v>
      </c>
      <c r="L514" s="94">
        <f t="shared" ref="L514:O514" si="167">L515+L516+L517</f>
        <v>0</v>
      </c>
      <c r="M514" s="94">
        <f t="shared" si="167"/>
        <v>0</v>
      </c>
      <c r="N514" s="94">
        <f t="shared" si="167"/>
        <v>0</v>
      </c>
      <c r="O514" s="94">
        <f t="shared" si="167"/>
        <v>0</v>
      </c>
      <c r="P514" s="117">
        <v>133</v>
      </c>
    </row>
    <row r="515" spans="2:18" outlineLevel="1" x14ac:dyDescent="0.2">
      <c r="B515" s="118"/>
      <c r="C515" s="132"/>
      <c r="D515" s="118"/>
      <c r="E515" s="118"/>
      <c r="F515" s="118"/>
      <c r="G515" s="118"/>
      <c r="H515" s="95" t="s">
        <v>4</v>
      </c>
      <c r="I515" s="94"/>
      <c r="J515" s="94"/>
      <c r="K515" s="94"/>
      <c r="L515" s="94"/>
      <c r="M515" s="94"/>
      <c r="N515" s="94"/>
      <c r="O515" s="94"/>
      <c r="P515" s="118"/>
    </row>
    <row r="516" spans="2:18" outlineLevel="1" x14ac:dyDescent="0.2">
      <c r="B516" s="118"/>
      <c r="C516" s="132"/>
      <c r="D516" s="118"/>
      <c r="E516" s="118"/>
      <c r="F516" s="118"/>
      <c r="G516" s="118"/>
      <c r="H516" s="95" t="s">
        <v>6</v>
      </c>
      <c r="I516" s="94">
        <f>SUM(J516:O516)</f>
        <v>10</v>
      </c>
      <c r="J516" s="94"/>
      <c r="K516" s="94">
        <v>10</v>
      </c>
      <c r="L516" s="94"/>
      <c r="M516" s="94"/>
      <c r="N516" s="94"/>
      <c r="O516" s="94"/>
      <c r="P516" s="118"/>
    </row>
    <row r="517" spans="2:18" outlineLevel="1" x14ac:dyDescent="0.2">
      <c r="B517" s="119"/>
      <c r="C517" s="133"/>
      <c r="D517" s="119"/>
      <c r="E517" s="119"/>
      <c r="F517" s="119"/>
      <c r="G517" s="119"/>
      <c r="H517" s="95" t="s">
        <v>5</v>
      </c>
      <c r="I517" s="94"/>
      <c r="J517" s="94"/>
      <c r="K517" s="94"/>
      <c r="L517" s="94"/>
      <c r="M517" s="94"/>
      <c r="N517" s="94"/>
      <c r="O517" s="94"/>
      <c r="P517" s="119"/>
    </row>
    <row r="518" spans="2:18" ht="42.75" x14ac:dyDescent="0.2">
      <c r="B518" s="128" t="s">
        <v>519</v>
      </c>
      <c r="C518" s="128" t="s">
        <v>38</v>
      </c>
      <c r="D518" s="128" t="s">
        <v>38</v>
      </c>
      <c r="E518" s="128" t="s">
        <v>38</v>
      </c>
      <c r="F518" s="128" t="s">
        <v>38</v>
      </c>
      <c r="G518" s="128" t="s">
        <v>38</v>
      </c>
      <c r="H518" s="95" t="s">
        <v>3</v>
      </c>
      <c r="I518" s="14">
        <f t="shared" ref="I518:O518" si="168">SUMIF($H$510:$H$517,"Объем*",I$510:I$517)</f>
        <v>42</v>
      </c>
      <c r="J518" s="14">
        <f t="shared" si="168"/>
        <v>0</v>
      </c>
      <c r="K518" s="14">
        <f t="shared" si="168"/>
        <v>42</v>
      </c>
      <c r="L518" s="14">
        <f t="shared" si="168"/>
        <v>0</v>
      </c>
      <c r="M518" s="14">
        <f t="shared" si="168"/>
        <v>0</v>
      </c>
      <c r="N518" s="14">
        <f t="shared" si="168"/>
        <v>0</v>
      </c>
      <c r="O518" s="14">
        <f t="shared" si="168"/>
        <v>0</v>
      </c>
      <c r="P518" s="128"/>
      <c r="Q518" s="7"/>
    </row>
    <row r="519" spans="2:18" ht="15.75" x14ac:dyDescent="0.2">
      <c r="B519" s="129"/>
      <c r="C519" s="129"/>
      <c r="D519" s="129"/>
      <c r="E519" s="129"/>
      <c r="F519" s="129"/>
      <c r="G519" s="129"/>
      <c r="H519" s="95" t="s">
        <v>4</v>
      </c>
      <c r="I519" s="14">
        <f t="shared" ref="I519:O519" si="169">SUMIF($H$510:$H$517,"фед*",I$510:I$517)</f>
        <v>0</v>
      </c>
      <c r="J519" s="14">
        <f t="shared" si="169"/>
        <v>0</v>
      </c>
      <c r="K519" s="14">
        <f t="shared" si="169"/>
        <v>0</v>
      </c>
      <c r="L519" s="14">
        <f t="shared" si="169"/>
        <v>0</v>
      </c>
      <c r="M519" s="14">
        <f t="shared" si="169"/>
        <v>0</v>
      </c>
      <c r="N519" s="14">
        <f t="shared" si="169"/>
        <v>0</v>
      </c>
      <c r="O519" s="14">
        <f t="shared" si="169"/>
        <v>0</v>
      </c>
      <c r="P519" s="129"/>
      <c r="Q519" s="7"/>
    </row>
    <row r="520" spans="2:18" ht="15.75" x14ac:dyDescent="0.2">
      <c r="B520" s="129"/>
      <c r="C520" s="129"/>
      <c r="D520" s="129"/>
      <c r="E520" s="129"/>
      <c r="F520" s="129"/>
      <c r="G520" s="129"/>
      <c r="H520" s="95" t="s">
        <v>6</v>
      </c>
      <c r="I520" s="14">
        <f t="shared" ref="I520:O520" si="170">SUMIF($H$510:$H$517,"конс*",I$510:I$517)</f>
        <v>42</v>
      </c>
      <c r="J520" s="14">
        <f t="shared" si="170"/>
        <v>0</v>
      </c>
      <c r="K520" s="14">
        <f t="shared" si="170"/>
        <v>42</v>
      </c>
      <c r="L520" s="14">
        <f t="shared" si="170"/>
        <v>0</v>
      </c>
      <c r="M520" s="14">
        <f t="shared" si="170"/>
        <v>0</v>
      </c>
      <c r="N520" s="14">
        <f t="shared" si="170"/>
        <v>0</v>
      </c>
      <c r="O520" s="14">
        <f t="shared" si="170"/>
        <v>0</v>
      </c>
      <c r="P520" s="129"/>
      <c r="Q520" s="7"/>
    </row>
    <row r="521" spans="2:18" ht="15.75" x14ac:dyDescent="0.2">
      <c r="B521" s="130"/>
      <c r="C521" s="130"/>
      <c r="D521" s="130"/>
      <c r="E521" s="130"/>
      <c r="F521" s="130"/>
      <c r="G521" s="130"/>
      <c r="H521" s="95" t="s">
        <v>5</v>
      </c>
      <c r="I521" s="14">
        <f t="shared" ref="I521:O521" si="171">SUMIF($H$510:$H$517,"вне*",I$510:I$517)</f>
        <v>0</v>
      </c>
      <c r="J521" s="14">
        <f t="shared" si="171"/>
        <v>0</v>
      </c>
      <c r="K521" s="14">
        <f t="shared" si="171"/>
        <v>0</v>
      </c>
      <c r="L521" s="14">
        <f t="shared" si="171"/>
        <v>0</v>
      </c>
      <c r="M521" s="14">
        <f t="shared" si="171"/>
        <v>0</v>
      </c>
      <c r="N521" s="14">
        <f t="shared" si="171"/>
        <v>0</v>
      </c>
      <c r="O521" s="14">
        <f t="shared" si="171"/>
        <v>0</v>
      </c>
      <c r="P521" s="130"/>
      <c r="Q521" s="7"/>
      <c r="R521" s="7"/>
    </row>
    <row r="522" spans="2:18" ht="25.5" customHeight="1" x14ac:dyDescent="0.2">
      <c r="B522" s="111" t="s">
        <v>520</v>
      </c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3"/>
    </row>
    <row r="523" spans="2:18" ht="42.75" outlineLevel="1" x14ac:dyDescent="0.2">
      <c r="B523" s="117" t="s">
        <v>1406</v>
      </c>
      <c r="C523" s="117"/>
      <c r="D523" s="117" t="s">
        <v>1407</v>
      </c>
      <c r="E523" s="117">
        <v>2022</v>
      </c>
      <c r="F523" s="117" t="s">
        <v>1047</v>
      </c>
      <c r="G523" s="117" t="s">
        <v>138</v>
      </c>
      <c r="H523" s="95" t="s">
        <v>3</v>
      </c>
      <c r="I523" s="94">
        <f>SUM(J523:O523)</f>
        <v>75.3</v>
      </c>
      <c r="J523" s="94">
        <v>0</v>
      </c>
      <c r="K523" s="94">
        <f t="shared" ref="K523:O523" si="172">K524+K525+K526</f>
        <v>0</v>
      </c>
      <c r="L523" s="94">
        <f t="shared" si="172"/>
        <v>75.3</v>
      </c>
      <c r="M523" s="94">
        <v>0</v>
      </c>
      <c r="N523" s="94">
        <f t="shared" si="172"/>
        <v>0</v>
      </c>
      <c r="O523" s="94">
        <f t="shared" si="172"/>
        <v>0</v>
      </c>
      <c r="P523" s="117">
        <v>3800</v>
      </c>
    </row>
    <row r="524" spans="2:18" outlineLevel="1" x14ac:dyDescent="0.2">
      <c r="B524" s="118"/>
      <c r="C524" s="132"/>
      <c r="D524" s="118"/>
      <c r="E524" s="118"/>
      <c r="F524" s="118"/>
      <c r="G524" s="118"/>
      <c r="H524" s="95" t="s">
        <v>4</v>
      </c>
      <c r="I524" s="94"/>
      <c r="J524" s="94"/>
      <c r="K524" s="94"/>
      <c r="L524" s="94"/>
      <c r="M524" s="94"/>
      <c r="N524" s="94"/>
      <c r="O524" s="94"/>
      <c r="P524" s="118"/>
    </row>
    <row r="525" spans="2:18" outlineLevel="1" x14ac:dyDescent="0.2">
      <c r="B525" s="118"/>
      <c r="C525" s="132"/>
      <c r="D525" s="118"/>
      <c r="E525" s="118"/>
      <c r="F525" s="118"/>
      <c r="G525" s="118"/>
      <c r="H525" s="95" t="s">
        <v>6</v>
      </c>
      <c r="I525" s="94">
        <f>SUM(J525:O525)</f>
        <v>75.3</v>
      </c>
      <c r="J525" s="94"/>
      <c r="K525" s="94"/>
      <c r="L525" s="94">
        <v>75.3</v>
      </c>
      <c r="M525" s="94"/>
      <c r="N525" s="94"/>
      <c r="O525" s="94"/>
      <c r="P525" s="118"/>
    </row>
    <row r="526" spans="2:18" outlineLevel="1" x14ac:dyDescent="0.2">
      <c r="B526" s="119"/>
      <c r="C526" s="133"/>
      <c r="D526" s="119"/>
      <c r="E526" s="119"/>
      <c r="F526" s="119"/>
      <c r="G526" s="119"/>
      <c r="H526" s="95" t="s">
        <v>5</v>
      </c>
      <c r="I526" s="94"/>
      <c r="J526" s="94"/>
      <c r="K526" s="94"/>
      <c r="L526" s="94"/>
      <c r="M526" s="94"/>
      <c r="N526" s="94"/>
      <c r="O526" s="94"/>
      <c r="P526" s="119"/>
    </row>
    <row r="527" spans="2:18" ht="42.75" outlineLevel="1" x14ac:dyDescent="0.2">
      <c r="B527" s="117" t="s">
        <v>1408</v>
      </c>
      <c r="C527" s="117"/>
      <c r="D527" s="117" t="s">
        <v>1407</v>
      </c>
      <c r="E527" s="117" t="s">
        <v>203</v>
      </c>
      <c r="F527" s="117" t="s">
        <v>1032</v>
      </c>
      <c r="G527" s="117" t="s">
        <v>101</v>
      </c>
      <c r="H527" s="95" t="s">
        <v>3</v>
      </c>
      <c r="I527" s="94">
        <f>SUM(J527:O527)</f>
        <v>31.2</v>
      </c>
      <c r="J527" s="94">
        <f t="shared" ref="J527:O527" si="173">J528+J529+J530</f>
        <v>15.6</v>
      </c>
      <c r="K527" s="94">
        <f t="shared" si="173"/>
        <v>15.6</v>
      </c>
      <c r="L527" s="94">
        <f t="shared" si="173"/>
        <v>0</v>
      </c>
      <c r="M527" s="94">
        <f t="shared" si="173"/>
        <v>0</v>
      </c>
      <c r="N527" s="94">
        <v>0</v>
      </c>
      <c r="O527" s="94">
        <f t="shared" si="173"/>
        <v>0</v>
      </c>
      <c r="P527" s="117"/>
    </row>
    <row r="528" spans="2:18" outlineLevel="1" x14ac:dyDescent="0.2">
      <c r="B528" s="118"/>
      <c r="C528" s="132"/>
      <c r="D528" s="118"/>
      <c r="E528" s="118"/>
      <c r="F528" s="118"/>
      <c r="G528" s="118"/>
      <c r="H528" s="95" t="s">
        <v>4</v>
      </c>
      <c r="I528" s="94"/>
      <c r="J528" s="94"/>
      <c r="K528" s="94"/>
      <c r="L528" s="94"/>
      <c r="M528" s="94"/>
      <c r="N528" s="94"/>
      <c r="O528" s="94"/>
      <c r="P528" s="118"/>
    </row>
    <row r="529" spans="2:17" outlineLevel="1" x14ac:dyDescent="0.2">
      <c r="B529" s="118"/>
      <c r="C529" s="132"/>
      <c r="D529" s="118"/>
      <c r="E529" s="118"/>
      <c r="F529" s="118"/>
      <c r="G529" s="118"/>
      <c r="H529" s="95" t="s">
        <v>6</v>
      </c>
      <c r="I529" s="94">
        <f>SUM(J529:O529)</f>
        <v>31.2</v>
      </c>
      <c r="J529" s="94">
        <v>15.6</v>
      </c>
      <c r="K529" s="94">
        <v>15.6</v>
      </c>
      <c r="L529" s="94"/>
      <c r="M529" s="94"/>
      <c r="N529" s="94"/>
      <c r="O529" s="94"/>
      <c r="P529" s="118"/>
    </row>
    <row r="530" spans="2:17" outlineLevel="1" x14ac:dyDescent="0.2">
      <c r="B530" s="119"/>
      <c r="C530" s="133"/>
      <c r="D530" s="119"/>
      <c r="E530" s="119"/>
      <c r="F530" s="119"/>
      <c r="G530" s="119"/>
      <c r="H530" s="95" t="s">
        <v>5</v>
      </c>
      <c r="I530" s="94"/>
      <c r="J530" s="94"/>
      <c r="K530" s="94"/>
      <c r="L530" s="94"/>
      <c r="M530" s="94"/>
      <c r="N530" s="94"/>
      <c r="O530" s="94"/>
      <c r="P530" s="119"/>
    </row>
    <row r="531" spans="2:17" ht="42.75" outlineLevel="1" x14ac:dyDescent="0.2">
      <c r="B531" s="150" t="s">
        <v>1409</v>
      </c>
      <c r="C531" s="117"/>
      <c r="D531" s="117" t="s">
        <v>1407</v>
      </c>
      <c r="E531" s="117" t="s">
        <v>61</v>
      </c>
      <c r="F531" s="117" t="s">
        <v>1410</v>
      </c>
      <c r="G531" s="117" t="s">
        <v>101</v>
      </c>
      <c r="H531" s="95" t="s">
        <v>3</v>
      </c>
      <c r="I531" s="94">
        <f>SUM(J531:O531)</f>
        <v>6.2</v>
      </c>
      <c r="J531" s="94">
        <v>0</v>
      </c>
      <c r="K531" s="94">
        <f t="shared" ref="K531:L531" si="174">K532+K533+K534</f>
        <v>0</v>
      </c>
      <c r="L531" s="94">
        <f t="shared" si="174"/>
        <v>6.2</v>
      </c>
      <c r="M531" s="94">
        <v>0</v>
      </c>
      <c r="N531" s="94">
        <f t="shared" ref="N531:O531" si="175">N532+N533+N534</f>
        <v>0</v>
      </c>
      <c r="O531" s="94">
        <f t="shared" si="175"/>
        <v>0</v>
      </c>
      <c r="P531" s="117"/>
    </row>
    <row r="532" spans="2:17" outlineLevel="1" x14ac:dyDescent="0.2">
      <c r="B532" s="151"/>
      <c r="C532" s="132"/>
      <c r="D532" s="118"/>
      <c r="E532" s="118"/>
      <c r="F532" s="118"/>
      <c r="G532" s="118"/>
      <c r="H532" s="95" t="s">
        <v>4</v>
      </c>
      <c r="I532" s="94"/>
      <c r="J532" s="94"/>
      <c r="K532" s="94"/>
      <c r="L532" s="94"/>
      <c r="M532" s="94"/>
      <c r="N532" s="94"/>
      <c r="O532" s="94"/>
      <c r="P532" s="118"/>
    </row>
    <row r="533" spans="2:17" outlineLevel="1" x14ac:dyDescent="0.2">
      <c r="B533" s="151"/>
      <c r="C533" s="132"/>
      <c r="D533" s="118"/>
      <c r="E533" s="118"/>
      <c r="F533" s="118"/>
      <c r="G533" s="118"/>
      <c r="H533" s="95" t="s">
        <v>6</v>
      </c>
      <c r="I533" s="94">
        <f>SUM(J533:O533)</f>
        <v>6.2</v>
      </c>
      <c r="J533" s="94"/>
      <c r="K533" s="94"/>
      <c r="L533" s="94">
        <v>6.2</v>
      </c>
      <c r="M533" s="94"/>
      <c r="N533" s="94"/>
      <c r="O533" s="94"/>
      <c r="P533" s="118"/>
    </row>
    <row r="534" spans="2:17" outlineLevel="1" x14ac:dyDescent="0.2">
      <c r="B534" s="152"/>
      <c r="C534" s="133"/>
      <c r="D534" s="119"/>
      <c r="E534" s="119"/>
      <c r="F534" s="119"/>
      <c r="G534" s="119"/>
      <c r="H534" s="95" t="s">
        <v>5</v>
      </c>
      <c r="I534" s="94"/>
      <c r="J534" s="94"/>
      <c r="K534" s="94"/>
      <c r="L534" s="94"/>
      <c r="M534" s="94"/>
      <c r="N534" s="94"/>
      <c r="O534" s="94"/>
      <c r="P534" s="119"/>
    </row>
    <row r="535" spans="2:17" ht="42.75" outlineLevel="1" x14ac:dyDescent="0.2">
      <c r="B535" s="117" t="s">
        <v>1411</v>
      </c>
      <c r="C535" s="117"/>
      <c r="D535" s="117" t="s">
        <v>1407</v>
      </c>
      <c r="E535" s="117" t="s">
        <v>203</v>
      </c>
      <c r="F535" s="117" t="s">
        <v>1412</v>
      </c>
      <c r="G535" s="117" t="s">
        <v>101</v>
      </c>
      <c r="H535" s="95" t="s">
        <v>3</v>
      </c>
      <c r="I535" s="94">
        <f>SUM(J535:O535)</f>
        <v>33</v>
      </c>
      <c r="J535" s="94">
        <f t="shared" ref="J535:M535" si="176">J536+J537+J538</f>
        <v>16.5</v>
      </c>
      <c r="K535" s="94">
        <f t="shared" si="176"/>
        <v>16.5</v>
      </c>
      <c r="L535" s="94">
        <f t="shared" si="176"/>
        <v>0</v>
      </c>
      <c r="M535" s="94">
        <f t="shared" si="176"/>
        <v>0</v>
      </c>
      <c r="N535" s="94">
        <v>0</v>
      </c>
      <c r="O535" s="94">
        <f t="shared" ref="O535" si="177">O536+O537+O538</f>
        <v>0</v>
      </c>
      <c r="P535" s="117"/>
    </row>
    <row r="536" spans="2:17" outlineLevel="1" x14ac:dyDescent="0.2">
      <c r="B536" s="118"/>
      <c r="C536" s="132"/>
      <c r="D536" s="118"/>
      <c r="E536" s="118"/>
      <c r="F536" s="118"/>
      <c r="G536" s="118"/>
      <c r="H536" s="95" t="s">
        <v>4</v>
      </c>
      <c r="I536" s="94"/>
      <c r="J536" s="94"/>
      <c r="K536" s="94"/>
      <c r="L536" s="94"/>
      <c r="M536" s="94"/>
      <c r="N536" s="94"/>
      <c r="O536" s="94"/>
      <c r="P536" s="118"/>
    </row>
    <row r="537" spans="2:17" outlineLevel="1" x14ac:dyDescent="0.2">
      <c r="B537" s="118"/>
      <c r="C537" s="132"/>
      <c r="D537" s="118"/>
      <c r="E537" s="118"/>
      <c r="F537" s="118"/>
      <c r="G537" s="118"/>
      <c r="H537" s="95" t="s">
        <v>6</v>
      </c>
      <c r="I537" s="94">
        <f>SUM(J537:O537)</f>
        <v>33</v>
      </c>
      <c r="J537" s="94">
        <v>16.5</v>
      </c>
      <c r="K537" s="94">
        <v>16.5</v>
      </c>
      <c r="L537" s="94"/>
      <c r="M537" s="94"/>
      <c r="N537" s="94"/>
      <c r="O537" s="94"/>
      <c r="P537" s="118"/>
    </row>
    <row r="538" spans="2:17" outlineLevel="1" x14ac:dyDescent="0.2">
      <c r="B538" s="119"/>
      <c r="C538" s="133"/>
      <c r="D538" s="119"/>
      <c r="E538" s="119"/>
      <c r="F538" s="119"/>
      <c r="G538" s="119"/>
      <c r="H538" s="95" t="s">
        <v>5</v>
      </c>
      <c r="I538" s="94"/>
      <c r="J538" s="94"/>
      <c r="K538" s="94"/>
      <c r="L538" s="94"/>
      <c r="M538" s="94"/>
      <c r="N538" s="94"/>
      <c r="O538" s="94"/>
      <c r="P538" s="119"/>
    </row>
    <row r="539" spans="2:17" ht="42.75" outlineLevel="1" x14ac:dyDescent="0.2">
      <c r="B539" s="117" t="s">
        <v>1413</v>
      </c>
      <c r="C539" s="117"/>
      <c r="D539" s="117" t="s">
        <v>1407</v>
      </c>
      <c r="E539" s="117">
        <v>2020</v>
      </c>
      <c r="F539" s="117" t="s">
        <v>1412</v>
      </c>
      <c r="G539" s="117" t="s">
        <v>101</v>
      </c>
      <c r="H539" s="95" t="s">
        <v>3</v>
      </c>
      <c r="I539" s="94">
        <f>SUM(J539:O539)</f>
        <v>7.8</v>
      </c>
      <c r="J539" s="94">
        <f t="shared" ref="J539:L539" si="178">J540+J541+J542</f>
        <v>7.8</v>
      </c>
      <c r="K539" s="94">
        <f t="shared" si="178"/>
        <v>0</v>
      </c>
      <c r="L539" s="94">
        <f t="shared" si="178"/>
        <v>0</v>
      </c>
      <c r="M539" s="94">
        <v>0</v>
      </c>
      <c r="N539" s="94">
        <f t="shared" ref="N539:O539" si="179">N540+N541+N542</f>
        <v>0</v>
      </c>
      <c r="O539" s="94">
        <f t="shared" si="179"/>
        <v>0</v>
      </c>
      <c r="P539" s="117"/>
    </row>
    <row r="540" spans="2:17" outlineLevel="1" x14ac:dyDescent="0.2">
      <c r="B540" s="118"/>
      <c r="C540" s="132"/>
      <c r="D540" s="118"/>
      <c r="E540" s="118"/>
      <c r="F540" s="118"/>
      <c r="G540" s="118"/>
      <c r="H540" s="95" t="s">
        <v>4</v>
      </c>
      <c r="I540" s="94"/>
      <c r="J540" s="94"/>
      <c r="K540" s="94"/>
      <c r="L540" s="94"/>
      <c r="M540" s="94"/>
      <c r="N540" s="94"/>
      <c r="O540" s="94"/>
      <c r="P540" s="118"/>
    </row>
    <row r="541" spans="2:17" outlineLevel="1" x14ac:dyDescent="0.2">
      <c r="B541" s="118"/>
      <c r="C541" s="132"/>
      <c r="D541" s="118"/>
      <c r="E541" s="118"/>
      <c r="F541" s="118"/>
      <c r="G541" s="118"/>
      <c r="H541" s="95" t="s">
        <v>6</v>
      </c>
      <c r="I541" s="94">
        <f>SUM(J541:O541)</f>
        <v>7.8</v>
      </c>
      <c r="J541" s="94">
        <v>7.8</v>
      </c>
      <c r="K541" s="94"/>
      <c r="L541" s="94"/>
      <c r="M541" s="94"/>
      <c r="N541" s="94"/>
      <c r="O541" s="94"/>
      <c r="P541" s="118"/>
    </row>
    <row r="542" spans="2:17" outlineLevel="1" x14ac:dyDescent="0.2">
      <c r="B542" s="119"/>
      <c r="C542" s="133"/>
      <c r="D542" s="119"/>
      <c r="E542" s="119"/>
      <c r="F542" s="119"/>
      <c r="G542" s="119"/>
      <c r="H542" s="95" t="s">
        <v>5</v>
      </c>
      <c r="I542" s="94"/>
      <c r="J542" s="94"/>
      <c r="K542" s="94"/>
      <c r="L542" s="94"/>
      <c r="M542" s="94"/>
      <c r="N542" s="94"/>
      <c r="O542" s="94"/>
      <c r="P542" s="119"/>
    </row>
    <row r="543" spans="2:17" ht="42.75" x14ac:dyDescent="0.2">
      <c r="B543" s="128" t="s">
        <v>530</v>
      </c>
      <c r="C543" s="128" t="s">
        <v>38</v>
      </c>
      <c r="D543" s="128" t="s">
        <v>38</v>
      </c>
      <c r="E543" s="128" t="s">
        <v>38</v>
      </c>
      <c r="F543" s="128" t="s">
        <v>38</v>
      </c>
      <c r="G543" s="128" t="s">
        <v>38</v>
      </c>
      <c r="H543" s="95" t="s">
        <v>3</v>
      </c>
      <c r="I543" s="14">
        <f t="shared" ref="I543:O543" si="180">SUMIF($H$523:$H$542,"Объем*",I$523:I$542)</f>
        <v>153.5</v>
      </c>
      <c r="J543" s="14">
        <f t="shared" si="180"/>
        <v>39.9</v>
      </c>
      <c r="K543" s="14">
        <f t="shared" si="180"/>
        <v>32.1</v>
      </c>
      <c r="L543" s="14">
        <f t="shared" si="180"/>
        <v>81.5</v>
      </c>
      <c r="M543" s="14">
        <f t="shared" si="180"/>
        <v>0</v>
      </c>
      <c r="N543" s="14">
        <f t="shared" si="180"/>
        <v>0</v>
      </c>
      <c r="O543" s="14">
        <f t="shared" si="180"/>
        <v>0</v>
      </c>
      <c r="P543" s="128"/>
      <c r="Q543" s="7"/>
    </row>
    <row r="544" spans="2:17" ht="15.75" x14ac:dyDescent="0.2">
      <c r="B544" s="129"/>
      <c r="C544" s="129"/>
      <c r="D544" s="129"/>
      <c r="E544" s="129"/>
      <c r="F544" s="129"/>
      <c r="G544" s="129"/>
      <c r="H544" s="95" t="s">
        <v>4</v>
      </c>
      <c r="I544" s="14">
        <f t="shared" ref="I544:O544" si="181">SUMIF($H$523:$H$542,"фед*",I$523:I$542)</f>
        <v>0</v>
      </c>
      <c r="J544" s="14">
        <f t="shared" si="181"/>
        <v>0</v>
      </c>
      <c r="K544" s="14">
        <f t="shared" si="181"/>
        <v>0</v>
      </c>
      <c r="L544" s="14">
        <f t="shared" si="181"/>
        <v>0</v>
      </c>
      <c r="M544" s="14">
        <f t="shared" si="181"/>
        <v>0</v>
      </c>
      <c r="N544" s="14">
        <f t="shared" si="181"/>
        <v>0</v>
      </c>
      <c r="O544" s="14">
        <f t="shared" si="181"/>
        <v>0</v>
      </c>
      <c r="P544" s="129"/>
      <c r="Q544" s="7"/>
    </row>
    <row r="545" spans="2:18" ht="15.75" x14ac:dyDescent="0.2">
      <c r="B545" s="129"/>
      <c r="C545" s="129"/>
      <c r="D545" s="129"/>
      <c r="E545" s="129"/>
      <c r="F545" s="129"/>
      <c r="G545" s="129"/>
      <c r="H545" s="95" t="s">
        <v>6</v>
      </c>
      <c r="I545" s="14">
        <f t="shared" ref="I545:O545" si="182">SUMIF($H$523:$H$542,"конс*",I$523:I$542)</f>
        <v>153.5</v>
      </c>
      <c r="J545" s="14">
        <f t="shared" si="182"/>
        <v>39.9</v>
      </c>
      <c r="K545" s="14">
        <f t="shared" si="182"/>
        <v>32.1</v>
      </c>
      <c r="L545" s="14">
        <f t="shared" si="182"/>
        <v>81.5</v>
      </c>
      <c r="M545" s="14">
        <f t="shared" si="182"/>
        <v>0</v>
      </c>
      <c r="N545" s="14">
        <f t="shared" si="182"/>
        <v>0</v>
      </c>
      <c r="O545" s="14">
        <f t="shared" si="182"/>
        <v>0</v>
      </c>
      <c r="P545" s="129"/>
      <c r="Q545" s="7"/>
    </row>
    <row r="546" spans="2:18" ht="15.75" x14ac:dyDescent="0.2">
      <c r="B546" s="130"/>
      <c r="C546" s="130"/>
      <c r="D546" s="130"/>
      <c r="E546" s="130"/>
      <c r="F546" s="130"/>
      <c r="G546" s="130"/>
      <c r="H546" s="95" t="s">
        <v>5</v>
      </c>
      <c r="I546" s="14">
        <f t="shared" ref="I546:O546" si="183">SUMIF($H$523:$H$542,"вне*",I$523:I$542)</f>
        <v>0</v>
      </c>
      <c r="J546" s="14">
        <f t="shared" si="183"/>
        <v>0</v>
      </c>
      <c r="K546" s="14">
        <f t="shared" si="183"/>
        <v>0</v>
      </c>
      <c r="L546" s="14">
        <f t="shared" si="183"/>
        <v>0</v>
      </c>
      <c r="M546" s="14">
        <f t="shared" si="183"/>
        <v>0</v>
      </c>
      <c r="N546" s="14">
        <f t="shared" si="183"/>
        <v>0</v>
      </c>
      <c r="O546" s="14">
        <f t="shared" si="183"/>
        <v>0</v>
      </c>
      <c r="P546" s="130"/>
      <c r="Q546" s="7"/>
      <c r="R546" s="7"/>
    </row>
    <row r="547" spans="2:18" ht="25.5" customHeight="1" x14ac:dyDescent="0.2">
      <c r="B547" s="131" t="s">
        <v>531</v>
      </c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</row>
    <row r="548" spans="2:18" ht="42.75" outlineLevel="1" x14ac:dyDescent="0.2">
      <c r="B548" s="117" t="s">
        <v>1414</v>
      </c>
      <c r="C548" s="121"/>
      <c r="D548" s="139" t="s">
        <v>531</v>
      </c>
      <c r="E548" s="117">
        <v>2020</v>
      </c>
      <c r="F548" s="117" t="s">
        <v>1415</v>
      </c>
      <c r="G548" s="117" t="s">
        <v>1203</v>
      </c>
      <c r="H548" s="95" t="s">
        <v>3</v>
      </c>
      <c r="I548" s="94">
        <v>11</v>
      </c>
      <c r="J548" s="94">
        <v>11</v>
      </c>
      <c r="K548" s="94"/>
      <c r="L548" s="94"/>
      <c r="M548" s="94"/>
      <c r="N548" s="94"/>
      <c r="O548" s="94"/>
      <c r="P548" s="117">
        <v>163</v>
      </c>
    </row>
    <row r="549" spans="2:18" outlineLevel="1" x14ac:dyDescent="0.2">
      <c r="B549" s="118"/>
      <c r="C549" s="196"/>
      <c r="D549" s="140"/>
      <c r="E549" s="118"/>
      <c r="F549" s="118"/>
      <c r="G549" s="118"/>
      <c r="H549" s="95" t="s">
        <v>4</v>
      </c>
      <c r="I549" s="94"/>
      <c r="J549" s="94"/>
      <c r="K549" s="94"/>
      <c r="L549" s="94"/>
      <c r="M549" s="94"/>
      <c r="N549" s="94"/>
      <c r="O549" s="94"/>
      <c r="P549" s="118"/>
    </row>
    <row r="550" spans="2:18" outlineLevel="1" x14ac:dyDescent="0.2">
      <c r="B550" s="118"/>
      <c r="C550" s="196"/>
      <c r="D550" s="140"/>
      <c r="E550" s="118"/>
      <c r="F550" s="118"/>
      <c r="G550" s="118"/>
      <c r="H550" s="95" t="s">
        <v>6</v>
      </c>
      <c r="I550" s="94">
        <v>11</v>
      </c>
      <c r="J550" s="94">
        <v>11</v>
      </c>
      <c r="K550" s="94"/>
      <c r="L550" s="94"/>
      <c r="M550" s="94"/>
      <c r="N550" s="94"/>
      <c r="O550" s="94"/>
      <c r="P550" s="118"/>
    </row>
    <row r="551" spans="2:18" outlineLevel="1" x14ac:dyDescent="0.2">
      <c r="B551" s="119"/>
      <c r="C551" s="123"/>
      <c r="D551" s="141"/>
      <c r="E551" s="119"/>
      <c r="F551" s="119"/>
      <c r="G551" s="119"/>
      <c r="H551" s="95" t="s">
        <v>5</v>
      </c>
      <c r="I551" s="94"/>
      <c r="J551" s="94"/>
      <c r="K551" s="94"/>
      <c r="L551" s="94"/>
      <c r="M551" s="94"/>
      <c r="N551" s="94"/>
      <c r="O551" s="94"/>
      <c r="P551" s="119"/>
    </row>
    <row r="552" spans="2:18" ht="42.75" outlineLevel="1" x14ac:dyDescent="0.2">
      <c r="B552" s="117" t="s">
        <v>1416</v>
      </c>
      <c r="C552" s="121"/>
      <c r="D552" s="139" t="s">
        <v>531</v>
      </c>
      <c r="E552" s="117">
        <v>2020</v>
      </c>
      <c r="F552" s="117" t="s">
        <v>1417</v>
      </c>
      <c r="G552" s="117" t="s">
        <v>1203</v>
      </c>
      <c r="H552" s="95" t="s">
        <v>3</v>
      </c>
      <c r="I552" s="94">
        <v>10.199999999999999</v>
      </c>
      <c r="J552" s="94">
        <v>10.199999999999999</v>
      </c>
      <c r="K552" s="94"/>
      <c r="L552" s="94"/>
      <c r="M552" s="94"/>
      <c r="N552" s="94"/>
      <c r="O552" s="94"/>
      <c r="P552" s="117">
        <v>200</v>
      </c>
    </row>
    <row r="553" spans="2:18" outlineLevel="1" x14ac:dyDescent="0.2">
      <c r="B553" s="118"/>
      <c r="C553" s="196"/>
      <c r="D553" s="140"/>
      <c r="E553" s="118"/>
      <c r="F553" s="118"/>
      <c r="G553" s="118"/>
      <c r="H553" s="95" t="s">
        <v>4</v>
      </c>
      <c r="I553" s="94"/>
      <c r="J553" s="94"/>
      <c r="K553" s="94"/>
      <c r="L553" s="94"/>
      <c r="M553" s="94"/>
      <c r="N553" s="94"/>
      <c r="O553" s="94"/>
      <c r="P553" s="118"/>
    </row>
    <row r="554" spans="2:18" outlineLevel="1" x14ac:dyDescent="0.2">
      <c r="B554" s="118"/>
      <c r="C554" s="196"/>
      <c r="D554" s="140"/>
      <c r="E554" s="118"/>
      <c r="F554" s="118"/>
      <c r="G554" s="118"/>
      <c r="H554" s="95" t="s">
        <v>6</v>
      </c>
      <c r="I554" s="94">
        <v>10.199999999999999</v>
      </c>
      <c r="J554" s="94">
        <v>10.199999999999999</v>
      </c>
      <c r="K554" s="94"/>
      <c r="L554" s="94"/>
      <c r="M554" s="94"/>
      <c r="N554" s="94"/>
      <c r="O554" s="94"/>
      <c r="P554" s="118"/>
    </row>
    <row r="555" spans="2:18" outlineLevel="1" x14ac:dyDescent="0.2">
      <c r="B555" s="119"/>
      <c r="C555" s="123"/>
      <c r="D555" s="141"/>
      <c r="E555" s="119"/>
      <c r="F555" s="119"/>
      <c r="G555" s="119"/>
      <c r="H555" s="95" t="s">
        <v>5</v>
      </c>
      <c r="I555" s="94"/>
      <c r="J555" s="94"/>
      <c r="K555" s="94"/>
      <c r="L555" s="94"/>
      <c r="M555" s="94"/>
      <c r="N555" s="94"/>
      <c r="O555" s="94"/>
      <c r="P555" s="119"/>
    </row>
    <row r="556" spans="2:18" ht="42.75" outlineLevel="1" x14ac:dyDescent="0.2">
      <c r="B556" s="117" t="s">
        <v>1418</v>
      </c>
      <c r="C556" s="121"/>
      <c r="D556" s="139" t="s">
        <v>531</v>
      </c>
      <c r="E556" s="117">
        <v>2020</v>
      </c>
      <c r="F556" s="117" t="s">
        <v>1419</v>
      </c>
      <c r="G556" s="117" t="s">
        <v>1203</v>
      </c>
      <c r="H556" s="95" t="s">
        <v>3</v>
      </c>
      <c r="I556" s="94">
        <v>3.6</v>
      </c>
      <c r="J556" s="94">
        <v>3.6</v>
      </c>
      <c r="K556" s="94"/>
      <c r="L556" s="94"/>
      <c r="M556" s="94"/>
      <c r="N556" s="94"/>
      <c r="O556" s="94"/>
      <c r="P556" s="117">
        <v>795</v>
      </c>
    </row>
    <row r="557" spans="2:18" outlineLevel="1" x14ac:dyDescent="0.2">
      <c r="B557" s="118"/>
      <c r="C557" s="196"/>
      <c r="D557" s="140"/>
      <c r="E557" s="118"/>
      <c r="F557" s="118"/>
      <c r="G557" s="118"/>
      <c r="H557" s="95" t="s">
        <v>4</v>
      </c>
      <c r="I557" s="94"/>
      <c r="J557" s="94"/>
      <c r="K557" s="94"/>
      <c r="L557" s="94"/>
      <c r="M557" s="94"/>
      <c r="N557" s="94"/>
      <c r="O557" s="94"/>
      <c r="P557" s="118"/>
    </row>
    <row r="558" spans="2:18" outlineLevel="1" x14ac:dyDescent="0.2">
      <c r="B558" s="118"/>
      <c r="C558" s="196"/>
      <c r="D558" s="140"/>
      <c r="E558" s="118"/>
      <c r="F558" s="118"/>
      <c r="G558" s="118"/>
      <c r="H558" s="95" t="s">
        <v>6</v>
      </c>
      <c r="I558" s="94">
        <v>3.6</v>
      </c>
      <c r="J558" s="94">
        <v>3.6</v>
      </c>
      <c r="K558" s="94"/>
      <c r="L558" s="94"/>
      <c r="M558" s="94"/>
      <c r="N558" s="94"/>
      <c r="O558" s="94"/>
      <c r="P558" s="118"/>
    </row>
    <row r="559" spans="2:18" outlineLevel="1" x14ac:dyDescent="0.2">
      <c r="B559" s="119"/>
      <c r="C559" s="123"/>
      <c r="D559" s="141"/>
      <c r="E559" s="119"/>
      <c r="F559" s="119"/>
      <c r="G559" s="119"/>
      <c r="H559" s="95" t="s">
        <v>5</v>
      </c>
      <c r="I559" s="94"/>
      <c r="J559" s="94"/>
      <c r="K559" s="94"/>
      <c r="L559" s="94"/>
      <c r="M559" s="94"/>
      <c r="N559" s="94"/>
      <c r="O559" s="94"/>
      <c r="P559" s="119"/>
    </row>
    <row r="560" spans="2:18" ht="42.75" outlineLevel="1" x14ac:dyDescent="0.2">
      <c r="B560" s="117" t="s">
        <v>1420</v>
      </c>
      <c r="C560" s="121"/>
      <c r="D560" s="139" t="s">
        <v>531</v>
      </c>
      <c r="E560" s="117">
        <v>2020</v>
      </c>
      <c r="F560" s="117" t="s">
        <v>1421</v>
      </c>
      <c r="G560" s="117" t="s">
        <v>1203</v>
      </c>
      <c r="H560" s="95" t="s">
        <v>3</v>
      </c>
      <c r="I560" s="94">
        <v>21.8</v>
      </c>
      <c r="J560" s="94">
        <v>21.8</v>
      </c>
      <c r="K560" s="94"/>
      <c r="L560" s="94"/>
      <c r="M560" s="94"/>
      <c r="N560" s="94"/>
      <c r="O560" s="94"/>
      <c r="P560" s="117">
        <v>301</v>
      </c>
    </row>
    <row r="561" spans="2:17" outlineLevel="1" x14ac:dyDescent="0.2">
      <c r="B561" s="118"/>
      <c r="C561" s="196"/>
      <c r="D561" s="140"/>
      <c r="E561" s="118"/>
      <c r="F561" s="118"/>
      <c r="G561" s="118"/>
      <c r="H561" s="95" t="s">
        <v>4</v>
      </c>
      <c r="I561" s="94"/>
      <c r="J561" s="94"/>
      <c r="K561" s="94"/>
      <c r="L561" s="94"/>
      <c r="M561" s="94"/>
      <c r="N561" s="94"/>
      <c r="O561" s="94"/>
      <c r="P561" s="118"/>
    </row>
    <row r="562" spans="2:17" outlineLevel="1" x14ac:dyDescent="0.2">
      <c r="B562" s="118"/>
      <c r="C562" s="196"/>
      <c r="D562" s="140"/>
      <c r="E562" s="118"/>
      <c r="F562" s="118"/>
      <c r="G562" s="118"/>
      <c r="H562" s="95" t="s">
        <v>6</v>
      </c>
      <c r="I562" s="94">
        <v>21.8</v>
      </c>
      <c r="J562" s="94">
        <v>21.8</v>
      </c>
      <c r="K562" s="94"/>
      <c r="L562" s="94"/>
      <c r="M562" s="94"/>
      <c r="N562" s="94"/>
      <c r="O562" s="94"/>
      <c r="P562" s="118"/>
    </row>
    <row r="563" spans="2:17" outlineLevel="1" x14ac:dyDescent="0.2">
      <c r="B563" s="119"/>
      <c r="C563" s="123"/>
      <c r="D563" s="141"/>
      <c r="E563" s="119"/>
      <c r="F563" s="119"/>
      <c r="G563" s="119"/>
      <c r="H563" s="95" t="s">
        <v>5</v>
      </c>
      <c r="I563" s="94"/>
      <c r="J563" s="94"/>
      <c r="K563" s="94"/>
      <c r="L563" s="94"/>
      <c r="M563" s="94"/>
      <c r="N563" s="94"/>
      <c r="O563" s="94"/>
      <c r="P563" s="119"/>
    </row>
    <row r="564" spans="2:17" ht="42.75" outlineLevel="1" x14ac:dyDescent="0.2">
      <c r="B564" s="114" t="s">
        <v>1422</v>
      </c>
      <c r="C564" s="193"/>
      <c r="D564" s="139" t="s">
        <v>531</v>
      </c>
      <c r="E564" s="114" t="s">
        <v>1423</v>
      </c>
      <c r="F564" s="114" t="s">
        <v>1424</v>
      </c>
      <c r="G564" s="114" t="s">
        <v>1203</v>
      </c>
      <c r="H564" s="95" t="s">
        <v>3</v>
      </c>
      <c r="I564" s="94">
        <f>SUM(J564:O564)</f>
        <v>66.7</v>
      </c>
      <c r="J564" s="94">
        <f t="shared" ref="J564:O564" si="184">SUM(J565:J567)</f>
        <v>0</v>
      </c>
      <c r="K564" s="94">
        <f t="shared" si="184"/>
        <v>31.1</v>
      </c>
      <c r="L564" s="94">
        <f t="shared" si="184"/>
        <v>35.6</v>
      </c>
      <c r="M564" s="94">
        <f t="shared" si="184"/>
        <v>0</v>
      </c>
      <c r="N564" s="94">
        <f t="shared" si="184"/>
        <v>0</v>
      </c>
      <c r="O564" s="94">
        <f t="shared" si="184"/>
        <v>0</v>
      </c>
      <c r="P564" s="114">
        <v>510</v>
      </c>
    </row>
    <row r="565" spans="2:17" outlineLevel="1" x14ac:dyDescent="0.2">
      <c r="B565" s="115"/>
      <c r="C565" s="194"/>
      <c r="D565" s="140"/>
      <c r="E565" s="115"/>
      <c r="F565" s="115"/>
      <c r="G565" s="115"/>
      <c r="H565" s="95" t="s">
        <v>4</v>
      </c>
      <c r="I565" s="94"/>
      <c r="J565" s="94"/>
      <c r="K565" s="94"/>
      <c r="L565" s="94"/>
      <c r="M565" s="94"/>
      <c r="N565" s="94"/>
      <c r="O565" s="94"/>
      <c r="P565" s="115"/>
    </row>
    <row r="566" spans="2:17" outlineLevel="1" x14ac:dyDescent="0.2">
      <c r="B566" s="115"/>
      <c r="C566" s="194"/>
      <c r="D566" s="140"/>
      <c r="E566" s="115"/>
      <c r="F566" s="115"/>
      <c r="G566" s="115"/>
      <c r="H566" s="95" t="s">
        <v>6</v>
      </c>
      <c r="I566" s="94">
        <f>SUM(J566:O566)</f>
        <v>66.7</v>
      </c>
      <c r="J566" s="94"/>
      <c r="K566" s="96">
        <v>31.1</v>
      </c>
      <c r="L566" s="96">
        <v>35.6</v>
      </c>
      <c r="M566" s="94"/>
      <c r="N566" s="94"/>
      <c r="O566" s="94"/>
      <c r="P566" s="115"/>
    </row>
    <row r="567" spans="2:17" outlineLevel="1" x14ac:dyDescent="0.2">
      <c r="B567" s="116"/>
      <c r="C567" s="195"/>
      <c r="D567" s="141"/>
      <c r="E567" s="116"/>
      <c r="F567" s="116"/>
      <c r="G567" s="116"/>
      <c r="H567" s="95" t="s">
        <v>5</v>
      </c>
      <c r="I567" s="94"/>
      <c r="J567" s="94"/>
      <c r="K567" s="94"/>
      <c r="L567" s="94"/>
      <c r="M567" s="94"/>
      <c r="N567" s="94"/>
      <c r="O567" s="94"/>
      <c r="P567" s="116"/>
    </row>
    <row r="568" spans="2:17" ht="42.75" outlineLevel="1" x14ac:dyDescent="0.2">
      <c r="B568" s="114" t="s">
        <v>1425</v>
      </c>
      <c r="C568" s="193"/>
      <c r="D568" s="139" t="s">
        <v>531</v>
      </c>
      <c r="E568" s="114">
        <v>2022</v>
      </c>
      <c r="F568" s="114" t="s">
        <v>1426</v>
      </c>
      <c r="G568" s="114" t="s">
        <v>101</v>
      </c>
      <c r="H568" s="95" t="s">
        <v>3</v>
      </c>
      <c r="I568" s="94">
        <f>SUM(J568:O568)</f>
        <v>92</v>
      </c>
      <c r="J568" s="94">
        <f t="shared" ref="J568:O568" si="185">SUM(J569:J571)</f>
        <v>0</v>
      </c>
      <c r="K568" s="94">
        <f t="shared" si="185"/>
        <v>2</v>
      </c>
      <c r="L568" s="94">
        <f t="shared" si="185"/>
        <v>90</v>
      </c>
      <c r="M568" s="94">
        <f t="shared" si="185"/>
        <v>0</v>
      </c>
      <c r="N568" s="94">
        <f t="shared" si="185"/>
        <v>0</v>
      </c>
      <c r="O568" s="94">
        <f t="shared" si="185"/>
        <v>0</v>
      </c>
      <c r="P568" s="114">
        <v>480</v>
      </c>
    </row>
    <row r="569" spans="2:17" outlineLevel="1" x14ac:dyDescent="0.2">
      <c r="B569" s="115"/>
      <c r="C569" s="194"/>
      <c r="D569" s="140"/>
      <c r="E569" s="115"/>
      <c r="F569" s="115"/>
      <c r="G569" s="115"/>
      <c r="H569" s="95" t="s">
        <v>4</v>
      </c>
      <c r="I569" s="94"/>
      <c r="J569" s="94"/>
      <c r="K569" s="94"/>
      <c r="L569" s="94"/>
      <c r="M569" s="94"/>
      <c r="N569" s="94"/>
      <c r="O569" s="94"/>
      <c r="P569" s="115"/>
    </row>
    <row r="570" spans="2:17" outlineLevel="1" x14ac:dyDescent="0.2">
      <c r="B570" s="115"/>
      <c r="C570" s="194"/>
      <c r="D570" s="140"/>
      <c r="E570" s="115"/>
      <c r="F570" s="115"/>
      <c r="G570" s="115"/>
      <c r="H570" s="95" t="s">
        <v>6</v>
      </c>
      <c r="I570" s="94">
        <f>SUM(J570:O570)</f>
        <v>92</v>
      </c>
      <c r="J570" s="94"/>
      <c r="K570" s="96">
        <v>2</v>
      </c>
      <c r="L570" s="96">
        <v>90</v>
      </c>
      <c r="M570" s="94"/>
      <c r="N570" s="94"/>
      <c r="O570" s="94"/>
      <c r="P570" s="115"/>
    </row>
    <row r="571" spans="2:17" outlineLevel="1" x14ac:dyDescent="0.2">
      <c r="B571" s="116"/>
      <c r="C571" s="195"/>
      <c r="D571" s="141"/>
      <c r="E571" s="116"/>
      <c r="F571" s="116"/>
      <c r="G571" s="116"/>
      <c r="H571" s="95" t="s">
        <v>5</v>
      </c>
      <c r="I571" s="94"/>
      <c r="J571" s="94"/>
      <c r="K571" s="94"/>
      <c r="L571" s="94"/>
      <c r="M571" s="94"/>
      <c r="N571" s="94"/>
      <c r="O571" s="94"/>
      <c r="P571" s="116"/>
    </row>
    <row r="572" spans="2:17" ht="42.75" outlineLevel="1" x14ac:dyDescent="0.2">
      <c r="B572" s="114" t="s">
        <v>1427</v>
      </c>
      <c r="C572" s="193"/>
      <c r="D572" s="139" t="s">
        <v>531</v>
      </c>
      <c r="E572" s="114">
        <v>2023</v>
      </c>
      <c r="F572" s="114" t="s">
        <v>1428</v>
      </c>
      <c r="G572" s="114" t="s">
        <v>101</v>
      </c>
      <c r="H572" s="95" t="s">
        <v>3</v>
      </c>
      <c r="I572" s="94">
        <f>SUM(J572:O572)</f>
        <v>62</v>
      </c>
      <c r="J572" s="94">
        <f t="shared" ref="J572:O572" si="186">SUM(J573:J575)</f>
        <v>0</v>
      </c>
      <c r="K572" s="94">
        <f t="shared" si="186"/>
        <v>2</v>
      </c>
      <c r="L572" s="94">
        <f t="shared" si="186"/>
        <v>0</v>
      </c>
      <c r="M572" s="94">
        <f t="shared" si="186"/>
        <v>60</v>
      </c>
      <c r="N572" s="94">
        <f t="shared" si="186"/>
        <v>0</v>
      </c>
      <c r="O572" s="94">
        <f t="shared" si="186"/>
        <v>0</v>
      </c>
      <c r="P572" s="114">
        <v>390</v>
      </c>
    </row>
    <row r="573" spans="2:17" outlineLevel="1" x14ac:dyDescent="0.2">
      <c r="B573" s="115"/>
      <c r="C573" s="194"/>
      <c r="D573" s="140"/>
      <c r="E573" s="115"/>
      <c r="F573" s="115"/>
      <c r="G573" s="115"/>
      <c r="H573" s="95" t="s">
        <v>4</v>
      </c>
      <c r="I573" s="94"/>
      <c r="J573" s="94"/>
      <c r="K573" s="94"/>
      <c r="L573" s="94"/>
      <c r="M573" s="94"/>
      <c r="N573" s="94"/>
      <c r="O573" s="94"/>
      <c r="P573" s="115"/>
    </row>
    <row r="574" spans="2:17" outlineLevel="1" x14ac:dyDescent="0.2">
      <c r="B574" s="115"/>
      <c r="C574" s="194"/>
      <c r="D574" s="140"/>
      <c r="E574" s="115"/>
      <c r="F574" s="115"/>
      <c r="G574" s="115"/>
      <c r="H574" s="95" t="s">
        <v>6</v>
      </c>
      <c r="I574" s="94">
        <f>SUM(J574:O574)</f>
        <v>62</v>
      </c>
      <c r="J574" s="94"/>
      <c r="K574" s="94">
        <v>2</v>
      </c>
      <c r="L574" s="94"/>
      <c r="M574" s="94">
        <v>60</v>
      </c>
      <c r="N574" s="94"/>
      <c r="O574" s="94"/>
      <c r="P574" s="115"/>
    </row>
    <row r="575" spans="2:17" outlineLevel="1" x14ac:dyDescent="0.2">
      <c r="B575" s="116"/>
      <c r="C575" s="195"/>
      <c r="D575" s="141"/>
      <c r="E575" s="116"/>
      <c r="F575" s="116"/>
      <c r="G575" s="116"/>
      <c r="H575" s="95" t="s">
        <v>5</v>
      </c>
      <c r="I575" s="94"/>
      <c r="J575" s="94"/>
      <c r="K575" s="94"/>
      <c r="L575" s="94"/>
      <c r="M575" s="94"/>
      <c r="N575" s="94"/>
      <c r="O575" s="94"/>
      <c r="P575" s="116"/>
    </row>
    <row r="576" spans="2:17" ht="42.75" x14ac:dyDescent="0.2">
      <c r="B576" s="128" t="s">
        <v>539</v>
      </c>
      <c r="C576" s="128" t="s">
        <v>38</v>
      </c>
      <c r="D576" s="128" t="s">
        <v>38</v>
      </c>
      <c r="E576" s="128" t="s">
        <v>38</v>
      </c>
      <c r="F576" s="128" t="s">
        <v>38</v>
      </c>
      <c r="G576" s="128" t="s">
        <v>38</v>
      </c>
      <c r="H576" s="95" t="s">
        <v>3</v>
      </c>
      <c r="I576" s="14">
        <f t="shared" ref="I576:O576" si="187">SUMIF($H$548:$H$575,"Объем*",I$548:I$575)</f>
        <v>267.3</v>
      </c>
      <c r="J576" s="14">
        <f t="shared" si="187"/>
        <v>46.6</v>
      </c>
      <c r="K576" s="14">
        <f t="shared" si="187"/>
        <v>35.1</v>
      </c>
      <c r="L576" s="14">
        <f t="shared" si="187"/>
        <v>125.6</v>
      </c>
      <c r="M576" s="14">
        <f t="shared" si="187"/>
        <v>60</v>
      </c>
      <c r="N576" s="14">
        <f t="shared" si="187"/>
        <v>0</v>
      </c>
      <c r="O576" s="14">
        <f t="shared" si="187"/>
        <v>0</v>
      </c>
      <c r="P576" s="128"/>
      <c r="Q576" s="7"/>
    </row>
    <row r="577" spans="2:18" ht="15.75" x14ac:dyDescent="0.2">
      <c r="B577" s="129"/>
      <c r="C577" s="129"/>
      <c r="D577" s="129"/>
      <c r="E577" s="129"/>
      <c r="F577" s="129"/>
      <c r="G577" s="129"/>
      <c r="H577" s="95" t="s">
        <v>4</v>
      </c>
      <c r="I577" s="14">
        <f t="shared" ref="I577:O577" si="188">SUMIF($H$548:$H$575,"фед*",I$548:I$575)</f>
        <v>0</v>
      </c>
      <c r="J577" s="14">
        <f t="shared" si="188"/>
        <v>0</v>
      </c>
      <c r="K577" s="14">
        <f t="shared" si="188"/>
        <v>0</v>
      </c>
      <c r="L577" s="14">
        <f t="shared" si="188"/>
        <v>0</v>
      </c>
      <c r="M577" s="14">
        <f t="shared" si="188"/>
        <v>0</v>
      </c>
      <c r="N577" s="14">
        <f t="shared" si="188"/>
        <v>0</v>
      </c>
      <c r="O577" s="14">
        <f t="shared" si="188"/>
        <v>0</v>
      </c>
      <c r="P577" s="129"/>
      <c r="Q577" s="7"/>
    </row>
    <row r="578" spans="2:18" ht="15.75" x14ac:dyDescent="0.2">
      <c r="B578" s="129"/>
      <c r="C578" s="129"/>
      <c r="D578" s="129"/>
      <c r="E578" s="129"/>
      <c r="F578" s="129"/>
      <c r="G578" s="129"/>
      <c r="H578" s="95" t="s">
        <v>6</v>
      </c>
      <c r="I578" s="14">
        <f t="shared" ref="I578:O578" si="189">SUMIF($H$548:$H$575,"конс*",I$548:I$575)</f>
        <v>267.3</v>
      </c>
      <c r="J578" s="14">
        <f t="shared" si="189"/>
        <v>46.6</v>
      </c>
      <c r="K578" s="14">
        <f t="shared" si="189"/>
        <v>35.1</v>
      </c>
      <c r="L578" s="14">
        <f t="shared" si="189"/>
        <v>125.6</v>
      </c>
      <c r="M578" s="14">
        <f t="shared" si="189"/>
        <v>60</v>
      </c>
      <c r="N578" s="14">
        <f t="shared" si="189"/>
        <v>0</v>
      </c>
      <c r="O578" s="14">
        <f t="shared" si="189"/>
        <v>0</v>
      </c>
      <c r="P578" s="129"/>
      <c r="Q578" s="7"/>
    </row>
    <row r="579" spans="2:18" ht="15.75" x14ac:dyDescent="0.2">
      <c r="B579" s="130"/>
      <c r="C579" s="130"/>
      <c r="D579" s="130"/>
      <c r="E579" s="130"/>
      <c r="F579" s="130"/>
      <c r="G579" s="130"/>
      <c r="H579" s="95" t="s">
        <v>5</v>
      </c>
      <c r="I579" s="14">
        <f t="shared" ref="I579:O579" si="190">SUMIF($H$548:$H$575,"вне*",I$548:I$575)</f>
        <v>0</v>
      </c>
      <c r="J579" s="14">
        <f t="shared" si="190"/>
        <v>0</v>
      </c>
      <c r="K579" s="14">
        <f t="shared" si="190"/>
        <v>0</v>
      </c>
      <c r="L579" s="14">
        <f t="shared" si="190"/>
        <v>0</v>
      </c>
      <c r="M579" s="14">
        <f t="shared" si="190"/>
        <v>0</v>
      </c>
      <c r="N579" s="14">
        <f t="shared" si="190"/>
        <v>0</v>
      </c>
      <c r="O579" s="14">
        <f t="shared" si="190"/>
        <v>0</v>
      </c>
      <c r="P579" s="130"/>
      <c r="Q579" s="7"/>
    </row>
    <row r="580" spans="2:18" ht="25.5" customHeight="1" x14ac:dyDescent="0.2">
      <c r="B580" s="111" t="s">
        <v>540</v>
      </c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3"/>
    </row>
    <row r="581" spans="2:18" ht="45" customHeight="1" outlineLevel="1" x14ac:dyDescent="0.2">
      <c r="B581" s="117" t="s">
        <v>1429</v>
      </c>
      <c r="C581" s="117" t="s">
        <v>1221</v>
      </c>
      <c r="D581" s="117" t="s">
        <v>1430</v>
      </c>
      <c r="E581" s="117" t="s">
        <v>319</v>
      </c>
      <c r="F581" s="117" t="s">
        <v>1223</v>
      </c>
      <c r="G581" s="117" t="s">
        <v>83</v>
      </c>
      <c r="H581" s="95" t="s">
        <v>3</v>
      </c>
      <c r="I581" s="94">
        <f>SUM(J581:O581)</f>
        <v>3</v>
      </c>
      <c r="J581" s="94">
        <f t="shared" ref="J581:O581" si="191">J582+J583+J584</f>
        <v>3</v>
      </c>
      <c r="K581" s="94">
        <f t="shared" si="191"/>
        <v>0</v>
      </c>
      <c r="L581" s="94">
        <f t="shared" si="191"/>
        <v>0</v>
      </c>
      <c r="M581" s="94">
        <f t="shared" si="191"/>
        <v>0</v>
      </c>
      <c r="N581" s="94">
        <f t="shared" si="191"/>
        <v>0</v>
      </c>
      <c r="O581" s="94">
        <f t="shared" si="191"/>
        <v>0</v>
      </c>
      <c r="P581" s="117"/>
    </row>
    <row r="582" spans="2:18" ht="20.25" customHeight="1" outlineLevel="1" x14ac:dyDescent="0.2">
      <c r="B582" s="118"/>
      <c r="C582" s="132"/>
      <c r="D582" s="118"/>
      <c r="E582" s="118"/>
      <c r="F582" s="118"/>
      <c r="G582" s="118"/>
      <c r="H582" s="95" t="s">
        <v>4</v>
      </c>
      <c r="I582" s="94">
        <f t="shared" ref="I582:I584" si="192">SUM(J582:O582)</f>
        <v>0</v>
      </c>
      <c r="J582" s="94">
        <v>0</v>
      </c>
      <c r="K582" s="94">
        <v>0</v>
      </c>
      <c r="L582" s="94">
        <v>0</v>
      </c>
      <c r="M582" s="94">
        <v>0</v>
      </c>
      <c r="N582" s="94">
        <v>0</v>
      </c>
      <c r="O582" s="94">
        <v>0</v>
      </c>
      <c r="P582" s="118"/>
    </row>
    <row r="583" spans="2:18" outlineLevel="1" x14ac:dyDescent="0.2">
      <c r="B583" s="118"/>
      <c r="C583" s="132"/>
      <c r="D583" s="118"/>
      <c r="E583" s="118"/>
      <c r="F583" s="118"/>
      <c r="G583" s="118"/>
      <c r="H583" s="95" t="s">
        <v>6</v>
      </c>
      <c r="I583" s="94">
        <f t="shared" si="192"/>
        <v>3</v>
      </c>
      <c r="J583" s="94">
        <v>3</v>
      </c>
      <c r="K583" s="94">
        <v>0</v>
      </c>
      <c r="L583" s="94">
        <v>0</v>
      </c>
      <c r="M583" s="94">
        <v>0</v>
      </c>
      <c r="N583" s="94">
        <v>0</v>
      </c>
      <c r="O583" s="94">
        <v>0</v>
      </c>
      <c r="P583" s="118"/>
    </row>
    <row r="584" spans="2:18" ht="15" customHeight="1" outlineLevel="1" x14ac:dyDescent="0.2">
      <c r="B584" s="119"/>
      <c r="C584" s="133"/>
      <c r="D584" s="119"/>
      <c r="E584" s="119"/>
      <c r="F584" s="119"/>
      <c r="G584" s="119"/>
      <c r="H584" s="95" t="s">
        <v>5</v>
      </c>
      <c r="I584" s="94">
        <f t="shared" si="192"/>
        <v>0</v>
      </c>
      <c r="J584" s="94"/>
      <c r="K584" s="94"/>
      <c r="L584" s="94"/>
      <c r="M584" s="94"/>
      <c r="N584" s="94"/>
      <c r="O584" s="94"/>
      <c r="P584" s="119"/>
    </row>
    <row r="585" spans="2:18" ht="42.75" x14ac:dyDescent="0.2">
      <c r="B585" s="128" t="s">
        <v>556</v>
      </c>
      <c r="C585" s="128" t="s">
        <v>38</v>
      </c>
      <c r="D585" s="128" t="s">
        <v>38</v>
      </c>
      <c r="E585" s="128" t="s">
        <v>38</v>
      </c>
      <c r="F585" s="128" t="s">
        <v>38</v>
      </c>
      <c r="G585" s="128" t="s">
        <v>38</v>
      </c>
      <c r="H585" s="95" t="s">
        <v>3</v>
      </c>
      <c r="I585" s="14">
        <f t="shared" ref="I585:O585" si="193">SUMIF($H$581:$H$584,"Объем*",I$581:I$584)</f>
        <v>3</v>
      </c>
      <c r="J585" s="14">
        <f t="shared" si="193"/>
        <v>3</v>
      </c>
      <c r="K585" s="14">
        <f t="shared" si="193"/>
        <v>0</v>
      </c>
      <c r="L585" s="14">
        <f t="shared" si="193"/>
        <v>0</v>
      </c>
      <c r="M585" s="14">
        <f t="shared" si="193"/>
        <v>0</v>
      </c>
      <c r="N585" s="14">
        <f t="shared" si="193"/>
        <v>0</v>
      </c>
      <c r="O585" s="14">
        <f t="shared" si="193"/>
        <v>0</v>
      </c>
      <c r="P585" s="128"/>
      <c r="Q585" s="7"/>
    </row>
    <row r="586" spans="2:18" ht="15.75" x14ac:dyDescent="0.2">
      <c r="B586" s="129"/>
      <c r="C586" s="129"/>
      <c r="D586" s="129"/>
      <c r="E586" s="129"/>
      <c r="F586" s="129"/>
      <c r="G586" s="129"/>
      <c r="H586" s="95" t="s">
        <v>4</v>
      </c>
      <c r="I586" s="14">
        <f t="shared" ref="I586:O586" si="194">SUMIF($H$581:$H$584,"фед*",I$581:I$584)</f>
        <v>0</v>
      </c>
      <c r="J586" s="14">
        <f t="shared" si="194"/>
        <v>0</v>
      </c>
      <c r="K586" s="14">
        <f t="shared" si="194"/>
        <v>0</v>
      </c>
      <c r="L586" s="14">
        <f t="shared" si="194"/>
        <v>0</v>
      </c>
      <c r="M586" s="14">
        <f t="shared" si="194"/>
        <v>0</v>
      </c>
      <c r="N586" s="14">
        <f t="shared" si="194"/>
        <v>0</v>
      </c>
      <c r="O586" s="14">
        <f t="shared" si="194"/>
        <v>0</v>
      </c>
      <c r="P586" s="129"/>
      <c r="Q586" s="7"/>
    </row>
    <row r="587" spans="2:18" ht="15.75" x14ac:dyDescent="0.2">
      <c r="B587" s="129"/>
      <c r="C587" s="129"/>
      <c r="D587" s="129"/>
      <c r="E587" s="129"/>
      <c r="F587" s="129"/>
      <c r="G587" s="129"/>
      <c r="H587" s="95" t="s">
        <v>6</v>
      </c>
      <c r="I587" s="14">
        <f t="shared" ref="I587:O587" si="195">SUMIF($H$581:$H$584,"конс*",I$581:I$584)</f>
        <v>3</v>
      </c>
      <c r="J587" s="14">
        <f t="shared" si="195"/>
        <v>3</v>
      </c>
      <c r="K587" s="14">
        <f t="shared" si="195"/>
        <v>0</v>
      </c>
      <c r="L587" s="14">
        <f t="shared" si="195"/>
        <v>0</v>
      </c>
      <c r="M587" s="14">
        <f t="shared" si="195"/>
        <v>0</v>
      </c>
      <c r="N587" s="14">
        <f t="shared" si="195"/>
        <v>0</v>
      </c>
      <c r="O587" s="14">
        <f t="shared" si="195"/>
        <v>0</v>
      </c>
      <c r="P587" s="129"/>
      <c r="Q587" s="7"/>
    </row>
    <row r="588" spans="2:18" ht="15.75" x14ac:dyDescent="0.2">
      <c r="B588" s="130"/>
      <c r="C588" s="130"/>
      <c r="D588" s="130"/>
      <c r="E588" s="130"/>
      <c r="F588" s="130"/>
      <c r="G588" s="130"/>
      <c r="H588" s="95" t="s">
        <v>5</v>
      </c>
      <c r="I588" s="14">
        <f t="shared" ref="I588:O588" si="196">SUMIF($H$581:$H$584,"вне*",I$581:I$584)</f>
        <v>0</v>
      </c>
      <c r="J588" s="14">
        <f t="shared" si="196"/>
        <v>0</v>
      </c>
      <c r="K588" s="14">
        <f t="shared" si="196"/>
        <v>0</v>
      </c>
      <c r="L588" s="14">
        <f t="shared" si="196"/>
        <v>0</v>
      </c>
      <c r="M588" s="14">
        <f t="shared" si="196"/>
        <v>0</v>
      </c>
      <c r="N588" s="14">
        <f t="shared" si="196"/>
        <v>0</v>
      </c>
      <c r="O588" s="14">
        <f t="shared" si="196"/>
        <v>0</v>
      </c>
      <c r="P588" s="130"/>
      <c r="Q588" s="7"/>
      <c r="R588" s="7"/>
    </row>
    <row r="589" spans="2:18" ht="25.5" customHeight="1" x14ac:dyDescent="0.2">
      <c r="B589" s="111" t="s">
        <v>557</v>
      </c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3"/>
    </row>
    <row r="590" spans="2:18" ht="45" customHeight="1" outlineLevel="1" x14ac:dyDescent="0.2">
      <c r="B590" s="117" t="s">
        <v>1431</v>
      </c>
      <c r="C590" s="117"/>
      <c r="D590" s="117" t="s">
        <v>557</v>
      </c>
      <c r="E590" s="117" t="s">
        <v>319</v>
      </c>
      <c r="F590" s="117" t="s">
        <v>1351</v>
      </c>
      <c r="G590" s="117" t="s">
        <v>83</v>
      </c>
      <c r="H590" s="95" t="s">
        <v>3</v>
      </c>
      <c r="I590" s="94">
        <f t="shared" ref="I590:I605" si="197">SUM(J590:O590)</f>
        <v>12.3</v>
      </c>
      <c r="J590" s="94">
        <f t="shared" ref="J590:O590" si="198">J591+J592+J593</f>
        <v>12.3</v>
      </c>
      <c r="K590" s="94">
        <f t="shared" si="198"/>
        <v>0</v>
      </c>
      <c r="L590" s="94">
        <f t="shared" si="198"/>
        <v>0</v>
      </c>
      <c r="M590" s="94">
        <f t="shared" si="198"/>
        <v>0</v>
      </c>
      <c r="N590" s="94">
        <f t="shared" si="198"/>
        <v>0</v>
      </c>
      <c r="O590" s="94">
        <f t="shared" si="198"/>
        <v>0</v>
      </c>
      <c r="P590" s="117"/>
    </row>
    <row r="591" spans="2:18" ht="15" customHeight="1" outlineLevel="1" x14ac:dyDescent="0.2">
      <c r="B591" s="118"/>
      <c r="C591" s="132"/>
      <c r="D591" s="118"/>
      <c r="E591" s="118"/>
      <c r="F591" s="118"/>
      <c r="G591" s="118"/>
      <c r="H591" s="95" t="s">
        <v>4</v>
      </c>
      <c r="I591" s="94">
        <f t="shared" si="197"/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118"/>
    </row>
    <row r="592" spans="2:18" ht="17.25" outlineLevel="1" x14ac:dyDescent="0.2">
      <c r="B592" s="118"/>
      <c r="C592" s="132"/>
      <c r="D592" s="118"/>
      <c r="E592" s="118"/>
      <c r="F592" s="118"/>
      <c r="G592" s="118"/>
      <c r="H592" s="95" t="s">
        <v>6</v>
      </c>
      <c r="I592" s="94">
        <f t="shared" si="197"/>
        <v>12.3</v>
      </c>
      <c r="J592" s="94">
        <v>12.3</v>
      </c>
      <c r="K592" s="52">
        <v>0</v>
      </c>
      <c r="L592" s="52">
        <v>0</v>
      </c>
      <c r="M592" s="52">
        <v>0</v>
      </c>
      <c r="N592" s="52">
        <v>0</v>
      </c>
      <c r="O592" s="52">
        <v>0</v>
      </c>
      <c r="P592" s="118"/>
    </row>
    <row r="593" spans="2:17" ht="15" customHeight="1" outlineLevel="1" x14ac:dyDescent="0.2">
      <c r="B593" s="119"/>
      <c r="C593" s="133"/>
      <c r="D593" s="119"/>
      <c r="E593" s="119"/>
      <c r="F593" s="119"/>
      <c r="G593" s="119"/>
      <c r="H593" s="95" t="s">
        <v>5</v>
      </c>
      <c r="I593" s="94">
        <f t="shared" si="197"/>
        <v>0</v>
      </c>
      <c r="J593" s="94"/>
      <c r="K593" s="94"/>
      <c r="L593" s="94"/>
      <c r="M593" s="94"/>
      <c r="N593" s="94"/>
      <c r="O593" s="94"/>
      <c r="P593" s="119"/>
    </row>
    <row r="594" spans="2:17" ht="45" customHeight="1" outlineLevel="1" x14ac:dyDescent="0.2">
      <c r="B594" s="117" t="s">
        <v>1432</v>
      </c>
      <c r="C594" s="117"/>
      <c r="D594" s="117" t="s">
        <v>557</v>
      </c>
      <c r="E594" s="117" t="s">
        <v>50</v>
      </c>
      <c r="F594" s="117" t="s">
        <v>1047</v>
      </c>
      <c r="G594" s="117" t="s">
        <v>83</v>
      </c>
      <c r="H594" s="95" t="s">
        <v>3</v>
      </c>
      <c r="I594" s="94">
        <f t="shared" si="197"/>
        <v>42.5</v>
      </c>
      <c r="J594" s="94"/>
      <c r="K594" s="94"/>
      <c r="L594" s="94">
        <v>42.5</v>
      </c>
      <c r="M594" s="94"/>
      <c r="N594" s="94"/>
      <c r="O594" s="94"/>
      <c r="P594" s="117"/>
    </row>
    <row r="595" spans="2:17" ht="15" customHeight="1" outlineLevel="1" x14ac:dyDescent="0.2">
      <c r="B595" s="118"/>
      <c r="C595" s="132"/>
      <c r="D595" s="118"/>
      <c r="E595" s="118"/>
      <c r="F595" s="118"/>
      <c r="G595" s="118"/>
      <c r="H595" s="95" t="s">
        <v>4</v>
      </c>
      <c r="I595" s="94">
        <f t="shared" si="197"/>
        <v>0</v>
      </c>
      <c r="J595" s="94"/>
      <c r="K595" s="94"/>
      <c r="L595" s="94"/>
      <c r="M595" s="94"/>
      <c r="N595" s="94"/>
      <c r="O595" s="94"/>
      <c r="P595" s="118"/>
    </row>
    <row r="596" spans="2:17" outlineLevel="1" x14ac:dyDescent="0.2">
      <c r="B596" s="118"/>
      <c r="C596" s="132"/>
      <c r="D596" s="118"/>
      <c r="E596" s="118"/>
      <c r="F596" s="118"/>
      <c r="G596" s="118"/>
      <c r="H596" s="95" t="s">
        <v>6</v>
      </c>
      <c r="I596" s="94">
        <f t="shared" si="197"/>
        <v>42.5</v>
      </c>
      <c r="J596" s="94"/>
      <c r="K596" s="94"/>
      <c r="L596" s="94">
        <v>42.5</v>
      </c>
      <c r="M596" s="94"/>
      <c r="N596" s="94"/>
      <c r="O596" s="94"/>
      <c r="P596" s="118"/>
    </row>
    <row r="597" spans="2:17" ht="15" customHeight="1" outlineLevel="1" x14ac:dyDescent="0.2">
      <c r="B597" s="119"/>
      <c r="C597" s="133"/>
      <c r="D597" s="119"/>
      <c r="E597" s="119"/>
      <c r="F597" s="119"/>
      <c r="G597" s="119"/>
      <c r="H597" s="95" t="s">
        <v>5</v>
      </c>
      <c r="I597" s="94">
        <f t="shared" si="197"/>
        <v>0</v>
      </c>
      <c r="J597" s="94"/>
      <c r="K597" s="94"/>
      <c r="L597" s="94"/>
      <c r="M597" s="94"/>
      <c r="N597" s="94"/>
      <c r="O597" s="94"/>
      <c r="P597" s="119"/>
    </row>
    <row r="598" spans="2:17" ht="45" customHeight="1" outlineLevel="1" x14ac:dyDescent="0.2">
      <c r="B598" s="117" t="s">
        <v>1433</v>
      </c>
      <c r="C598" s="117"/>
      <c r="D598" s="117" t="s">
        <v>557</v>
      </c>
      <c r="E598" s="117">
        <v>2020</v>
      </c>
      <c r="F598" s="117"/>
      <c r="G598" s="117" t="s">
        <v>83</v>
      </c>
      <c r="H598" s="95" t="s">
        <v>3</v>
      </c>
      <c r="I598" s="94">
        <f t="shared" si="197"/>
        <v>38.300000000000004</v>
      </c>
      <c r="J598" s="94">
        <f>J600</f>
        <v>4.7</v>
      </c>
      <c r="K598" s="94">
        <f>K600</f>
        <v>33.6</v>
      </c>
      <c r="L598" s="94"/>
      <c r="M598" s="94"/>
      <c r="N598" s="94"/>
      <c r="O598" s="94"/>
      <c r="P598" s="117"/>
    </row>
    <row r="599" spans="2:17" ht="15" customHeight="1" outlineLevel="1" x14ac:dyDescent="0.2">
      <c r="B599" s="118"/>
      <c r="C599" s="132"/>
      <c r="D599" s="118"/>
      <c r="E599" s="118"/>
      <c r="F599" s="118"/>
      <c r="G599" s="118"/>
      <c r="H599" s="95" t="s">
        <v>4</v>
      </c>
      <c r="I599" s="94">
        <f t="shared" si="197"/>
        <v>0</v>
      </c>
      <c r="J599" s="94"/>
      <c r="K599" s="65"/>
      <c r="L599" s="94"/>
      <c r="M599" s="94"/>
      <c r="N599" s="94"/>
      <c r="O599" s="94"/>
      <c r="P599" s="118"/>
    </row>
    <row r="600" spans="2:17" outlineLevel="1" x14ac:dyDescent="0.2">
      <c r="B600" s="118"/>
      <c r="C600" s="132"/>
      <c r="D600" s="118"/>
      <c r="E600" s="118"/>
      <c r="F600" s="118"/>
      <c r="G600" s="118"/>
      <c r="H600" s="95" t="s">
        <v>6</v>
      </c>
      <c r="I600" s="94">
        <f t="shared" si="197"/>
        <v>38.300000000000004</v>
      </c>
      <c r="J600" s="27">
        <v>4.7</v>
      </c>
      <c r="K600" s="66">
        <v>33.6</v>
      </c>
      <c r="L600" s="94"/>
      <c r="M600" s="94"/>
      <c r="N600" s="94"/>
      <c r="O600" s="94"/>
      <c r="P600" s="118"/>
    </row>
    <row r="601" spans="2:17" ht="15" customHeight="1" outlineLevel="1" x14ac:dyDescent="0.2">
      <c r="B601" s="119"/>
      <c r="C601" s="133"/>
      <c r="D601" s="119"/>
      <c r="E601" s="119"/>
      <c r="F601" s="119"/>
      <c r="G601" s="119"/>
      <c r="H601" s="95" t="s">
        <v>5</v>
      </c>
      <c r="I601" s="94">
        <f t="shared" si="197"/>
        <v>0</v>
      </c>
      <c r="J601" s="94"/>
      <c r="K601" s="94"/>
      <c r="L601" s="94"/>
      <c r="M601" s="94"/>
      <c r="N601" s="94"/>
      <c r="O601" s="94"/>
      <c r="P601" s="119"/>
    </row>
    <row r="602" spans="2:17" ht="45" customHeight="1" outlineLevel="1" x14ac:dyDescent="0.2">
      <c r="B602" s="117" t="s">
        <v>1434</v>
      </c>
      <c r="C602" s="117"/>
      <c r="D602" s="117" t="s">
        <v>557</v>
      </c>
      <c r="E602" s="117" t="s">
        <v>34</v>
      </c>
      <c r="F602" s="117"/>
      <c r="G602" s="173" t="s">
        <v>1435</v>
      </c>
      <c r="H602" s="95" t="s">
        <v>3</v>
      </c>
      <c r="I602" s="94">
        <f t="shared" si="197"/>
        <v>198.1</v>
      </c>
      <c r="J602" s="94">
        <f t="shared" ref="J602:O602" si="199">SUM(J603:J605)</f>
        <v>0</v>
      </c>
      <c r="K602" s="94">
        <f t="shared" si="199"/>
        <v>5</v>
      </c>
      <c r="L602" s="94">
        <f t="shared" si="199"/>
        <v>93.1</v>
      </c>
      <c r="M602" s="94">
        <f t="shared" si="199"/>
        <v>100</v>
      </c>
      <c r="N602" s="94">
        <f t="shared" si="199"/>
        <v>0</v>
      </c>
      <c r="O602" s="94">
        <f t="shared" si="199"/>
        <v>0</v>
      </c>
      <c r="P602" s="117"/>
    </row>
    <row r="603" spans="2:17" ht="15" customHeight="1" outlineLevel="1" x14ac:dyDescent="0.2">
      <c r="B603" s="118"/>
      <c r="C603" s="132"/>
      <c r="D603" s="118"/>
      <c r="E603" s="118"/>
      <c r="F603" s="118"/>
      <c r="G603" s="174"/>
      <c r="H603" s="95" t="s">
        <v>4</v>
      </c>
      <c r="I603" s="94">
        <f t="shared" si="197"/>
        <v>0</v>
      </c>
      <c r="J603" s="94"/>
      <c r="K603" s="65"/>
      <c r="L603" s="94"/>
      <c r="M603" s="94"/>
      <c r="N603" s="94"/>
      <c r="O603" s="94"/>
      <c r="P603" s="118"/>
    </row>
    <row r="604" spans="2:17" outlineLevel="1" x14ac:dyDescent="0.2">
      <c r="B604" s="118"/>
      <c r="C604" s="132"/>
      <c r="D604" s="118"/>
      <c r="E604" s="118"/>
      <c r="F604" s="118"/>
      <c r="G604" s="174"/>
      <c r="H604" s="95" t="s">
        <v>6</v>
      </c>
      <c r="I604" s="94">
        <f t="shared" si="197"/>
        <v>198.1</v>
      </c>
      <c r="J604" s="27"/>
      <c r="K604" s="66">
        <v>5</v>
      </c>
      <c r="L604" s="94">
        <v>93.1</v>
      </c>
      <c r="M604" s="94">
        <v>100</v>
      </c>
      <c r="N604" s="94"/>
      <c r="O604" s="94"/>
      <c r="P604" s="118"/>
    </row>
    <row r="605" spans="2:17" ht="15" customHeight="1" outlineLevel="1" x14ac:dyDescent="0.2">
      <c r="B605" s="119"/>
      <c r="C605" s="133"/>
      <c r="D605" s="119"/>
      <c r="E605" s="119"/>
      <c r="F605" s="119"/>
      <c r="G605" s="175"/>
      <c r="H605" s="95" t="s">
        <v>5</v>
      </c>
      <c r="I605" s="94">
        <f t="shared" si="197"/>
        <v>0</v>
      </c>
      <c r="J605" s="94"/>
      <c r="K605" s="94"/>
      <c r="L605" s="94"/>
      <c r="M605" s="94"/>
      <c r="N605" s="94"/>
      <c r="O605" s="94"/>
      <c r="P605" s="119"/>
    </row>
    <row r="606" spans="2:17" ht="42.75" x14ac:dyDescent="0.2">
      <c r="B606" s="128" t="s">
        <v>560</v>
      </c>
      <c r="C606" s="128" t="s">
        <v>38</v>
      </c>
      <c r="D606" s="128" t="s">
        <v>38</v>
      </c>
      <c r="E606" s="128" t="s">
        <v>38</v>
      </c>
      <c r="F606" s="128" t="s">
        <v>38</v>
      </c>
      <c r="G606" s="128" t="s">
        <v>38</v>
      </c>
      <c r="H606" s="95" t="s">
        <v>3</v>
      </c>
      <c r="I606" s="14">
        <f t="shared" ref="I606:O606" si="200">SUMIF($H$590:$H$605,"Объем*",I$590:I$605)</f>
        <v>291.2</v>
      </c>
      <c r="J606" s="14">
        <f t="shared" si="200"/>
        <v>17</v>
      </c>
      <c r="K606" s="14">
        <f t="shared" si="200"/>
        <v>38.6</v>
      </c>
      <c r="L606" s="14">
        <f t="shared" si="200"/>
        <v>135.6</v>
      </c>
      <c r="M606" s="14">
        <f t="shared" si="200"/>
        <v>100</v>
      </c>
      <c r="N606" s="14">
        <f t="shared" si="200"/>
        <v>0</v>
      </c>
      <c r="O606" s="14">
        <f t="shared" si="200"/>
        <v>0</v>
      </c>
      <c r="P606" s="128"/>
      <c r="Q606" s="7"/>
    </row>
    <row r="607" spans="2:17" ht="15.75" x14ac:dyDescent="0.2">
      <c r="B607" s="129"/>
      <c r="C607" s="129"/>
      <c r="D607" s="129"/>
      <c r="E607" s="129"/>
      <c r="F607" s="129"/>
      <c r="G607" s="129"/>
      <c r="H607" s="95" t="s">
        <v>4</v>
      </c>
      <c r="I607" s="14">
        <f t="shared" ref="I607:O607" si="201">SUMIF($H$590:$H$605,"фед*",I$590:I$605)</f>
        <v>0</v>
      </c>
      <c r="J607" s="14">
        <f t="shared" si="201"/>
        <v>0</v>
      </c>
      <c r="K607" s="14">
        <f t="shared" si="201"/>
        <v>0</v>
      </c>
      <c r="L607" s="14">
        <f t="shared" si="201"/>
        <v>0</v>
      </c>
      <c r="M607" s="14">
        <f t="shared" si="201"/>
        <v>0</v>
      </c>
      <c r="N607" s="14">
        <f t="shared" si="201"/>
        <v>0</v>
      </c>
      <c r="O607" s="14">
        <f t="shared" si="201"/>
        <v>0</v>
      </c>
      <c r="P607" s="129"/>
      <c r="Q607" s="7"/>
    </row>
    <row r="608" spans="2:17" ht="15.75" x14ac:dyDescent="0.2">
      <c r="B608" s="129"/>
      <c r="C608" s="129"/>
      <c r="D608" s="129"/>
      <c r="E608" s="129"/>
      <c r="F608" s="129"/>
      <c r="G608" s="129"/>
      <c r="H608" s="95" t="s">
        <v>6</v>
      </c>
      <c r="I608" s="14">
        <f t="shared" ref="I608:O608" si="202">SUMIF($H$590:$H$605,"конс*",I$590:I$605)</f>
        <v>291.2</v>
      </c>
      <c r="J608" s="14">
        <f t="shared" si="202"/>
        <v>17</v>
      </c>
      <c r="K608" s="14">
        <f t="shared" si="202"/>
        <v>38.6</v>
      </c>
      <c r="L608" s="14">
        <f t="shared" si="202"/>
        <v>135.6</v>
      </c>
      <c r="M608" s="14">
        <f t="shared" si="202"/>
        <v>100</v>
      </c>
      <c r="N608" s="14">
        <f t="shared" si="202"/>
        <v>0</v>
      </c>
      <c r="O608" s="14">
        <f t="shared" si="202"/>
        <v>0</v>
      </c>
      <c r="P608" s="129"/>
      <c r="Q608" s="7"/>
    </row>
    <row r="609" spans="2:18" ht="15.75" x14ac:dyDescent="0.2">
      <c r="B609" s="130"/>
      <c r="C609" s="130"/>
      <c r="D609" s="130"/>
      <c r="E609" s="130"/>
      <c r="F609" s="130"/>
      <c r="G609" s="130"/>
      <c r="H609" s="95" t="s">
        <v>5</v>
      </c>
      <c r="I609" s="14">
        <f t="shared" ref="I609:O609" si="203">SUMIF($H$590:$H$605,"вне*",I$590:I$605)</f>
        <v>0</v>
      </c>
      <c r="J609" s="14">
        <f t="shared" si="203"/>
        <v>0</v>
      </c>
      <c r="K609" s="14">
        <f t="shared" si="203"/>
        <v>0</v>
      </c>
      <c r="L609" s="14">
        <f t="shared" si="203"/>
        <v>0</v>
      </c>
      <c r="M609" s="14">
        <f t="shared" si="203"/>
        <v>0</v>
      </c>
      <c r="N609" s="14">
        <f t="shared" si="203"/>
        <v>0</v>
      </c>
      <c r="O609" s="14">
        <f t="shared" si="203"/>
        <v>0</v>
      </c>
      <c r="P609" s="130"/>
      <c r="Q609" s="7"/>
      <c r="R609" s="7"/>
    </row>
    <row r="610" spans="2:18" ht="25.5" customHeight="1" x14ac:dyDescent="0.2">
      <c r="B610" s="111" t="s">
        <v>65</v>
      </c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3"/>
    </row>
    <row r="611" spans="2:18" ht="42.75" outlineLevel="1" x14ac:dyDescent="0.2">
      <c r="B611" s="117" t="s">
        <v>1436</v>
      </c>
      <c r="C611" s="117" t="s">
        <v>1231</v>
      </c>
      <c r="D611" s="117" t="s">
        <v>65</v>
      </c>
      <c r="E611" s="117" t="s">
        <v>286</v>
      </c>
      <c r="F611" s="117" t="s">
        <v>1437</v>
      </c>
      <c r="G611" s="117" t="s">
        <v>1438</v>
      </c>
      <c r="H611" s="95" t="s">
        <v>3</v>
      </c>
      <c r="I611" s="54">
        <f>SUM(J611:O611)</f>
        <v>1100</v>
      </c>
      <c r="J611" s="94">
        <f t="shared" ref="J611:O611" si="204">J612+J613+J614</f>
        <v>0</v>
      </c>
      <c r="K611" s="94">
        <f t="shared" si="204"/>
        <v>0</v>
      </c>
      <c r="L611" s="94">
        <f t="shared" si="204"/>
        <v>0</v>
      </c>
      <c r="M611" s="94">
        <f t="shared" si="204"/>
        <v>350</v>
      </c>
      <c r="N611" s="94">
        <f t="shared" si="204"/>
        <v>400</v>
      </c>
      <c r="O611" s="94">
        <f t="shared" si="204"/>
        <v>350</v>
      </c>
      <c r="P611" s="134">
        <v>1100</v>
      </c>
    </row>
    <row r="612" spans="2:18" ht="15" customHeight="1" outlineLevel="1" x14ac:dyDescent="0.2">
      <c r="B612" s="118"/>
      <c r="C612" s="190"/>
      <c r="D612" s="118"/>
      <c r="E612" s="118"/>
      <c r="F612" s="118"/>
      <c r="G612" s="118"/>
      <c r="H612" s="95" t="s">
        <v>4</v>
      </c>
      <c r="I612" s="54">
        <f>SUM(J612:O612)</f>
        <v>1089</v>
      </c>
      <c r="J612" s="94"/>
      <c r="K612" s="94"/>
      <c r="L612" s="94"/>
      <c r="M612" s="94">
        <v>346.5</v>
      </c>
      <c r="N612" s="94">
        <v>396</v>
      </c>
      <c r="O612" s="94">
        <v>346.5</v>
      </c>
      <c r="P612" s="135"/>
    </row>
    <row r="613" spans="2:18" ht="15" customHeight="1" outlineLevel="1" x14ac:dyDescent="0.2">
      <c r="B613" s="118"/>
      <c r="C613" s="190"/>
      <c r="D613" s="118"/>
      <c r="E613" s="118"/>
      <c r="F613" s="118"/>
      <c r="G613" s="118"/>
      <c r="H613" s="95" t="s">
        <v>6</v>
      </c>
      <c r="I613" s="54">
        <f>SUM(J613:O613)</f>
        <v>11</v>
      </c>
      <c r="J613" s="94"/>
      <c r="K613" s="94"/>
      <c r="L613" s="94"/>
      <c r="M613" s="94">
        <v>3.5</v>
      </c>
      <c r="N613" s="94">
        <v>4</v>
      </c>
      <c r="O613" s="94">
        <v>3.5</v>
      </c>
      <c r="P613" s="135"/>
    </row>
    <row r="614" spans="2:18" ht="15" customHeight="1" outlineLevel="1" x14ac:dyDescent="0.2">
      <c r="B614" s="119"/>
      <c r="C614" s="191"/>
      <c r="D614" s="119"/>
      <c r="E614" s="119"/>
      <c r="F614" s="119"/>
      <c r="G614" s="119"/>
      <c r="H614" s="95" t="s">
        <v>5</v>
      </c>
      <c r="I614" s="54"/>
      <c r="J614" s="94"/>
      <c r="K614" s="94"/>
      <c r="L614" s="94"/>
      <c r="M614" s="94"/>
      <c r="N614" s="94"/>
      <c r="O614" s="94"/>
      <c r="P614" s="136"/>
    </row>
    <row r="615" spans="2:18" ht="42.75" outlineLevel="1" x14ac:dyDescent="0.2">
      <c r="B615" s="117" t="s">
        <v>1439</v>
      </c>
      <c r="C615" s="117" t="s">
        <v>1231</v>
      </c>
      <c r="D615" s="117" t="s">
        <v>65</v>
      </c>
      <c r="E615" s="117" t="s">
        <v>1440</v>
      </c>
      <c r="F615" s="117" t="s">
        <v>1437</v>
      </c>
      <c r="G615" s="117" t="s">
        <v>138</v>
      </c>
      <c r="H615" s="95" t="s">
        <v>3</v>
      </c>
      <c r="I615" s="54">
        <f>SUM(J615:O615)</f>
        <v>357</v>
      </c>
      <c r="J615" s="94">
        <f t="shared" ref="J615:K615" si="205">J616+J617+J618</f>
        <v>0</v>
      </c>
      <c r="K615" s="94">
        <f t="shared" si="205"/>
        <v>0</v>
      </c>
      <c r="L615" s="94"/>
      <c r="M615" s="94"/>
      <c r="N615" s="94">
        <f t="shared" ref="N615:O615" si="206">N616+N617+N618</f>
        <v>7</v>
      </c>
      <c r="O615" s="94">
        <f t="shared" si="206"/>
        <v>350</v>
      </c>
      <c r="P615" s="134">
        <v>1100</v>
      </c>
    </row>
    <row r="616" spans="2:18" ht="15" customHeight="1" outlineLevel="1" x14ac:dyDescent="0.2">
      <c r="B616" s="118"/>
      <c r="C616" s="190"/>
      <c r="D616" s="118"/>
      <c r="E616" s="118"/>
      <c r="F616" s="118"/>
      <c r="G616" s="118"/>
      <c r="H616" s="95" t="s">
        <v>4</v>
      </c>
      <c r="I616" s="54">
        <f>SUM(J616:O616)</f>
        <v>346.5</v>
      </c>
      <c r="J616" s="94"/>
      <c r="K616" s="94"/>
      <c r="L616" s="94"/>
      <c r="M616" s="94"/>
      <c r="N616" s="94">
        <v>0</v>
      </c>
      <c r="O616" s="94">
        <v>346.5</v>
      </c>
      <c r="P616" s="135"/>
    </row>
    <row r="617" spans="2:18" ht="15" customHeight="1" outlineLevel="1" x14ac:dyDescent="0.2">
      <c r="B617" s="118"/>
      <c r="C617" s="190"/>
      <c r="D617" s="118"/>
      <c r="E617" s="118"/>
      <c r="F617" s="118"/>
      <c r="G617" s="118"/>
      <c r="H617" s="95" t="s">
        <v>6</v>
      </c>
      <c r="I617" s="54">
        <f>SUM(J617:O617)</f>
        <v>10.5</v>
      </c>
      <c r="J617" s="94"/>
      <c r="K617" s="94"/>
      <c r="L617" s="94"/>
      <c r="M617" s="94"/>
      <c r="N617" s="94">
        <v>7</v>
      </c>
      <c r="O617" s="94">
        <v>3.5</v>
      </c>
      <c r="P617" s="135"/>
    </row>
    <row r="618" spans="2:18" ht="15" customHeight="1" outlineLevel="1" x14ac:dyDescent="0.2">
      <c r="B618" s="119"/>
      <c r="C618" s="191"/>
      <c r="D618" s="119"/>
      <c r="E618" s="119"/>
      <c r="F618" s="119"/>
      <c r="G618" s="119"/>
      <c r="H618" s="95" t="s">
        <v>5</v>
      </c>
      <c r="I618" s="54"/>
      <c r="J618" s="94"/>
      <c r="K618" s="94"/>
      <c r="L618" s="94"/>
      <c r="M618" s="94"/>
      <c r="N618" s="94"/>
      <c r="O618" s="94"/>
      <c r="P618" s="136"/>
    </row>
    <row r="619" spans="2:18" ht="42.75" outlineLevel="1" x14ac:dyDescent="0.2">
      <c r="B619" s="117" t="s">
        <v>1441</v>
      </c>
      <c r="C619" s="117" t="s">
        <v>1231</v>
      </c>
      <c r="D619" s="117" t="s">
        <v>65</v>
      </c>
      <c r="E619" s="117" t="s">
        <v>1440</v>
      </c>
      <c r="F619" s="117" t="s">
        <v>1442</v>
      </c>
      <c r="G619" s="117" t="s">
        <v>1438</v>
      </c>
      <c r="H619" s="95" t="s">
        <v>3</v>
      </c>
      <c r="I619" s="54">
        <f>SUM(J619:O619)</f>
        <v>550</v>
      </c>
      <c r="J619" s="94">
        <f t="shared" ref="J619:L619" si="207">J620+J621+J622</f>
        <v>0</v>
      </c>
      <c r="K619" s="94">
        <f t="shared" si="207"/>
        <v>0</v>
      </c>
      <c r="L619" s="94">
        <f t="shared" si="207"/>
        <v>0</v>
      </c>
      <c r="M619" s="94"/>
      <c r="N619" s="94">
        <f t="shared" ref="N619:O619" si="208">N620+N621+N622</f>
        <v>275</v>
      </c>
      <c r="O619" s="94">
        <f t="shared" si="208"/>
        <v>275</v>
      </c>
      <c r="P619" s="134">
        <v>850</v>
      </c>
    </row>
    <row r="620" spans="2:18" ht="15" customHeight="1" outlineLevel="1" x14ac:dyDescent="0.2">
      <c r="B620" s="118"/>
      <c r="C620" s="190"/>
      <c r="D620" s="118"/>
      <c r="E620" s="118"/>
      <c r="F620" s="118"/>
      <c r="G620" s="118"/>
      <c r="H620" s="95" t="s">
        <v>4</v>
      </c>
      <c r="I620" s="54">
        <f>SUM(J620:O620)</f>
        <v>544.6</v>
      </c>
      <c r="J620" s="94"/>
      <c r="K620" s="94"/>
      <c r="L620" s="94"/>
      <c r="M620" s="94"/>
      <c r="N620" s="94">
        <v>272.3</v>
      </c>
      <c r="O620" s="94">
        <v>272.3</v>
      </c>
      <c r="P620" s="135"/>
    </row>
    <row r="621" spans="2:18" ht="15" customHeight="1" outlineLevel="1" x14ac:dyDescent="0.2">
      <c r="B621" s="118"/>
      <c r="C621" s="190"/>
      <c r="D621" s="118"/>
      <c r="E621" s="118"/>
      <c r="F621" s="118"/>
      <c r="G621" s="118"/>
      <c r="H621" s="95" t="s">
        <v>6</v>
      </c>
      <c r="I621" s="54">
        <f>SUM(J621:O621)</f>
        <v>5.4</v>
      </c>
      <c r="J621" s="94"/>
      <c r="K621" s="94"/>
      <c r="L621" s="94"/>
      <c r="M621" s="94"/>
      <c r="N621" s="94">
        <v>2.7</v>
      </c>
      <c r="O621" s="94">
        <v>2.7</v>
      </c>
      <c r="P621" s="135"/>
    </row>
    <row r="622" spans="2:18" ht="15" customHeight="1" outlineLevel="1" x14ac:dyDescent="0.2">
      <c r="B622" s="119"/>
      <c r="C622" s="191"/>
      <c r="D622" s="119"/>
      <c r="E622" s="119"/>
      <c r="F622" s="119"/>
      <c r="G622" s="119"/>
      <c r="H622" s="95" t="s">
        <v>5</v>
      </c>
      <c r="I622" s="54"/>
      <c r="J622" s="94"/>
      <c r="K622" s="94"/>
      <c r="L622" s="94"/>
      <c r="M622" s="94"/>
      <c r="N622" s="94"/>
      <c r="O622" s="94"/>
      <c r="P622" s="136"/>
    </row>
    <row r="623" spans="2:18" ht="42.75" outlineLevel="1" x14ac:dyDescent="0.2">
      <c r="B623" s="117" t="s">
        <v>1443</v>
      </c>
      <c r="C623" s="117" t="s">
        <v>1231</v>
      </c>
      <c r="D623" s="117" t="s">
        <v>65</v>
      </c>
      <c r="E623" s="117" t="s">
        <v>503</v>
      </c>
      <c r="F623" s="117" t="s">
        <v>1437</v>
      </c>
      <c r="G623" s="117" t="s">
        <v>138</v>
      </c>
      <c r="H623" s="95" t="s">
        <v>3</v>
      </c>
      <c r="I623" s="54">
        <f>SUM(J623:O623)</f>
        <v>757</v>
      </c>
      <c r="J623" s="94">
        <f t="shared" ref="J623:K623" si="209">J624+J625+J626</f>
        <v>0</v>
      </c>
      <c r="K623" s="94">
        <f t="shared" si="209"/>
        <v>0</v>
      </c>
      <c r="L623" s="94"/>
      <c r="M623" s="94">
        <f t="shared" ref="M623:O623" si="210">M624+M625+M626</f>
        <v>7</v>
      </c>
      <c r="N623" s="94">
        <f t="shared" si="210"/>
        <v>350</v>
      </c>
      <c r="O623" s="94">
        <f t="shared" si="210"/>
        <v>400</v>
      </c>
      <c r="P623" s="134">
        <v>1100</v>
      </c>
    </row>
    <row r="624" spans="2:18" ht="15" customHeight="1" outlineLevel="1" x14ac:dyDescent="0.2">
      <c r="B624" s="118"/>
      <c r="C624" s="190"/>
      <c r="D624" s="118"/>
      <c r="E624" s="118"/>
      <c r="F624" s="118"/>
      <c r="G624" s="118"/>
      <c r="H624" s="95" t="s">
        <v>4</v>
      </c>
      <c r="I624" s="54">
        <f>SUM(J624:O624)</f>
        <v>742.5</v>
      </c>
      <c r="J624" s="94"/>
      <c r="K624" s="94"/>
      <c r="L624" s="94"/>
      <c r="M624" s="94">
        <v>0</v>
      </c>
      <c r="N624" s="94">
        <v>346.5</v>
      </c>
      <c r="O624" s="94">
        <v>396</v>
      </c>
      <c r="P624" s="135"/>
    </row>
    <row r="625" spans="2:16" ht="15" customHeight="1" outlineLevel="1" x14ac:dyDescent="0.2">
      <c r="B625" s="118"/>
      <c r="C625" s="190"/>
      <c r="D625" s="118"/>
      <c r="E625" s="118"/>
      <c r="F625" s="118"/>
      <c r="G625" s="118"/>
      <c r="H625" s="95" t="s">
        <v>6</v>
      </c>
      <c r="I625" s="54">
        <f>SUM(J625:O625)</f>
        <v>14.5</v>
      </c>
      <c r="J625" s="94"/>
      <c r="K625" s="94"/>
      <c r="L625" s="94"/>
      <c r="M625" s="94">
        <v>7</v>
      </c>
      <c r="N625" s="94">
        <v>3.5</v>
      </c>
      <c r="O625" s="94">
        <v>4</v>
      </c>
      <c r="P625" s="135"/>
    </row>
    <row r="626" spans="2:16" ht="15" customHeight="1" outlineLevel="1" x14ac:dyDescent="0.2">
      <c r="B626" s="119"/>
      <c r="C626" s="191"/>
      <c r="D626" s="119"/>
      <c r="E626" s="119"/>
      <c r="F626" s="119"/>
      <c r="G626" s="119"/>
      <c r="H626" s="95" t="s">
        <v>5</v>
      </c>
      <c r="I626" s="54"/>
      <c r="J626" s="94"/>
      <c r="K626" s="94"/>
      <c r="L626" s="94"/>
      <c r="M626" s="94"/>
      <c r="N626" s="94"/>
      <c r="O626" s="94"/>
      <c r="P626" s="136"/>
    </row>
    <row r="627" spans="2:16" ht="42.75" outlineLevel="1" x14ac:dyDescent="0.2">
      <c r="B627" s="117" t="s">
        <v>1444</v>
      </c>
      <c r="C627" s="117" t="s">
        <v>1231</v>
      </c>
      <c r="D627" s="117" t="s">
        <v>65</v>
      </c>
      <c r="E627" s="117" t="s">
        <v>503</v>
      </c>
      <c r="F627" s="117" t="s">
        <v>1445</v>
      </c>
      <c r="G627" s="117" t="s">
        <v>138</v>
      </c>
      <c r="H627" s="95" t="s">
        <v>3</v>
      </c>
      <c r="I627" s="54">
        <f>SUM(J627:O627)</f>
        <v>557</v>
      </c>
      <c r="J627" s="94">
        <f t="shared" ref="J627:K627" si="211">J628+J629+J630</f>
        <v>0</v>
      </c>
      <c r="K627" s="94">
        <f t="shared" si="211"/>
        <v>0</v>
      </c>
      <c r="L627" s="94"/>
      <c r="M627" s="94">
        <f t="shared" ref="M627:O627" si="212">M628+M629+M630</f>
        <v>7</v>
      </c>
      <c r="N627" s="94">
        <f t="shared" si="212"/>
        <v>275</v>
      </c>
      <c r="O627" s="94">
        <f t="shared" si="212"/>
        <v>275</v>
      </c>
      <c r="P627" s="134">
        <v>825</v>
      </c>
    </row>
    <row r="628" spans="2:16" ht="15" customHeight="1" outlineLevel="1" x14ac:dyDescent="0.2">
      <c r="B628" s="118"/>
      <c r="C628" s="190"/>
      <c r="D628" s="118"/>
      <c r="E628" s="118"/>
      <c r="F628" s="118"/>
      <c r="G628" s="118"/>
      <c r="H628" s="95" t="s">
        <v>4</v>
      </c>
      <c r="I628" s="54">
        <f>SUM(J628:O628)</f>
        <v>544.6</v>
      </c>
      <c r="J628" s="94"/>
      <c r="K628" s="94"/>
      <c r="L628" s="94"/>
      <c r="M628" s="94">
        <v>0</v>
      </c>
      <c r="N628" s="94">
        <v>272.3</v>
      </c>
      <c r="O628" s="94">
        <v>272.3</v>
      </c>
      <c r="P628" s="135"/>
    </row>
    <row r="629" spans="2:16" ht="15" customHeight="1" outlineLevel="1" x14ac:dyDescent="0.2">
      <c r="B629" s="118"/>
      <c r="C629" s="190"/>
      <c r="D629" s="118"/>
      <c r="E629" s="118"/>
      <c r="F629" s="118"/>
      <c r="G629" s="118"/>
      <c r="H629" s="95" t="s">
        <v>6</v>
      </c>
      <c r="I629" s="54">
        <f>SUM(J629:O629)</f>
        <v>12.399999999999999</v>
      </c>
      <c r="J629" s="94"/>
      <c r="K629" s="94"/>
      <c r="L629" s="94"/>
      <c r="M629" s="94">
        <v>7</v>
      </c>
      <c r="N629" s="94">
        <v>2.7</v>
      </c>
      <c r="O629" s="94">
        <v>2.7</v>
      </c>
      <c r="P629" s="135"/>
    </row>
    <row r="630" spans="2:16" ht="15" customHeight="1" outlineLevel="1" x14ac:dyDescent="0.2">
      <c r="B630" s="119"/>
      <c r="C630" s="191"/>
      <c r="D630" s="119"/>
      <c r="E630" s="119"/>
      <c r="F630" s="119"/>
      <c r="G630" s="119"/>
      <c r="H630" s="95" t="s">
        <v>5</v>
      </c>
      <c r="I630" s="54"/>
      <c r="J630" s="94"/>
      <c r="K630" s="94"/>
      <c r="L630" s="94"/>
      <c r="M630" s="94"/>
      <c r="N630" s="94"/>
      <c r="O630" s="94"/>
      <c r="P630" s="136"/>
    </row>
    <row r="631" spans="2:16" ht="42.75" customHeight="1" outlineLevel="1" x14ac:dyDescent="0.2">
      <c r="B631" s="117" t="s">
        <v>1994</v>
      </c>
      <c r="C631" s="117" t="s">
        <v>1231</v>
      </c>
      <c r="D631" s="117" t="s">
        <v>65</v>
      </c>
      <c r="E631" s="117" t="s">
        <v>1440</v>
      </c>
      <c r="F631" s="117" t="s">
        <v>1437</v>
      </c>
      <c r="G631" s="117" t="s">
        <v>138</v>
      </c>
      <c r="H631" s="95" t="s">
        <v>3</v>
      </c>
      <c r="I631" s="54">
        <f>SUM(J631:O631)</f>
        <v>357</v>
      </c>
      <c r="J631" s="94">
        <f t="shared" ref="J631:K631" si="213">J632+J633+J634</f>
        <v>0</v>
      </c>
      <c r="K631" s="94">
        <f t="shared" si="213"/>
        <v>0</v>
      </c>
      <c r="L631" s="94"/>
      <c r="M631" s="94"/>
      <c r="N631" s="94">
        <f t="shared" ref="N631:O631" si="214">N632+N633+N634</f>
        <v>7</v>
      </c>
      <c r="O631" s="94">
        <f t="shared" si="214"/>
        <v>350</v>
      </c>
      <c r="P631" s="134">
        <v>1100</v>
      </c>
    </row>
    <row r="632" spans="2:16" ht="15" customHeight="1" outlineLevel="1" x14ac:dyDescent="0.2">
      <c r="B632" s="118"/>
      <c r="C632" s="190"/>
      <c r="D632" s="118"/>
      <c r="E632" s="118"/>
      <c r="F632" s="118"/>
      <c r="G632" s="118"/>
      <c r="H632" s="95" t="s">
        <v>4</v>
      </c>
      <c r="I632" s="54">
        <f>SUM(J632:O632)</f>
        <v>346.5</v>
      </c>
      <c r="J632" s="94"/>
      <c r="K632" s="94"/>
      <c r="L632" s="94"/>
      <c r="M632" s="94"/>
      <c r="N632" s="94">
        <v>0</v>
      </c>
      <c r="O632" s="94">
        <v>346.5</v>
      </c>
      <c r="P632" s="135"/>
    </row>
    <row r="633" spans="2:16" ht="15" customHeight="1" outlineLevel="1" x14ac:dyDescent="0.2">
      <c r="B633" s="118"/>
      <c r="C633" s="190"/>
      <c r="D633" s="118"/>
      <c r="E633" s="118"/>
      <c r="F633" s="118"/>
      <c r="G633" s="118"/>
      <c r="H633" s="95" t="s">
        <v>6</v>
      </c>
      <c r="I633" s="54">
        <f>SUM(J633:O633)</f>
        <v>10.5</v>
      </c>
      <c r="J633" s="94"/>
      <c r="K633" s="94"/>
      <c r="L633" s="94"/>
      <c r="M633" s="94"/>
      <c r="N633" s="94">
        <v>7</v>
      </c>
      <c r="O633" s="94">
        <v>3.5</v>
      </c>
      <c r="P633" s="135"/>
    </row>
    <row r="634" spans="2:16" ht="15" customHeight="1" outlineLevel="1" x14ac:dyDescent="0.2">
      <c r="B634" s="119"/>
      <c r="C634" s="191"/>
      <c r="D634" s="119"/>
      <c r="E634" s="119"/>
      <c r="F634" s="119"/>
      <c r="G634" s="119"/>
      <c r="H634" s="95" t="s">
        <v>5</v>
      </c>
      <c r="I634" s="54"/>
      <c r="J634" s="94"/>
      <c r="K634" s="94"/>
      <c r="L634" s="94"/>
      <c r="M634" s="94"/>
      <c r="N634" s="94"/>
      <c r="O634" s="94"/>
      <c r="P634" s="136"/>
    </row>
    <row r="635" spans="2:16" ht="42.75" outlineLevel="1" x14ac:dyDescent="0.2">
      <c r="B635" s="117" t="s">
        <v>1446</v>
      </c>
      <c r="C635" s="117" t="s">
        <v>1231</v>
      </c>
      <c r="D635" s="117" t="s">
        <v>65</v>
      </c>
      <c r="E635" s="117" t="s">
        <v>75</v>
      </c>
      <c r="F635" s="117" t="s">
        <v>1437</v>
      </c>
      <c r="G635" s="117" t="s">
        <v>1447</v>
      </c>
      <c r="H635" s="95" t="s">
        <v>3</v>
      </c>
      <c r="I635" s="54">
        <f>SUM(J635:O635)</f>
        <v>1100</v>
      </c>
      <c r="J635" s="94">
        <f t="shared" ref="J635:N635" si="215">J636+J637+J638</f>
        <v>0</v>
      </c>
      <c r="K635" s="94">
        <f t="shared" si="215"/>
        <v>0</v>
      </c>
      <c r="L635" s="94">
        <f t="shared" si="215"/>
        <v>350</v>
      </c>
      <c r="M635" s="94">
        <f t="shared" si="215"/>
        <v>400</v>
      </c>
      <c r="N635" s="94">
        <f t="shared" si="215"/>
        <v>350</v>
      </c>
      <c r="O635" s="94"/>
      <c r="P635" s="134">
        <v>1100</v>
      </c>
    </row>
    <row r="636" spans="2:16" ht="15" customHeight="1" outlineLevel="1" x14ac:dyDescent="0.2">
      <c r="B636" s="118"/>
      <c r="C636" s="190"/>
      <c r="D636" s="118"/>
      <c r="E636" s="118"/>
      <c r="F636" s="118"/>
      <c r="G636" s="118"/>
      <c r="H636" s="95" t="s">
        <v>4</v>
      </c>
      <c r="I636" s="54">
        <f>SUM(J636:O636)</f>
        <v>1089</v>
      </c>
      <c r="J636" s="94"/>
      <c r="K636" s="94"/>
      <c r="L636" s="94">
        <v>346.5</v>
      </c>
      <c r="M636" s="94">
        <v>396</v>
      </c>
      <c r="N636" s="94">
        <v>346.5</v>
      </c>
      <c r="O636" s="94"/>
      <c r="P636" s="135"/>
    </row>
    <row r="637" spans="2:16" ht="15" customHeight="1" outlineLevel="1" x14ac:dyDescent="0.2">
      <c r="B637" s="118"/>
      <c r="C637" s="190"/>
      <c r="D637" s="118"/>
      <c r="E637" s="118"/>
      <c r="F637" s="118"/>
      <c r="G637" s="118"/>
      <c r="H637" s="95" t="s">
        <v>6</v>
      </c>
      <c r="I637" s="54">
        <f>SUM(J637:O637)</f>
        <v>11</v>
      </c>
      <c r="J637" s="94"/>
      <c r="K637" s="94"/>
      <c r="L637" s="94">
        <v>3.5</v>
      </c>
      <c r="M637" s="94">
        <v>4</v>
      </c>
      <c r="N637" s="94">
        <v>3.5</v>
      </c>
      <c r="O637" s="94"/>
      <c r="P637" s="135"/>
    </row>
    <row r="638" spans="2:16" ht="15" customHeight="1" outlineLevel="1" x14ac:dyDescent="0.2">
      <c r="B638" s="119"/>
      <c r="C638" s="191"/>
      <c r="D638" s="119"/>
      <c r="E638" s="119"/>
      <c r="F638" s="119"/>
      <c r="G638" s="119"/>
      <c r="H638" s="95" t="s">
        <v>5</v>
      </c>
      <c r="I638" s="54"/>
      <c r="J638" s="94"/>
      <c r="K638" s="94"/>
      <c r="L638" s="94"/>
      <c r="M638" s="94"/>
      <c r="N638" s="94"/>
      <c r="O638" s="94"/>
      <c r="P638" s="136"/>
    </row>
    <row r="639" spans="2:16" ht="42.75" customHeight="1" outlineLevel="1" x14ac:dyDescent="0.2">
      <c r="B639" s="117" t="s">
        <v>1448</v>
      </c>
      <c r="C639" s="117" t="s">
        <v>1231</v>
      </c>
      <c r="D639" s="117" t="s">
        <v>65</v>
      </c>
      <c r="E639" s="117" t="s">
        <v>75</v>
      </c>
      <c r="F639" s="117" t="s">
        <v>1449</v>
      </c>
      <c r="G639" s="117" t="s">
        <v>1450</v>
      </c>
      <c r="H639" s="95" t="s">
        <v>3</v>
      </c>
      <c r="I639" s="54">
        <f>SUM(J639:O639)</f>
        <v>1500</v>
      </c>
      <c r="J639" s="94">
        <f t="shared" ref="J639:O639" si="216">J640+J641+J642</f>
        <v>0</v>
      </c>
      <c r="K639" s="94">
        <f t="shared" si="216"/>
        <v>0</v>
      </c>
      <c r="L639" s="94">
        <f t="shared" si="216"/>
        <v>500</v>
      </c>
      <c r="M639" s="94">
        <f t="shared" si="216"/>
        <v>500</v>
      </c>
      <c r="N639" s="94">
        <f t="shared" si="216"/>
        <v>500</v>
      </c>
      <c r="O639" s="94">
        <f t="shared" si="216"/>
        <v>0</v>
      </c>
      <c r="P639" s="134">
        <v>1500</v>
      </c>
    </row>
    <row r="640" spans="2:16" ht="15" customHeight="1" outlineLevel="1" x14ac:dyDescent="0.2">
      <c r="B640" s="118"/>
      <c r="C640" s="190"/>
      <c r="D640" s="118"/>
      <c r="E640" s="118"/>
      <c r="F640" s="118"/>
      <c r="G640" s="118"/>
      <c r="H640" s="95" t="s">
        <v>4</v>
      </c>
      <c r="I640" s="54">
        <f>SUM(J640:O640)</f>
        <v>1485</v>
      </c>
      <c r="J640" s="94"/>
      <c r="K640" s="94"/>
      <c r="L640" s="94">
        <v>495</v>
      </c>
      <c r="M640" s="94">
        <v>495</v>
      </c>
      <c r="N640" s="94">
        <v>495</v>
      </c>
      <c r="O640" s="94"/>
      <c r="P640" s="135"/>
    </row>
    <row r="641" spans="2:16" ht="15" customHeight="1" outlineLevel="1" x14ac:dyDescent="0.2">
      <c r="B641" s="118"/>
      <c r="C641" s="190"/>
      <c r="D641" s="118"/>
      <c r="E641" s="118"/>
      <c r="F641" s="118"/>
      <c r="G641" s="118"/>
      <c r="H641" s="95" t="s">
        <v>6</v>
      </c>
      <c r="I641" s="54">
        <f>SUM(J641:O641)</f>
        <v>15</v>
      </c>
      <c r="J641" s="94"/>
      <c r="K641" s="94"/>
      <c r="L641" s="94">
        <v>5</v>
      </c>
      <c r="M641" s="94">
        <v>5</v>
      </c>
      <c r="N641" s="94">
        <v>5</v>
      </c>
      <c r="O641" s="94"/>
      <c r="P641" s="135"/>
    </row>
    <row r="642" spans="2:16" ht="15" customHeight="1" outlineLevel="1" x14ac:dyDescent="0.2">
      <c r="B642" s="119"/>
      <c r="C642" s="191"/>
      <c r="D642" s="119"/>
      <c r="E642" s="119"/>
      <c r="F642" s="119"/>
      <c r="G642" s="119"/>
      <c r="H642" s="95" t="s">
        <v>5</v>
      </c>
      <c r="I642" s="54"/>
      <c r="J642" s="94"/>
      <c r="K642" s="94"/>
      <c r="L642" s="94"/>
      <c r="M642" s="94"/>
      <c r="N642" s="94"/>
      <c r="O642" s="94"/>
      <c r="P642" s="136"/>
    </row>
    <row r="643" spans="2:16" ht="42.75" outlineLevel="1" x14ac:dyDescent="0.2">
      <c r="B643" s="117" t="s">
        <v>1451</v>
      </c>
      <c r="C643" s="117" t="s">
        <v>1231</v>
      </c>
      <c r="D643" s="117" t="s">
        <v>65</v>
      </c>
      <c r="E643" s="117" t="s">
        <v>94</v>
      </c>
      <c r="F643" s="117" t="s">
        <v>1437</v>
      </c>
      <c r="G643" s="117" t="s">
        <v>1452</v>
      </c>
      <c r="H643" s="95" t="s">
        <v>3</v>
      </c>
      <c r="I643" s="54">
        <f>SUM(J643:O643)</f>
        <v>350</v>
      </c>
      <c r="J643" s="94">
        <f t="shared" ref="J643:O643" si="217">J644+J645+J646</f>
        <v>0</v>
      </c>
      <c r="K643" s="94">
        <f t="shared" si="217"/>
        <v>0</v>
      </c>
      <c r="L643" s="94">
        <f t="shared" si="217"/>
        <v>0</v>
      </c>
      <c r="M643" s="94"/>
      <c r="N643" s="94"/>
      <c r="O643" s="94">
        <f t="shared" si="217"/>
        <v>350</v>
      </c>
      <c r="P643" s="134">
        <v>1100</v>
      </c>
    </row>
    <row r="644" spans="2:16" ht="15" customHeight="1" outlineLevel="1" x14ac:dyDescent="0.2">
      <c r="B644" s="118"/>
      <c r="C644" s="190"/>
      <c r="D644" s="118"/>
      <c r="E644" s="118"/>
      <c r="F644" s="118"/>
      <c r="G644" s="118"/>
      <c r="H644" s="95" t="s">
        <v>4</v>
      </c>
      <c r="I644" s="54">
        <f>SUM(J644:O644)</f>
        <v>346.5</v>
      </c>
      <c r="J644" s="94"/>
      <c r="K644" s="94"/>
      <c r="L644" s="94"/>
      <c r="M644" s="94"/>
      <c r="N644" s="94"/>
      <c r="O644" s="94">
        <v>346.5</v>
      </c>
      <c r="P644" s="135"/>
    </row>
    <row r="645" spans="2:16" ht="15" customHeight="1" outlineLevel="1" x14ac:dyDescent="0.2">
      <c r="B645" s="118"/>
      <c r="C645" s="190"/>
      <c r="D645" s="118"/>
      <c r="E645" s="118"/>
      <c r="F645" s="118"/>
      <c r="G645" s="118"/>
      <c r="H645" s="95" t="s">
        <v>6</v>
      </c>
      <c r="I645" s="54">
        <f>SUM(J645:O645)</f>
        <v>3.5</v>
      </c>
      <c r="J645" s="94"/>
      <c r="K645" s="94"/>
      <c r="L645" s="94"/>
      <c r="M645" s="94"/>
      <c r="N645" s="94"/>
      <c r="O645" s="94">
        <v>3.5</v>
      </c>
      <c r="P645" s="135"/>
    </row>
    <row r="646" spans="2:16" ht="15" customHeight="1" outlineLevel="1" x14ac:dyDescent="0.2">
      <c r="B646" s="119"/>
      <c r="C646" s="191"/>
      <c r="D646" s="119"/>
      <c r="E646" s="119"/>
      <c r="F646" s="119"/>
      <c r="G646" s="119"/>
      <c r="H646" s="95" t="s">
        <v>5</v>
      </c>
      <c r="I646" s="54"/>
      <c r="J646" s="94"/>
      <c r="K646" s="94"/>
      <c r="L646" s="94"/>
      <c r="M646" s="94"/>
      <c r="N646" s="94"/>
      <c r="O646" s="94"/>
      <c r="P646" s="136"/>
    </row>
    <row r="647" spans="2:16" ht="42.75" customHeight="1" outlineLevel="1" x14ac:dyDescent="0.2">
      <c r="B647" s="117" t="s">
        <v>1453</v>
      </c>
      <c r="C647" s="117" t="s">
        <v>1221</v>
      </c>
      <c r="D647" s="117" t="s">
        <v>65</v>
      </c>
      <c r="E647" s="117" t="s">
        <v>50</v>
      </c>
      <c r="F647" s="117" t="s">
        <v>1415</v>
      </c>
      <c r="G647" s="117" t="s">
        <v>1454</v>
      </c>
      <c r="H647" s="95" t="s">
        <v>3</v>
      </c>
      <c r="I647" s="54">
        <f>SUM(J647:O647)</f>
        <v>180</v>
      </c>
      <c r="J647" s="94">
        <f t="shared" ref="J647:L647" si="218">J648+J649+J650</f>
        <v>0</v>
      </c>
      <c r="K647" s="94">
        <f t="shared" si="218"/>
        <v>90</v>
      </c>
      <c r="L647" s="94">
        <f t="shared" si="218"/>
        <v>90</v>
      </c>
      <c r="M647" s="94"/>
      <c r="N647" s="94"/>
      <c r="O647" s="94"/>
      <c r="P647" s="134">
        <v>180</v>
      </c>
    </row>
    <row r="648" spans="2:16" ht="15" customHeight="1" outlineLevel="1" x14ac:dyDescent="0.2">
      <c r="B648" s="118"/>
      <c r="C648" s="190"/>
      <c r="D648" s="118"/>
      <c r="E648" s="118"/>
      <c r="F648" s="118"/>
      <c r="G648" s="118"/>
      <c r="H648" s="95" t="s">
        <v>4</v>
      </c>
      <c r="I648" s="54">
        <f>SUM(J648:O648)</f>
        <v>178.2</v>
      </c>
      <c r="J648" s="94"/>
      <c r="K648" s="94">
        <v>89.1</v>
      </c>
      <c r="L648" s="94">
        <v>89.1</v>
      </c>
      <c r="M648" s="94"/>
      <c r="N648" s="94"/>
      <c r="O648" s="94"/>
      <c r="P648" s="135"/>
    </row>
    <row r="649" spans="2:16" ht="15" customHeight="1" outlineLevel="1" x14ac:dyDescent="0.2">
      <c r="B649" s="118"/>
      <c r="C649" s="190"/>
      <c r="D649" s="118"/>
      <c r="E649" s="118"/>
      <c r="F649" s="118"/>
      <c r="G649" s="118"/>
      <c r="H649" s="95" t="s">
        <v>6</v>
      </c>
      <c r="I649" s="54">
        <f>SUM(J649:O649)</f>
        <v>1.8</v>
      </c>
      <c r="J649" s="94"/>
      <c r="K649" s="94">
        <v>0.9</v>
      </c>
      <c r="L649" s="94">
        <v>0.9</v>
      </c>
      <c r="M649" s="94"/>
      <c r="N649" s="94"/>
      <c r="O649" s="94"/>
      <c r="P649" s="135"/>
    </row>
    <row r="650" spans="2:16" ht="15" customHeight="1" outlineLevel="1" x14ac:dyDescent="0.2">
      <c r="B650" s="119"/>
      <c r="C650" s="191"/>
      <c r="D650" s="119"/>
      <c r="E650" s="119"/>
      <c r="F650" s="119"/>
      <c r="G650" s="119"/>
      <c r="H650" s="95" t="s">
        <v>5</v>
      </c>
      <c r="I650" s="54"/>
      <c r="J650" s="94"/>
      <c r="K650" s="94"/>
      <c r="L650" s="94"/>
      <c r="M650" s="94"/>
      <c r="N650" s="94"/>
      <c r="O650" s="94"/>
      <c r="P650" s="136"/>
    </row>
    <row r="651" spans="2:16" ht="42.75" outlineLevel="1" x14ac:dyDescent="0.2">
      <c r="B651" s="117" t="s">
        <v>1455</v>
      </c>
      <c r="C651" s="117" t="s">
        <v>1221</v>
      </c>
      <c r="D651" s="117" t="s">
        <v>65</v>
      </c>
      <c r="E651" s="117" t="s">
        <v>61</v>
      </c>
      <c r="F651" s="117" t="s">
        <v>1223</v>
      </c>
      <c r="G651" s="117" t="s">
        <v>138</v>
      </c>
      <c r="H651" s="95" t="s">
        <v>3</v>
      </c>
      <c r="I651" s="54">
        <f>SUM(J651:O651)</f>
        <v>180</v>
      </c>
      <c r="J651" s="94"/>
      <c r="K651" s="94"/>
      <c r="L651" s="94">
        <f t="shared" ref="L651:M651" si="219">L652+L653+L654</f>
        <v>90</v>
      </c>
      <c r="M651" s="94">
        <f t="shared" si="219"/>
        <v>90</v>
      </c>
      <c r="N651" s="94"/>
      <c r="O651" s="94"/>
      <c r="P651" s="134">
        <v>240</v>
      </c>
    </row>
    <row r="652" spans="2:16" ht="15" customHeight="1" outlineLevel="1" x14ac:dyDescent="0.2">
      <c r="B652" s="118"/>
      <c r="C652" s="118"/>
      <c r="D652" s="118"/>
      <c r="E652" s="118"/>
      <c r="F652" s="118"/>
      <c r="G652" s="118"/>
      <c r="H652" s="95" t="s">
        <v>4</v>
      </c>
      <c r="I652" s="54">
        <f>SUM(J652:O652)</f>
        <v>178.2</v>
      </c>
      <c r="J652" s="94"/>
      <c r="K652" s="94"/>
      <c r="L652" s="94">
        <v>89.1</v>
      </c>
      <c r="M652" s="94">
        <v>89.1</v>
      </c>
      <c r="N652" s="94"/>
      <c r="O652" s="94"/>
      <c r="P652" s="135"/>
    </row>
    <row r="653" spans="2:16" ht="15" customHeight="1" outlineLevel="1" x14ac:dyDescent="0.2">
      <c r="B653" s="118"/>
      <c r="C653" s="118"/>
      <c r="D653" s="118"/>
      <c r="E653" s="118"/>
      <c r="F653" s="118"/>
      <c r="G653" s="118"/>
      <c r="H653" s="95" t="s">
        <v>6</v>
      </c>
      <c r="I653" s="54">
        <f>SUM(J653:O653)</f>
        <v>1.8</v>
      </c>
      <c r="J653" s="94"/>
      <c r="K653" s="94"/>
      <c r="L653" s="94">
        <v>0.9</v>
      </c>
      <c r="M653" s="94">
        <v>0.9</v>
      </c>
      <c r="N653" s="94"/>
      <c r="O653" s="94"/>
      <c r="P653" s="135"/>
    </row>
    <row r="654" spans="2:16" ht="15" customHeight="1" outlineLevel="1" x14ac:dyDescent="0.2">
      <c r="B654" s="119"/>
      <c r="C654" s="119"/>
      <c r="D654" s="119"/>
      <c r="E654" s="118"/>
      <c r="F654" s="118"/>
      <c r="G654" s="119"/>
      <c r="H654" s="95" t="s">
        <v>5</v>
      </c>
      <c r="I654" s="54"/>
      <c r="J654" s="94"/>
      <c r="K654" s="94"/>
      <c r="L654" s="94"/>
      <c r="M654" s="94"/>
      <c r="N654" s="94"/>
      <c r="O654" s="94"/>
      <c r="P654" s="135"/>
    </row>
    <row r="655" spans="2:16" ht="42.75" outlineLevel="1" x14ac:dyDescent="0.2">
      <c r="B655" s="117" t="s">
        <v>1456</v>
      </c>
      <c r="C655" s="117" t="s">
        <v>1221</v>
      </c>
      <c r="D655" s="117" t="s">
        <v>65</v>
      </c>
      <c r="E655" s="117" t="s">
        <v>61</v>
      </c>
      <c r="F655" s="117" t="s">
        <v>1223</v>
      </c>
      <c r="G655" s="117" t="s">
        <v>138</v>
      </c>
      <c r="H655" s="95" t="s">
        <v>3</v>
      </c>
      <c r="I655" s="54">
        <f>SUM(J655:O655)</f>
        <v>180</v>
      </c>
      <c r="J655" s="94"/>
      <c r="K655" s="94"/>
      <c r="L655" s="94">
        <f t="shared" ref="L655:M655" si="220">L656+L657+L658</f>
        <v>90</v>
      </c>
      <c r="M655" s="94">
        <f t="shared" si="220"/>
        <v>90</v>
      </c>
      <c r="N655" s="94"/>
      <c r="O655" s="94"/>
      <c r="P655" s="192">
        <v>240</v>
      </c>
    </row>
    <row r="656" spans="2:16" ht="15" customHeight="1" outlineLevel="1" x14ac:dyDescent="0.2">
      <c r="B656" s="118"/>
      <c r="C656" s="118"/>
      <c r="D656" s="118"/>
      <c r="E656" s="118"/>
      <c r="F656" s="118"/>
      <c r="G656" s="118"/>
      <c r="H656" s="95" t="s">
        <v>4</v>
      </c>
      <c r="I656" s="54">
        <f>SUM(J656:O656)</f>
        <v>178.2</v>
      </c>
      <c r="J656" s="94"/>
      <c r="K656" s="94"/>
      <c r="L656" s="94">
        <v>89.1</v>
      </c>
      <c r="M656" s="94">
        <v>89.1</v>
      </c>
      <c r="N656" s="94"/>
      <c r="O656" s="94"/>
      <c r="P656" s="192"/>
    </row>
    <row r="657" spans="2:16" ht="15" customHeight="1" outlineLevel="1" x14ac:dyDescent="0.2">
      <c r="B657" s="118"/>
      <c r="C657" s="118"/>
      <c r="D657" s="118"/>
      <c r="E657" s="118"/>
      <c r="F657" s="118"/>
      <c r="G657" s="118"/>
      <c r="H657" s="95" t="s">
        <v>6</v>
      </c>
      <c r="I657" s="54">
        <f>SUM(J657:O657)</f>
        <v>1.8</v>
      </c>
      <c r="J657" s="94"/>
      <c r="K657" s="94"/>
      <c r="L657" s="94">
        <v>0.9</v>
      </c>
      <c r="M657" s="94">
        <v>0.9</v>
      </c>
      <c r="N657" s="94"/>
      <c r="O657" s="94"/>
      <c r="P657" s="192"/>
    </row>
    <row r="658" spans="2:16" ht="15" customHeight="1" outlineLevel="1" x14ac:dyDescent="0.2">
      <c r="B658" s="119"/>
      <c r="C658" s="119"/>
      <c r="D658" s="119"/>
      <c r="E658" s="118"/>
      <c r="F658" s="118"/>
      <c r="G658" s="119"/>
      <c r="H658" s="95" t="s">
        <v>5</v>
      </c>
      <c r="I658" s="54"/>
      <c r="J658" s="94"/>
      <c r="K658" s="94"/>
      <c r="L658" s="94"/>
      <c r="M658" s="94"/>
      <c r="N658" s="94"/>
      <c r="O658" s="94"/>
      <c r="P658" s="192"/>
    </row>
    <row r="659" spans="2:16" ht="42.75" customHeight="1" outlineLevel="1" x14ac:dyDescent="0.2">
      <c r="B659" s="117" t="s">
        <v>1885</v>
      </c>
      <c r="C659" s="117"/>
      <c r="D659" s="117" t="s">
        <v>65</v>
      </c>
      <c r="E659" s="117"/>
      <c r="F659" s="117" t="s">
        <v>1032</v>
      </c>
      <c r="G659" s="117"/>
      <c r="H659" s="95" t="s">
        <v>3</v>
      </c>
      <c r="I659" s="54">
        <f>SUM(J659:O659)</f>
        <v>260.60000000000002</v>
      </c>
      <c r="J659" s="94">
        <v>106.2</v>
      </c>
      <c r="K659" s="94">
        <v>154.4</v>
      </c>
      <c r="L659" s="13"/>
      <c r="M659" s="104">
        <v>0</v>
      </c>
      <c r="N659" s="105">
        <v>0</v>
      </c>
      <c r="O659" s="105">
        <v>0</v>
      </c>
      <c r="P659" s="135">
        <v>250</v>
      </c>
    </row>
    <row r="660" spans="2:16" ht="15" customHeight="1" outlineLevel="1" x14ac:dyDescent="0.2">
      <c r="B660" s="118"/>
      <c r="C660" s="118"/>
      <c r="D660" s="118"/>
      <c r="E660" s="118"/>
      <c r="F660" s="118"/>
      <c r="G660" s="118"/>
      <c r="H660" s="95" t="s">
        <v>4</v>
      </c>
      <c r="I660" s="54">
        <f>SUM(J660:O660)</f>
        <v>258</v>
      </c>
      <c r="J660" s="94">
        <v>105.1</v>
      </c>
      <c r="K660" s="94">
        <v>152.9</v>
      </c>
      <c r="L660" s="13"/>
      <c r="M660" s="104"/>
      <c r="N660" s="105"/>
      <c r="O660" s="105"/>
      <c r="P660" s="135"/>
    </row>
    <row r="661" spans="2:16" ht="15" customHeight="1" outlineLevel="1" x14ac:dyDescent="0.2">
      <c r="B661" s="118"/>
      <c r="C661" s="118"/>
      <c r="D661" s="118"/>
      <c r="E661" s="118"/>
      <c r="F661" s="118"/>
      <c r="G661" s="118"/>
      <c r="H661" s="95" t="s">
        <v>6</v>
      </c>
      <c r="I661" s="54">
        <f>SUM(J661:O661)</f>
        <v>2.6</v>
      </c>
      <c r="J661" s="94">
        <v>1.1000000000000001</v>
      </c>
      <c r="K661" s="94">
        <v>1.5</v>
      </c>
      <c r="L661" s="13"/>
      <c r="M661" s="104"/>
      <c r="N661" s="105"/>
      <c r="O661" s="105"/>
      <c r="P661" s="135"/>
    </row>
    <row r="662" spans="2:16" ht="15" customHeight="1" outlineLevel="1" x14ac:dyDescent="0.2">
      <c r="B662" s="119"/>
      <c r="C662" s="119"/>
      <c r="D662" s="119"/>
      <c r="E662" s="119"/>
      <c r="F662" s="119"/>
      <c r="G662" s="119"/>
      <c r="H662" s="95" t="s">
        <v>5</v>
      </c>
      <c r="I662" s="54"/>
      <c r="J662" s="104"/>
      <c r="K662" s="104"/>
      <c r="L662" s="104"/>
      <c r="M662" s="104"/>
      <c r="N662" s="105"/>
      <c r="O662" s="105"/>
      <c r="P662" s="136"/>
    </row>
    <row r="663" spans="2:16" ht="42.75" outlineLevel="1" x14ac:dyDescent="0.2">
      <c r="B663" s="117" t="s">
        <v>1886</v>
      </c>
      <c r="C663" s="117"/>
      <c r="D663" s="117" t="s">
        <v>65</v>
      </c>
      <c r="E663" s="117"/>
      <c r="F663" s="117" t="s">
        <v>1320</v>
      </c>
      <c r="G663" s="117"/>
      <c r="H663" s="95" t="s">
        <v>3</v>
      </c>
      <c r="I663" s="54">
        <f>SUM(J663:O663)</f>
        <v>140</v>
      </c>
      <c r="J663" s="94">
        <f>J664+J665</f>
        <v>43.199999999999996</v>
      </c>
      <c r="K663" s="94">
        <v>96.8</v>
      </c>
      <c r="L663" s="94"/>
      <c r="M663" s="94"/>
      <c r="N663" s="94"/>
      <c r="O663" s="94"/>
      <c r="P663" s="90">
        <v>160</v>
      </c>
    </row>
    <row r="664" spans="2:16" ht="15" customHeight="1" outlineLevel="1" x14ac:dyDescent="0.2">
      <c r="B664" s="118"/>
      <c r="C664" s="118"/>
      <c r="D664" s="118"/>
      <c r="E664" s="118"/>
      <c r="F664" s="118"/>
      <c r="G664" s="118"/>
      <c r="H664" s="95" t="s">
        <v>4</v>
      </c>
      <c r="I664" s="54">
        <f>SUM(J664:O664)</f>
        <v>138.6</v>
      </c>
      <c r="J664" s="94">
        <v>42.8</v>
      </c>
      <c r="K664" s="94">
        <v>95.8</v>
      </c>
      <c r="L664" s="94"/>
      <c r="M664" s="94"/>
      <c r="N664" s="94"/>
      <c r="O664" s="94"/>
      <c r="P664" s="91"/>
    </row>
    <row r="665" spans="2:16" ht="15" customHeight="1" outlineLevel="1" x14ac:dyDescent="0.2">
      <c r="B665" s="118"/>
      <c r="C665" s="118"/>
      <c r="D665" s="118"/>
      <c r="E665" s="118"/>
      <c r="F665" s="118"/>
      <c r="G665" s="118"/>
      <c r="H665" s="95" t="s">
        <v>6</v>
      </c>
      <c r="I665" s="54">
        <f>SUM(J665:O665)</f>
        <v>1.4</v>
      </c>
      <c r="J665" s="94">
        <v>0.4</v>
      </c>
      <c r="K665" s="94">
        <v>1</v>
      </c>
      <c r="L665" s="94"/>
      <c r="M665" s="94"/>
      <c r="N665" s="94"/>
      <c r="O665" s="94"/>
      <c r="P665" s="91"/>
    </row>
    <row r="666" spans="2:16" ht="15" customHeight="1" outlineLevel="1" x14ac:dyDescent="0.2">
      <c r="B666" s="119"/>
      <c r="C666" s="119"/>
      <c r="D666" s="119"/>
      <c r="E666" s="119"/>
      <c r="F666" s="119"/>
      <c r="G666" s="119"/>
      <c r="H666" s="95" t="s">
        <v>5</v>
      </c>
      <c r="I666" s="54"/>
      <c r="J666" s="94"/>
      <c r="K666" s="94"/>
      <c r="L666" s="94"/>
      <c r="M666" s="94"/>
      <c r="N666" s="94"/>
      <c r="O666" s="94"/>
      <c r="P666" s="92"/>
    </row>
    <row r="667" spans="2:16" ht="42.75" customHeight="1" outlineLevel="1" x14ac:dyDescent="0.2">
      <c r="B667" s="178" t="s">
        <v>1887</v>
      </c>
      <c r="C667" s="117"/>
      <c r="D667" s="117" t="s">
        <v>65</v>
      </c>
      <c r="E667" s="117"/>
      <c r="F667" s="117" t="s">
        <v>1223</v>
      </c>
      <c r="G667" s="117"/>
      <c r="H667" s="95" t="s">
        <v>3</v>
      </c>
      <c r="I667" s="54">
        <f>SUM(J667:O667)</f>
        <v>169.8</v>
      </c>
      <c r="J667" s="94">
        <f>J668+J669</f>
        <v>64.2</v>
      </c>
      <c r="K667" s="94">
        <f>K668+K669</f>
        <v>105.6</v>
      </c>
      <c r="L667" s="94"/>
      <c r="M667" s="94"/>
      <c r="N667" s="94"/>
      <c r="O667" s="94"/>
      <c r="P667" s="134">
        <v>240</v>
      </c>
    </row>
    <row r="668" spans="2:16" ht="15" customHeight="1" outlineLevel="1" x14ac:dyDescent="0.2">
      <c r="B668" s="178"/>
      <c r="C668" s="118"/>
      <c r="D668" s="118"/>
      <c r="E668" s="118"/>
      <c r="F668" s="118"/>
      <c r="G668" s="118"/>
      <c r="H668" s="95" t="s">
        <v>4</v>
      </c>
      <c r="I668" s="54">
        <f>SUM(J668:O668)</f>
        <v>168.2</v>
      </c>
      <c r="J668" s="94">
        <v>63.6</v>
      </c>
      <c r="K668" s="94">
        <v>104.6</v>
      </c>
      <c r="L668" s="94"/>
      <c r="M668" s="94"/>
      <c r="N668" s="94"/>
      <c r="O668" s="94"/>
      <c r="P668" s="135"/>
    </row>
    <row r="669" spans="2:16" ht="15" customHeight="1" outlineLevel="1" x14ac:dyDescent="0.2">
      <c r="B669" s="178"/>
      <c r="C669" s="118"/>
      <c r="D669" s="118"/>
      <c r="E669" s="118"/>
      <c r="F669" s="118"/>
      <c r="G669" s="118"/>
      <c r="H669" s="95" t="s">
        <v>6</v>
      </c>
      <c r="I669" s="54">
        <f>SUM(J669:O669)</f>
        <v>1.6</v>
      </c>
      <c r="J669" s="94">
        <v>0.6</v>
      </c>
      <c r="K669" s="94">
        <v>1</v>
      </c>
      <c r="L669" s="94"/>
      <c r="M669" s="94"/>
      <c r="N669" s="94"/>
      <c r="O669" s="94"/>
      <c r="P669" s="135"/>
    </row>
    <row r="670" spans="2:16" ht="15" customHeight="1" outlineLevel="1" x14ac:dyDescent="0.2">
      <c r="B670" s="178"/>
      <c r="C670" s="119"/>
      <c r="D670" s="119"/>
      <c r="E670" s="119"/>
      <c r="F670" s="119"/>
      <c r="G670" s="119"/>
      <c r="H670" s="95" t="s">
        <v>5</v>
      </c>
      <c r="I670" s="54"/>
      <c r="J670" s="94"/>
      <c r="K670" s="94"/>
      <c r="L670" s="94"/>
      <c r="M670" s="94"/>
      <c r="N670" s="94"/>
      <c r="O670" s="94"/>
      <c r="P670" s="136"/>
    </row>
    <row r="671" spans="2:16" ht="42.75" outlineLevel="1" x14ac:dyDescent="0.2">
      <c r="B671" s="117" t="s">
        <v>1888</v>
      </c>
      <c r="C671" s="117"/>
      <c r="D671" s="117" t="s">
        <v>65</v>
      </c>
      <c r="E671" s="117"/>
      <c r="F671" s="117" t="s">
        <v>1889</v>
      </c>
      <c r="G671" s="117"/>
      <c r="H671" s="95" t="s">
        <v>3</v>
      </c>
      <c r="I671" s="54">
        <f>SUM(J671:O671)</f>
        <v>171.5</v>
      </c>
      <c r="J671" s="94">
        <f>J672+J673</f>
        <v>81.5</v>
      </c>
      <c r="K671" s="94">
        <v>90</v>
      </c>
      <c r="L671" s="94"/>
      <c r="M671" s="94"/>
      <c r="N671" s="94"/>
      <c r="O671" s="94"/>
      <c r="P671" s="134">
        <v>110</v>
      </c>
    </row>
    <row r="672" spans="2:16" ht="15" customHeight="1" outlineLevel="1" x14ac:dyDescent="0.2">
      <c r="B672" s="118"/>
      <c r="C672" s="118"/>
      <c r="D672" s="118"/>
      <c r="E672" s="118"/>
      <c r="F672" s="118"/>
      <c r="G672" s="118"/>
      <c r="H672" s="95" t="s">
        <v>4</v>
      </c>
      <c r="I672" s="54">
        <f>SUM(J672:O672)</f>
        <v>169.8</v>
      </c>
      <c r="J672" s="94">
        <v>80.7</v>
      </c>
      <c r="K672" s="94">
        <v>89.1</v>
      </c>
      <c r="L672" s="94"/>
      <c r="M672" s="94"/>
      <c r="N672" s="94"/>
      <c r="O672" s="94"/>
      <c r="P672" s="135"/>
    </row>
    <row r="673" spans="2:16" ht="15" customHeight="1" outlineLevel="1" x14ac:dyDescent="0.2">
      <c r="B673" s="118"/>
      <c r="C673" s="118"/>
      <c r="D673" s="118"/>
      <c r="E673" s="118"/>
      <c r="F673" s="118"/>
      <c r="G673" s="118"/>
      <c r="H673" s="95" t="s">
        <v>6</v>
      </c>
      <c r="I673" s="54">
        <f>SUM(J673:O673)</f>
        <v>1.7000000000000002</v>
      </c>
      <c r="J673" s="94">
        <v>0.8</v>
      </c>
      <c r="K673" s="94">
        <v>0.9</v>
      </c>
      <c r="L673" s="94"/>
      <c r="M673" s="94"/>
      <c r="N673" s="94"/>
      <c r="O673" s="94"/>
      <c r="P673" s="135"/>
    </row>
    <row r="674" spans="2:16" ht="15" customHeight="1" outlineLevel="1" x14ac:dyDescent="0.2">
      <c r="B674" s="119"/>
      <c r="C674" s="119"/>
      <c r="D674" s="119"/>
      <c r="E674" s="119"/>
      <c r="F674" s="119"/>
      <c r="G674" s="119"/>
      <c r="H674" s="95" t="s">
        <v>5</v>
      </c>
      <c r="I674" s="54"/>
      <c r="J674" s="94"/>
      <c r="K674" s="94"/>
      <c r="L674" s="94"/>
      <c r="M674" s="94"/>
      <c r="N674" s="94"/>
      <c r="O674" s="94"/>
      <c r="P674" s="136"/>
    </row>
    <row r="675" spans="2:16" ht="42.75" customHeight="1" outlineLevel="1" x14ac:dyDescent="0.2">
      <c r="B675" s="178" t="s">
        <v>1890</v>
      </c>
      <c r="C675" s="117"/>
      <c r="D675" s="117" t="s">
        <v>65</v>
      </c>
      <c r="E675" s="117"/>
      <c r="F675" s="117" t="s">
        <v>1032</v>
      </c>
      <c r="G675" s="117"/>
      <c r="H675" s="95" t="s">
        <v>3</v>
      </c>
      <c r="I675" s="54">
        <f>SUM(J675:O675)</f>
        <v>218.2</v>
      </c>
      <c r="J675" s="94">
        <v>101.8</v>
      </c>
      <c r="K675" s="94">
        <v>116.4</v>
      </c>
      <c r="L675" s="94"/>
      <c r="M675" s="94"/>
      <c r="N675" s="94"/>
      <c r="O675" s="94"/>
      <c r="P675" s="134">
        <v>250</v>
      </c>
    </row>
    <row r="676" spans="2:16" ht="15" customHeight="1" outlineLevel="1" x14ac:dyDescent="0.2">
      <c r="B676" s="178"/>
      <c r="C676" s="118"/>
      <c r="D676" s="118"/>
      <c r="E676" s="118"/>
      <c r="F676" s="118"/>
      <c r="G676" s="118"/>
      <c r="H676" s="95" t="s">
        <v>4</v>
      </c>
      <c r="I676" s="54">
        <f>SUM(J676:O676)</f>
        <v>216.1</v>
      </c>
      <c r="J676" s="94">
        <v>100.8</v>
      </c>
      <c r="K676" s="94">
        <v>115.3</v>
      </c>
      <c r="L676" s="94"/>
      <c r="M676" s="94"/>
      <c r="N676" s="94"/>
      <c r="O676" s="94"/>
      <c r="P676" s="135"/>
    </row>
    <row r="677" spans="2:16" ht="15" customHeight="1" outlineLevel="1" x14ac:dyDescent="0.2">
      <c r="B677" s="178"/>
      <c r="C677" s="118"/>
      <c r="D677" s="118"/>
      <c r="E677" s="118"/>
      <c r="F677" s="118"/>
      <c r="G677" s="118"/>
      <c r="H677" s="95" t="s">
        <v>6</v>
      </c>
      <c r="I677" s="54">
        <f>SUM(J677:O677)</f>
        <v>2.1</v>
      </c>
      <c r="J677" s="94">
        <v>1</v>
      </c>
      <c r="K677" s="94">
        <v>1.1000000000000001</v>
      </c>
      <c r="L677" s="94"/>
      <c r="M677" s="94"/>
      <c r="N677" s="94"/>
      <c r="O677" s="94"/>
      <c r="P677" s="135"/>
    </row>
    <row r="678" spans="2:16" ht="15" customHeight="1" outlineLevel="1" x14ac:dyDescent="0.2">
      <c r="B678" s="178"/>
      <c r="C678" s="119"/>
      <c r="D678" s="119"/>
      <c r="E678" s="119"/>
      <c r="F678" s="119"/>
      <c r="G678" s="119"/>
      <c r="H678" s="95" t="s">
        <v>5</v>
      </c>
      <c r="I678" s="54"/>
      <c r="J678" s="94"/>
      <c r="K678" s="94"/>
      <c r="L678" s="94"/>
      <c r="M678" s="94"/>
      <c r="N678" s="94"/>
      <c r="O678" s="94"/>
      <c r="P678" s="136"/>
    </row>
    <row r="679" spans="2:16" ht="42.75" outlineLevel="1" x14ac:dyDescent="0.2">
      <c r="B679" s="117" t="s">
        <v>1891</v>
      </c>
      <c r="C679" s="117"/>
      <c r="D679" s="117" t="s">
        <v>65</v>
      </c>
      <c r="E679" s="117"/>
      <c r="F679" s="117" t="s">
        <v>1889</v>
      </c>
      <c r="G679" s="117"/>
      <c r="H679" s="95" t="s">
        <v>3</v>
      </c>
      <c r="I679" s="54">
        <f>SUM(J679:O679)</f>
        <v>94</v>
      </c>
      <c r="J679" s="94">
        <f>J680+J681</f>
        <v>49</v>
      </c>
      <c r="K679" s="94">
        <f>K680+K681</f>
        <v>45</v>
      </c>
      <c r="L679" s="94"/>
      <c r="M679" s="94"/>
      <c r="N679" s="94"/>
      <c r="O679" s="94"/>
      <c r="P679" s="134">
        <v>110</v>
      </c>
    </row>
    <row r="680" spans="2:16" ht="15" customHeight="1" outlineLevel="1" x14ac:dyDescent="0.2">
      <c r="B680" s="118"/>
      <c r="C680" s="118"/>
      <c r="D680" s="118"/>
      <c r="E680" s="118"/>
      <c r="F680" s="118"/>
      <c r="G680" s="118"/>
      <c r="H680" s="95" t="s">
        <v>4</v>
      </c>
      <c r="I680" s="54">
        <f>SUM(J680:O680)</f>
        <v>93</v>
      </c>
      <c r="J680" s="94">
        <v>48.5</v>
      </c>
      <c r="K680" s="94">
        <v>44.5</v>
      </c>
      <c r="L680" s="94"/>
      <c r="M680" s="94"/>
      <c r="N680" s="94"/>
      <c r="O680" s="94"/>
      <c r="P680" s="135"/>
    </row>
    <row r="681" spans="2:16" ht="15" customHeight="1" outlineLevel="1" x14ac:dyDescent="0.2">
      <c r="B681" s="118"/>
      <c r="C681" s="118"/>
      <c r="D681" s="118"/>
      <c r="E681" s="118"/>
      <c r="F681" s="118"/>
      <c r="G681" s="118"/>
      <c r="H681" s="95" t="s">
        <v>6</v>
      </c>
      <c r="I681" s="54">
        <f>SUM(J681:O681)</f>
        <v>1</v>
      </c>
      <c r="J681" s="94">
        <v>0.5</v>
      </c>
      <c r="K681" s="94">
        <v>0.5</v>
      </c>
      <c r="L681" s="94"/>
      <c r="M681" s="94"/>
      <c r="N681" s="94"/>
      <c r="O681" s="94"/>
      <c r="P681" s="135"/>
    </row>
    <row r="682" spans="2:16" ht="15" customHeight="1" outlineLevel="1" x14ac:dyDescent="0.2">
      <c r="B682" s="119"/>
      <c r="C682" s="119"/>
      <c r="D682" s="119"/>
      <c r="E682" s="119"/>
      <c r="F682" s="119"/>
      <c r="G682" s="119"/>
      <c r="H682" s="95" t="s">
        <v>5</v>
      </c>
      <c r="I682" s="54"/>
      <c r="J682" s="94"/>
      <c r="K682" s="94"/>
      <c r="L682" s="94"/>
      <c r="M682" s="94"/>
      <c r="N682" s="94"/>
      <c r="O682" s="94"/>
      <c r="P682" s="136"/>
    </row>
    <row r="683" spans="2:16" ht="42.75" outlineLevel="1" x14ac:dyDescent="0.2">
      <c r="B683" s="117" t="s">
        <v>1892</v>
      </c>
      <c r="C683" s="117"/>
      <c r="D683" s="117" t="s">
        <v>65</v>
      </c>
      <c r="E683" s="117"/>
      <c r="F683" s="117" t="s">
        <v>1449</v>
      </c>
      <c r="G683" s="117"/>
      <c r="H683" s="95" t="s">
        <v>3</v>
      </c>
      <c r="I683" s="54">
        <f>SUM(J683:O683)</f>
        <v>1269.0999999999999</v>
      </c>
      <c r="J683" s="17">
        <f>J684+J685</f>
        <v>6.3</v>
      </c>
      <c r="K683" s="94">
        <v>581.4</v>
      </c>
      <c r="L683" s="94">
        <v>681.4</v>
      </c>
      <c r="M683" s="94"/>
      <c r="N683" s="94"/>
      <c r="O683" s="94"/>
      <c r="P683" s="192">
        <v>1500</v>
      </c>
    </row>
    <row r="684" spans="2:16" ht="15" customHeight="1" outlineLevel="1" x14ac:dyDescent="0.2">
      <c r="B684" s="118"/>
      <c r="C684" s="118"/>
      <c r="D684" s="118"/>
      <c r="E684" s="118"/>
      <c r="F684" s="118"/>
      <c r="G684" s="118"/>
      <c r="H684" s="95" t="s">
        <v>4</v>
      </c>
      <c r="I684" s="54">
        <f>SUM(J684:O684)</f>
        <v>1151.2</v>
      </c>
      <c r="J684" s="17">
        <v>0</v>
      </c>
      <c r="K684" s="94">
        <v>575.6</v>
      </c>
      <c r="L684" s="94">
        <v>575.6</v>
      </c>
      <c r="M684" s="94"/>
      <c r="N684" s="94"/>
      <c r="O684" s="94"/>
      <c r="P684" s="192"/>
    </row>
    <row r="685" spans="2:16" ht="15" customHeight="1" outlineLevel="1" x14ac:dyDescent="0.2">
      <c r="B685" s="118"/>
      <c r="C685" s="118"/>
      <c r="D685" s="118"/>
      <c r="E685" s="118"/>
      <c r="F685" s="118"/>
      <c r="G685" s="118"/>
      <c r="H685" s="95" t="s">
        <v>6</v>
      </c>
      <c r="I685" s="54">
        <f>SUM(J685:O685)</f>
        <v>117.89999999999999</v>
      </c>
      <c r="J685" s="94">
        <v>6.3</v>
      </c>
      <c r="K685" s="94">
        <v>5.8</v>
      </c>
      <c r="L685" s="94">
        <v>105.8</v>
      </c>
      <c r="M685" s="94"/>
      <c r="N685" s="94"/>
      <c r="O685" s="94"/>
      <c r="P685" s="192"/>
    </row>
    <row r="686" spans="2:16" ht="15" customHeight="1" outlineLevel="1" x14ac:dyDescent="0.2">
      <c r="B686" s="119"/>
      <c r="C686" s="119"/>
      <c r="D686" s="119"/>
      <c r="E686" s="119"/>
      <c r="F686" s="119"/>
      <c r="G686" s="119"/>
      <c r="H686" s="95" t="s">
        <v>5</v>
      </c>
      <c r="I686" s="54"/>
      <c r="J686" s="94"/>
      <c r="K686" s="94"/>
      <c r="L686" s="94"/>
      <c r="M686" s="94"/>
      <c r="N686" s="94"/>
      <c r="O686" s="94"/>
      <c r="P686" s="192"/>
    </row>
    <row r="687" spans="2:16" ht="42.75" outlineLevel="1" x14ac:dyDescent="0.2">
      <c r="B687" s="117" t="s">
        <v>1457</v>
      </c>
      <c r="C687" s="117" t="s">
        <v>1458</v>
      </c>
      <c r="D687" s="117" t="s">
        <v>65</v>
      </c>
      <c r="E687" s="117" t="s">
        <v>34</v>
      </c>
      <c r="F687" s="117"/>
      <c r="G687" s="117"/>
      <c r="H687" s="95" t="s">
        <v>3</v>
      </c>
      <c r="I687" s="54">
        <f>SUM(J687:O687)</f>
        <v>322.10000000000002</v>
      </c>
      <c r="J687" s="94"/>
      <c r="K687" s="94">
        <f t="shared" ref="K687:M687" si="221">K688+K689+K690</f>
        <v>82.1</v>
      </c>
      <c r="L687" s="94">
        <f t="shared" si="221"/>
        <v>120</v>
      </c>
      <c r="M687" s="94">
        <f t="shared" si="221"/>
        <v>120</v>
      </c>
      <c r="N687" s="94"/>
      <c r="O687" s="94"/>
      <c r="P687" s="134">
        <v>27002</v>
      </c>
    </row>
    <row r="688" spans="2:16" ht="15" customHeight="1" outlineLevel="1" x14ac:dyDescent="0.2">
      <c r="B688" s="118"/>
      <c r="C688" s="190"/>
      <c r="D688" s="118"/>
      <c r="E688" s="118"/>
      <c r="F688" s="118"/>
      <c r="G688" s="118"/>
      <c r="H688" s="95" t="s">
        <v>4</v>
      </c>
      <c r="I688" s="17"/>
      <c r="J688" s="94"/>
      <c r="K688" s="94"/>
      <c r="L688" s="94"/>
      <c r="M688" s="94"/>
      <c r="N688" s="94"/>
      <c r="O688" s="94"/>
      <c r="P688" s="135"/>
    </row>
    <row r="689" spans="2:16" ht="15" customHeight="1" outlineLevel="1" x14ac:dyDescent="0.2">
      <c r="B689" s="118"/>
      <c r="C689" s="190"/>
      <c r="D689" s="118"/>
      <c r="E689" s="118"/>
      <c r="F689" s="118"/>
      <c r="G689" s="118"/>
      <c r="H689" s="95" t="s">
        <v>6</v>
      </c>
      <c r="I689" s="54">
        <f>SUM(J689:O689)</f>
        <v>322.10000000000002</v>
      </c>
      <c r="J689" s="94"/>
      <c r="K689" s="94">
        <v>82.1</v>
      </c>
      <c r="L689" s="94">
        <v>120</v>
      </c>
      <c r="M689" s="94">
        <v>120</v>
      </c>
      <c r="N689" s="94"/>
      <c r="O689" s="94"/>
      <c r="P689" s="135"/>
    </row>
    <row r="690" spans="2:16" ht="15" customHeight="1" outlineLevel="1" x14ac:dyDescent="0.2">
      <c r="B690" s="119"/>
      <c r="C690" s="191"/>
      <c r="D690" s="119"/>
      <c r="E690" s="119"/>
      <c r="F690" s="119"/>
      <c r="G690" s="119"/>
      <c r="H690" s="95" t="s">
        <v>5</v>
      </c>
      <c r="I690" s="17"/>
      <c r="J690" s="94"/>
      <c r="K690" s="94"/>
      <c r="L690" s="94"/>
      <c r="M690" s="94"/>
      <c r="N690" s="94"/>
      <c r="O690" s="94"/>
      <c r="P690" s="136"/>
    </row>
    <row r="691" spans="2:16" ht="42.75" outlineLevel="1" x14ac:dyDescent="0.2">
      <c r="B691" s="117" t="s">
        <v>1459</v>
      </c>
      <c r="C691" s="117" t="s">
        <v>1458</v>
      </c>
      <c r="D691" s="117" t="s">
        <v>65</v>
      </c>
      <c r="E691" s="117" t="s">
        <v>50</v>
      </c>
      <c r="F691" s="117"/>
      <c r="G691" s="117"/>
      <c r="H691" s="95" t="s">
        <v>3</v>
      </c>
      <c r="I691" s="54">
        <f>SUM(J691:O691)</f>
        <v>91</v>
      </c>
      <c r="J691" s="94"/>
      <c r="K691" s="94">
        <f t="shared" ref="K691:M691" si="222">K692+K693+K694</f>
        <v>30</v>
      </c>
      <c r="L691" s="94">
        <f t="shared" si="222"/>
        <v>61</v>
      </c>
      <c r="M691" s="94">
        <f t="shared" si="222"/>
        <v>0</v>
      </c>
      <c r="N691" s="94"/>
      <c r="O691" s="94"/>
      <c r="P691" s="134">
        <v>3055</v>
      </c>
    </row>
    <row r="692" spans="2:16" ht="15" customHeight="1" outlineLevel="1" x14ac:dyDescent="0.2">
      <c r="B692" s="118"/>
      <c r="C692" s="190"/>
      <c r="D692" s="118"/>
      <c r="E692" s="118"/>
      <c r="F692" s="118"/>
      <c r="G692" s="118"/>
      <c r="H692" s="95" t="s">
        <v>4</v>
      </c>
      <c r="I692" s="17"/>
      <c r="J692" s="94"/>
      <c r="K692" s="94"/>
      <c r="L692" s="94"/>
      <c r="M692" s="94"/>
      <c r="N692" s="94"/>
      <c r="O692" s="94"/>
      <c r="P692" s="135"/>
    </row>
    <row r="693" spans="2:16" ht="15" customHeight="1" outlineLevel="1" x14ac:dyDescent="0.2">
      <c r="B693" s="118"/>
      <c r="C693" s="190"/>
      <c r="D693" s="118"/>
      <c r="E693" s="118"/>
      <c r="F693" s="118"/>
      <c r="G693" s="118"/>
      <c r="H693" s="95" t="s">
        <v>6</v>
      </c>
      <c r="I693" s="54">
        <f>SUM(J693:O693)</f>
        <v>91</v>
      </c>
      <c r="J693" s="94"/>
      <c r="K693" s="94">
        <v>30</v>
      </c>
      <c r="L693" s="94">
        <v>61</v>
      </c>
      <c r="M693" s="94"/>
      <c r="N693" s="94"/>
      <c r="O693" s="94"/>
      <c r="P693" s="135"/>
    </row>
    <row r="694" spans="2:16" ht="15" customHeight="1" outlineLevel="1" x14ac:dyDescent="0.2">
      <c r="B694" s="119"/>
      <c r="C694" s="191"/>
      <c r="D694" s="119"/>
      <c r="E694" s="119"/>
      <c r="F694" s="119"/>
      <c r="G694" s="119"/>
      <c r="H694" s="95" t="s">
        <v>5</v>
      </c>
      <c r="I694" s="17"/>
      <c r="J694" s="94"/>
      <c r="K694" s="94"/>
      <c r="L694" s="94"/>
      <c r="M694" s="94"/>
      <c r="N694" s="94"/>
      <c r="O694" s="94"/>
      <c r="P694" s="136"/>
    </row>
    <row r="695" spans="2:16" ht="42.75" outlineLevel="1" x14ac:dyDescent="0.2">
      <c r="B695" s="117" t="s">
        <v>1460</v>
      </c>
      <c r="C695" s="117" t="s">
        <v>1458</v>
      </c>
      <c r="D695" s="117" t="s">
        <v>65</v>
      </c>
      <c r="E695" s="117" t="s">
        <v>73</v>
      </c>
      <c r="F695" s="117"/>
      <c r="G695" s="117"/>
      <c r="H695" s="95" t="s">
        <v>3</v>
      </c>
      <c r="I695" s="54">
        <f>SUM(J695:O695)</f>
        <v>1500</v>
      </c>
      <c r="J695" s="94"/>
      <c r="K695" s="94">
        <f t="shared" ref="K695:O695" si="223">K696+K697+K698</f>
        <v>300</v>
      </c>
      <c r="L695" s="94">
        <f t="shared" si="223"/>
        <v>300</v>
      </c>
      <c r="M695" s="94">
        <f t="shared" si="223"/>
        <v>300</v>
      </c>
      <c r="N695" s="94">
        <f t="shared" si="223"/>
        <v>300</v>
      </c>
      <c r="O695" s="94">
        <f t="shared" si="223"/>
        <v>300</v>
      </c>
      <c r="P695" s="134">
        <v>6613</v>
      </c>
    </row>
    <row r="696" spans="2:16" ht="15" customHeight="1" outlineLevel="1" x14ac:dyDescent="0.2">
      <c r="B696" s="118"/>
      <c r="C696" s="190"/>
      <c r="D696" s="118"/>
      <c r="E696" s="118"/>
      <c r="F696" s="118"/>
      <c r="G696" s="118"/>
      <c r="H696" s="95" t="s">
        <v>4</v>
      </c>
      <c r="I696" s="17"/>
      <c r="J696" s="94"/>
      <c r="K696" s="94"/>
      <c r="L696" s="94"/>
      <c r="M696" s="94"/>
      <c r="N696" s="94"/>
      <c r="O696" s="94"/>
      <c r="P696" s="135"/>
    </row>
    <row r="697" spans="2:16" ht="15" customHeight="1" outlineLevel="1" x14ac:dyDescent="0.2">
      <c r="B697" s="118"/>
      <c r="C697" s="190"/>
      <c r="D697" s="118"/>
      <c r="E697" s="118"/>
      <c r="F697" s="118"/>
      <c r="G697" s="118"/>
      <c r="H697" s="95" t="s">
        <v>6</v>
      </c>
      <c r="I697" s="54">
        <f>SUM(J697:O697)</f>
        <v>1500</v>
      </c>
      <c r="J697" s="94"/>
      <c r="K697" s="94">
        <v>300</v>
      </c>
      <c r="L697" s="94">
        <v>300</v>
      </c>
      <c r="M697" s="94">
        <v>300</v>
      </c>
      <c r="N697" s="94">
        <v>300</v>
      </c>
      <c r="O697" s="94">
        <v>300</v>
      </c>
      <c r="P697" s="135"/>
    </row>
    <row r="698" spans="2:16" ht="15" customHeight="1" outlineLevel="1" x14ac:dyDescent="0.2">
      <c r="B698" s="119"/>
      <c r="C698" s="191"/>
      <c r="D698" s="119"/>
      <c r="E698" s="119"/>
      <c r="F698" s="119"/>
      <c r="G698" s="119"/>
      <c r="H698" s="95" t="s">
        <v>5</v>
      </c>
      <c r="I698" s="17"/>
      <c r="J698" s="94"/>
      <c r="K698" s="94"/>
      <c r="L698" s="94"/>
      <c r="M698" s="94"/>
      <c r="N698" s="94"/>
      <c r="O698" s="94"/>
      <c r="P698" s="136"/>
    </row>
    <row r="699" spans="2:16" ht="42.75" outlineLevel="1" x14ac:dyDescent="0.2">
      <c r="B699" s="117" t="s">
        <v>1461</v>
      </c>
      <c r="C699" s="117" t="s">
        <v>1458</v>
      </c>
      <c r="D699" s="117" t="s">
        <v>65</v>
      </c>
      <c r="E699" s="117">
        <v>2021</v>
      </c>
      <c r="F699" s="117"/>
      <c r="G699" s="117"/>
      <c r="H699" s="95" t="s">
        <v>3</v>
      </c>
      <c r="I699" s="54">
        <f>SUM(J699:O699)</f>
        <v>60.25</v>
      </c>
      <c r="J699" s="94"/>
      <c r="K699" s="94">
        <f t="shared" ref="K699" si="224">K700+K701+K702</f>
        <v>60.25</v>
      </c>
      <c r="L699" s="94"/>
      <c r="M699" s="94"/>
      <c r="N699" s="94"/>
      <c r="O699" s="94"/>
      <c r="P699" s="134">
        <v>109834</v>
      </c>
    </row>
    <row r="700" spans="2:16" ht="15" customHeight="1" outlineLevel="1" x14ac:dyDescent="0.2">
      <c r="B700" s="118"/>
      <c r="C700" s="190"/>
      <c r="D700" s="118"/>
      <c r="E700" s="118"/>
      <c r="F700" s="118"/>
      <c r="G700" s="118"/>
      <c r="H700" s="95" t="s">
        <v>4</v>
      </c>
      <c r="I700" s="54"/>
      <c r="J700" s="94"/>
      <c r="K700" s="94"/>
      <c r="L700" s="94"/>
      <c r="M700" s="94"/>
      <c r="N700" s="94"/>
      <c r="O700" s="94"/>
      <c r="P700" s="135"/>
    </row>
    <row r="701" spans="2:16" ht="15" customHeight="1" outlineLevel="1" x14ac:dyDescent="0.2">
      <c r="B701" s="118"/>
      <c r="C701" s="190"/>
      <c r="D701" s="118"/>
      <c r="E701" s="118"/>
      <c r="F701" s="118"/>
      <c r="G701" s="118"/>
      <c r="H701" s="95" t="s">
        <v>6</v>
      </c>
      <c r="I701" s="54">
        <f>SUM(J701:O701)</f>
        <v>60.25</v>
      </c>
      <c r="J701" s="94"/>
      <c r="K701" s="94">
        <v>60.25</v>
      </c>
      <c r="L701" s="94"/>
      <c r="M701" s="94"/>
      <c r="N701" s="94"/>
      <c r="O701" s="94"/>
      <c r="P701" s="135"/>
    </row>
    <row r="702" spans="2:16" ht="15" customHeight="1" outlineLevel="1" x14ac:dyDescent="0.2">
      <c r="B702" s="119"/>
      <c r="C702" s="191"/>
      <c r="D702" s="119"/>
      <c r="E702" s="119"/>
      <c r="F702" s="119"/>
      <c r="G702" s="119"/>
      <c r="H702" s="95" t="s">
        <v>5</v>
      </c>
      <c r="I702" s="54"/>
      <c r="J702" s="94"/>
      <c r="K702" s="94"/>
      <c r="L702" s="94"/>
      <c r="M702" s="94"/>
      <c r="N702" s="94"/>
      <c r="O702" s="94"/>
      <c r="P702" s="136"/>
    </row>
    <row r="703" spans="2:16" ht="42.75" outlineLevel="1" x14ac:dyDescent="0.2">
      <c r="B703" s="117" t="s">
        <v>1462</v>
      </c>
      <c r="C703" s="117" t="s">
        <v>1458</v>
      </c>
      <c r="D703" s="117" t="s">
        <v>65</v>
      </c>
      <c r="E703" s="117" t="s">
        <v>50</v>
      </c>
      <c r="F703" s="117"/>
      <c r="G703" s="117"/>
      <c r="H703" s="95" t="s">
        <v>3</v>
      </c>
      <c r="I703" s="54">
        <f>SUM(J703:O703)</f>
        <v>124.2</v>
      </c>
      <c r="J703" s="94"/>
      <c r="K703" s="94">
        <f t="shared" ref="K703:L703" si="225">K704+K705+K706</f>
        <v>41</v>
      </c>
      <c r="L703" s="94">
        <f t="shared" si="225"/>
        <v>83.2</v>
      </c>
      <c r="M703" s="94"/>
      <c r="N703" s="94"/>
      <c r="O703" s="94"/>
      <c r="P703" s="134">
        <v>72154</v>
      </c>
    </row>
    <row r="704" spans="2:16" ht="15" customHeight="1" outlineLevel="1" x14ac:dyDescent="0.2">
      <c r="B704" s="118"/>
      <c r="C704" s="190"/>
      <c r="D704" s="118"/>
      <c r="E704" s="118"/>
      <c r="F704" s="118"/>
      <c r="G704" s="118"/>
      <c r="H704" s="95" t="s">
        <v>4</v>
      </c>
      <c r="I704" s="54"/>
      <c r="J704" s="94"/>
      <c r="K704" s="94"/>
      <c r="L704" s="94"/>
      <c r="M704" s="94"/>
      <c r="N704" s="94"/>
      <c r="O704" s="94"/>
      <c r="P704" s="135"/>
    </row>
    <row r="705" spans="2:18" ht="15" customHeight="1" outlineLevel="1" x14ac:dyDescent="0.2">
      <c r="B705" s="118"/>
      <c r="C705" s="190"/>
      <c r="D705" s="118"/>
      <c r="E705" s="118"/>
      <c r="F705" s="118"/>
      <c r="G705" s="118"/>
      <c r="H705" s="95" t="s">
        <v>6</v>
      </c>
      <c r="I705" s="54">
        <f>SUM(J705:O705)</f>
        <v>124.2</v>
      </c>
      <c r="J705" s="94"/>
      <c r="K705" s="94">
        <v>41</v>
      </c>
      <c r="L705" s="94">
        <v>83.2</v>
      </c>
      <c r="M705" s="94"/>
      <c r="N705" s="94"/>
      <c r="O705" s="94"/>
      <c r="P705" s="135"/>
    </row>
    <row r="706" spans="2:18" ht="15" customHeight="1" outlineLevel="1" x14ac:dyDescent="0.2">
      <c r="B706" s="119"/>
      <c r="C706" s="191"/>
      <c r="D706" s="119"/>
      <c r="E706" s="119"/>
      <c r="F706" s="119"/>
      <c r="G706" s="119"/>
      <c r="H706" s="95" t="s">
        <v>5</v>
      </c>
      <c r="I706" s="54"/>
      <c r="J706" s="94"/>
      <c r="K706" s="94"/>
      <c r="L706" s="94"/>
      <c r="M706" s="94"/>
      <c r="N706" s="94"/>
      <c r="O706" s="94"/>
      <c r="P706" s="136"/>
    </row>
    <row r="707" spans="2:18" ht="42.75" outlineLevel="1" x14ac:dyDescent="0.2">
      <c r="B707" s="117" t="s">
        <v>1463</v>
      </c>
      <c r="C707" s="117" t="s">
        <v>1458</v>
      </c>
      <c r="D707" s="117" t="s">
        <v>65</v>
      </c>
      <c r="E707" s="117" t="s">
        <v>34</v>
      </c>
      <c r="F707" s="117"/>
      <c r="G707" s="117"/>
      <c r="H707" s="95" t="s">
        <v>3</v>
      </c>
      <c r="I707" s="54">
        <f>SUM(J707:O707)</f>
        <v>310</v>
      </c>
      <c r="J707" s="94"/>
      <c r="K707" s="94">
        <v>170</v>
      </c>
      <c r="L707" s="94">
        <v>70</v>
      </c>
      <c r="M707" s="94">
        <v>70</v>
      </c>
      <c r="N707" s="94"/>
      <c r="O707" s="94"/>
      <c r="P707" s="134">
        <v>10485</v>
      </c>
    </row>
    <row r="708" spans="2:18" ht="15" customHeight="1" outlineLevel="1" x14ac:dyDescent="0.2">
      <c r="B708" s="118"/>
      <c r="C708" s="190"/>
      <c r="D708" s="118"/>
      <c r="E708" s="118"/>
      <c r="F708" s="118"/>
      <c r="G708" s="118"/>
      <c r="H708" s="95" t="s">
        <v>4</v>
      </c>
      <c r="I708" s="17"/>
      <c r="J708" s="94"/>
      <c r="K708" s="94"/>
      <c r="L708" s="94"/>
      <c r="M708" s="94"/>
      <c r="N708" s="94"/>
      <c r="O708" s="94"/>
      <c r="P708" s="135"/>
    </row>
    <row r="709" spans="2:18" ht="15" customHeight="1" outlineLevel="1" x14ac:dyDescent="0.2">
      <c r="B709" s="118"/>
      <c r="C709" s="190"/>
      <c r="D709" s="118"/>
      <c r="E709" s="118"/>
      <c r="F709" s="118"/>
      <c r="G709" s="118"/>
      <c r="H709" s="95" t="s">
        <v>6</v>
      </c>
      <c r="I709" s="54">
        <f>SUM(J709:O709)</f>
        <v>310</v>
      </c>
      <c r="J709" s="94"/>
      <c r="K709" s="94">
        <v>170</v>
      </c>
      <c r="L709" s="94">
        <v>70</v>
      </c>
      <c r="M709" s="94">
        <v>70</v>
      </c>
      <c r="N709" s="94"/>
      <c r="O709" s="94"/>
      <c r="P709" s="135"/>
    </row>
    <row r="710" spans="2:18" ht="15" customHeight="1" outlineLevel="1" x14ac:dyDescent="0.2">
      <c r="B710" s="119"/>
      <c r="C710" s="191"/>
      <c r="D710" s="119"/>
      <c r="E710" s="119"/>
      <c r="F710" s="119"/>
      <c r="G710" s="119"/>
      <c r="H710" s="95" t="s">
        <v>5</v>
      </c>
      <c r="I710" s="17"/>
      <c r="J710" s="94"/>
      <c r="K710" s="94"/>
      <c r="L710" s="94"/>
      <c r="M710" s="94"/>
      <c r="N710" s="94"/>
      <c r="O710" s="94"/>
      <c r="P710" s="136"/>
    </row>
    <row r="711" spans="2:18" ht="42.75" x14ac:dyDescent="0.2">
      <c r="B711" s="128" t="s">
        <v>76</v>
      </c>
      <c r="C711" s="128" t="s">
        <v>38</v>
      </c>
      <c r="D711" s="128" t="s">
        <v>38</v>
      </c>
      <c r="E711" s="128" t="s">
        <v>38</v>
      </c>
      <c r="F711" s="128" t="s">
        <v>38</v>
      </c>
      <c r="G711" s="128" t="s">
        <v>38</v>
      </c>
      <c r="H711" s="95" t="s">
        <v>3</v>
      </c>
      <c r="I711" s="14">
        <f>SUMIF($H$611:$H$710,"Объем*",I$611:I$710)</f>
        <v>11898.750000000002</v>
      </c>
      <c r="J711" s="14">
        <f t="shared" ref="J711:O711" si="226">SUMIF($H$611:$H$710,"Объем*",J$611:J$710)</f>
        <v>452.20000000000005</v>
      </c>
      <c r="K711" s="14">
        <f t="shared" si="226"/>
        <v>1962.9499999999998</v>
      </c>
      <c r="L711" s="14">
        <f t="shared" si="226"/>
        <v>2435.6</v>
      </c>
      <c r="M711" s="14">
        <f t="shared" si="226"/>
        <v>1934</v>
      </c>
      <c r="N711" s="14">
        <f t="shared" si="226"/>
        <v>2464</v>
      </c>
      <c r="O711" s="14">
        <f t="shared" si="226"/>
        <v>2650</v>
      </c>
      <c r="P711" s="128"/>
      <c r="Q711" s="7"/>
    </row>
    <row r="712" spans="2:18" ht="15.75" x14ac:dyDescent="0.2">
      <c r="B712" s="129"/>
      <c r="C712" s="129"/>
      <c r="D712" s="129"/>
      <c r="E712" s="129"/>
      <c r="F712" s="129"/>
      <c r="G712" s="129"/>
      <c r="H712" s="95" t="s">
        <v>4</v>
      </c>
      <c r="I712" s="14">
        <f>SUMIF($H$611:$H$710,"фед*",I$611:I$710)</f>
        <v>9263.7000000000007</v>
      </c>
      <c r="J712" s="14">
        <f t="shared" ref="J712:O712" si="227">SUMIF($H$611:$H$710,"фед*",J$611:J$710)</f>
        <v>441.5</v>
      </c>
      <c r="K712" s="14">
        <f t="shared" si="227"/>
        <v>1266.9000000000001</v>
      </c>
      <c r="L712" s="14">
        <f t="shared" si="227"/>
        <v>1684.4</v>
      </c>
      <c r="M712" s="14">
        <f t="shared" si="227"/>
        <v>1415.6999999999998</v>
      </c>
      <c r="N712" s="14">
        <f t="shared" si="227"/>
        <v>2128.6</v>
      </c>
      <c r="O712" s="14">
        <f t="shared" si="227"/>
        <v>2326.6</v>
      </c>
      <c r="P712" s="129"/>
      <c r="Q712" s="7"/>
    </row>
    <row r="713" spans="2:18" ht="15.75" x14ac:dyDescent="0.2">
      <c r="B713" s="129"/>
      <c r="C713" s="129"/>
      <c r="D713" s="129"/>
      <c r="E713" s="129"/>
      <c r="F713" s="129"/>
      <c r="G713" s="129"/>
      <c r="H713" s="95" t="s">
        <v>6</v>
      </c>
      <c r="I713" s="14">
        <f>SUMIF($H$611:$H$710,"конс*",I$611:I$710)</f>
        <v>2635.0499999999997</v>
      </c>
      <c r="J713" s="14">
        <f t="shared" ref="J713:O713" si="228">SUMIF($H$611:$H$710,"конс*",J$611:J$710)</f>
        <v>10.7</v>
      </c>
      <c r="K713" s="14">
        <f t="shared" si="228"/>
        <v>696.05</v>
      </c>
      <c r="L713" s="14">
        <f t="shared" si="228"/>
        <v>751.2</v>
      </c>
      <c r="M713" s="14">
        <f t="shared" si="228"/>
        <v>518.29999999999995</v>
      </c>
      <c r="N713" s="14">
        <f t="shared" si="228"/>
        <v>335.4</v>
      </c>
      <c r="O713" s="14">
        <f t="shared" si="228"/>
        <v>323.39999999999998</v>
      </c>
      <c r="P713" s="129"/>
      <c r="Q713" s="7"/>
    </row>
    <row r="714" spans="2:18" ht="15.75" x14ac:dyDescent="0.2">
      <c r="B714" s="130"/>
      <c r="C714" s="130"/>
      <c r="D714" s="130"/>
      <c r="E714" s="130"/>
      <c r="F714" s="130"/>
      <c r="G714" s="130"/>
      <c r="H714" s="95" t="s">
        <v>5</v>
      </c>
      <c r="I714" s="14">
        <f>SUMIF($H$611:$H$710,"вне*",I$611:I$710)</f>
        <v>0</v>
      </c>
      <c r="J714" s="14">
        <f t="shared" ref="J714:O714" si="229">SUMIF($H$611:$H$710,"вне*",J$611:J$710)</f>
        <v>0</v>
      </c>
      <c r="K714" s="14">
        <f t="shared" si="229"/>
        <v>0</v>
      </c>
      <c r="L714" s="14">
        <f t="shared" si="229"/>
        <v>0</v>
      </c>
      <c r="M714" s="14">
        <f t="shared" si="229"/>
        <v>0</v>
      </c>
      <c r="N714" s="14">
        <f t="shared" si="229"/>
        <v>0</v>
      </c>
      <c r="O714" s="14">
        <f t="shared" si="229"/>
        <v>0</v>
      </c>
      <c r="P714" s="130"/>
      <c r="Q714" s="7"/>
      <c r="R714" s="7"/>
    </row>
    <row r="715" spans="2:18" ht="42.75" x14ac:dyDescent="0.2">
      <c r="B715" s="128" t="s">
        <v>1464</v>
      </c>
      <c r="C715" s="128" t="s">
        <v>38</v>
      </c>
      <c r="D715" s="128" t="s">
        <v>38</v>
      </c>
      <c r="E715" s="128" t="s">
        <v>38</v>
      </c>
      <c r="F715" s="128" t="s">
        <v>38</v>
      </c>
      <c r="G715" s="128" t="s">
        <v>38</v>
      </c>
      <c r="H715" s="95" t="s">
        <v>3</v>
      </c>
      <c r="I715" s="14">
        <f t="shared" ref="I715:O718" si="230">I10+I39+I100+I113+I174+I255+I296+I345+I362+I411+I436+I457+I470+I479+I488+I505+I518+I543+I576+I585+I606+I711</f>
        <v>18948.497950000001</v>
      </c>
      <c r="J715" s="14">
        <f t="shared" si="230"/>
        <v>1638.8158000000001</v>
      </c>
      <c r="K715" s="14">
        <f t="shared" si="230"/>
        <v>4504.533449999999</v>
      </c>
      <c r="L715" s="14">
        <f t="shared" si="230"/>
        <v>4442.84</v>
      </c>
      <c r="M715" s="14">
        <f t="shared" si="230"/>
        <v>2901.5543499999999</v>
      </c>
      <c r="N715" s="14">
        <f t="shared" si="230"/>
        <v>2656.2</v>
      </c>
      <c r="O715" s="14">
        <f t="shared" si="230"/>
        <v>2804.5543499999999</v>
      </c>
      <c r="P715" s="128"/>
      <c r="Q715" s="7"/>
    </row>
    <row r="716" spans="2:18" ht="15.75" x14ac:dyDescent="0.2">
      <c r="B716" s="129"/>
      <c r="C716" s="129"/>
      <c r="D716" s="129"/>
      <c r="E716" s="129"/>
      <c r="F716" s="129"/>
      <c r="G716" s="129"/>
      <c r="H716" s="95" t="s">
        <v>4</v>
      </c>
      <c r="I716" s="14">
        <f t="shared" si="230"/>
        <v>11926.300000000001</v>
      </c>
      <c r="J716" s="14">
        <f t="shared" si="230"/>
        <v>749.5</v>
      </c>
      <c r="K716" s="14">
        <f t="shared" si="230"/>
        <v>2206.4</v>
      </c>
      <c r="L716" s="14">
        <f t="shared" si="230"/>
        <v>2551.9</v>
      </c>
      <c r="M716" s="14">
        <f t="shared" si="230"/>
        <v>1881.6999999999998</v>
      </c>
      <c r="N716" s="14">
        <f t="shared" si="230"/>
        <v>2177.7999999999997</v>
      </c>
      <c r="O716" s="14">
        <f t="shared" si="230"/>
        <v>2359</v>
      </c>
      <c r="P716" s="129"/>
      <c r="Q716" s="7"/>
    </row>
    <row r="717" spans="2:18" ht="15.75" x14ac:dyDescent="0.2">
      <c r="B717" s="129"/>
      <c r="C717" s="129"/>
      <c r="D717" s="129"/>
      <c r="E717" s="129"/>
      <c r="F717" s="129"/>
      <c r="G717" s="129"/>
      <c r="H717" s="95" t="s">
        <v>6</v>
      </c>
      <c r="I717" s="14">
        <f t="shared" si="230"/>
        <v>7022.1979499999998</v>
      </c>
      <c r="J717" s="14">
        <f t="shared" si="230"/>
        <v>889.31579999999997</v>
      </c>
      <c r="K717" s="14">
        <f t="shared" si="230"/>
        <v>2298.1334499999994</v>
      </c>
      <c r="L717" s="14">
        <f t="shared" si="230"/>
        <v>1890.9399999999998</v>
      </c>
      <c r="M717" s="14">
        <f t="shared" si="230"/>
        <v>1019.85435</v>
      </c>
      <c r="N717" s="14">
        <f t="shared" si="230"/>
        <v>478.4</v>
      </c>
      <c r="O717" s="14">
        <f t="shared" si="230"/>
        <v>445.55435</v>
      </c>
      <c r="P717" s="129"/>
      <c r="Q717" s="7"/>
    </row>
    <row r="718" spans="2:18" ht="15.75" x14ac:dyDescent="0.2">
      <c r="B718" s="130"/>
      <c r="C718" s="130"/>
      <c r="D718" s="130"/>
      <c r="E718" s="130"/>
      <c r="F718" s="130"/>
      <c r="G718" s="130"/>
      <c r="H718" s="95" t="s">
        <v>5</v>
      </c>
      <c r="I718" s="14">
        <f t="shared" si="230"/>
        <v>0</v>
      </c>
      <c r="J718" s="14">
        <f t="shared" si="230"/>
        <v>0</v>
      </c>
      <c r="K718" s="14">
        <f t="shared" si="230"/>
        <v>0</v>
      </c>
      <c r="L718" s="14">
        <f t="shared" si="230"/>
        <v>0</v>
      </c>
      <c r="M718" s="14">
        <f t="shared" si="230"/>
        <v>0</v>
      </c>
      <c r="N718" s="14">
        <f t="shared" si="230"/>
        <v>0</v>
      </c>
      <c r="O718" s="14">
        <f t="shared" si="230"/>
        <v>0</v>
      </c>
      <c r="P718" s="130"/>
      <c r="Q718" s="7"/>
    </row>
    <row r="719" spans="2:18" x14ac:dyDescent="0.2">
      <c r="Q719" s="7"/>
    </row>
  </sheetData>
  <mergeCells count="1241">
    <mergeCell ref="B1:P1"/>
    <mergeCell ref="B3:B4"/>
    <mergeCell ref="C3:C4"/>
    <mergeCell ref="D3:D4"/>
    <mergeCell ref="E3:E4"/>
    <mergeCell ref="F3:F4"/>
    <mergeCell ref="G3:G4"/>
    <mergeCell ref="H3:O3"/>
    <mergeCell ref="P3:P4"/>
    <mergeCell ref="P10:P13"/>
    <mergeCell ref="B14:P14"/>
    <mergeCell ref="B15:B18"/>
    <mergeCell ref="C15:C18"/>
    <mergeCell ref="D15:D18"/>
    <mergeCell ref="E15:E18"/>
    <mergeCell ref="F15:F18"/>
    <mergeCell ref="G15:G18"/>
    <mergeCell ref="P15:P18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P27:P30"/>
    <mergeCell ref="B31:B34"/>
    <mergeCell ref="C31:C34"/>
    <mergeCell ref="D31:D34"/>
    <mergeCell ref="E31:E34"/>
    <mergeCell ref="F31:F34"/>
    <mergeCell ref="G31:G34"/>
    <mergeCell ref="P31:P34"/>
    <mergeCell ref="B27:B30"/>
    <mergeCell ref="C27:C30"/>
    <mergeCell ref="D27:D30"/>
    <mergeCell ref="E27:E30"/>
    <mergeCell ref="F27:F30"/>
    <mergeCell ref="G27:G30"/>
    <mergeCell ref="P19:P22"/>
    <mergeCell ref="B23:B26"/>
    <mergeCell ref="C23:C26"/>
    <mergeCell ref="D23:D26"/>
    <mergeCell ref="E23:E26"/>
    <mergeCell ref="F23:F26"/>
    <mergeCell ref="G23:G26"/>
    <mergeCell ref="P23:P26"/>
    <mergeCell ref="B19:B22"/>
    <mergeCell ref="C19:C22"/>
    <mergeCell ref="D19:D22"/>
    <mergeCell ref="E19:E22"/>
    <mergeCell ref="F19:F22"/>
    <mergeCell ref="G19:G22"/>
    <mergeCell ref="B43:P43"/>
    <mergeCell ref="B44:B47"/>
    <mergeCell ref="C44:C47"/>
    <mergeCell ref="D44:D47"/>
    <mergeCell ref="E44:E47"/>
    <mergeCell ref="F44:F47"/>
    <mergeCell ref="G44:G47"/>
    <mergeCell ref="P44:P47"/>
    <mergeCell ref="P35:P38"/>
    <mergeCell ref="B39:B42"/>
    <mergeCell ref="C39:C42"/>
    <mergeCell ref="D39:D42"/>
    <mergeCell ref="E39:E42"/>
    <mergeCell ref="F39:F42"/>
    <mergeCell ref="G39:G42"/>
    <mergeCell ref="P39:P42"/>
    <mergeCell ref="B35:B38"/>
    <mergeCell ref="C35:C38"/>
    <mergeCell ref="D35:D38"/>
    <mergeCell ref="E35:E38"/>
    <mergeCell ref="F35:F38"/>
    <mergeCell ref="G35:G38"/>
    <mergeCell ref="P56:P59"/>
    <mergeCell ref="B60:B63"/>
    <mergeCell ref="C60:C63"/>
    <mergeCell ref="D60:D63"/>
    <mergeCell ref="E60:E63"/>
    <mergeCell ref="F60:F63"/>
    <mergeCell ref="G60:G63"/>
    <mergeCell ref="P60:P63"/>
    <mergeCell ref="B56:B59"/>
    <mergeCell ref="C56:C59"/>
    <mergeCell ref="D56:D59"/>
    <mergeCell ref="E56:E59"/>
    <mergeCell ref="F56:F59"/>
    <mergeCell ref="G56:G59"/>
    <mergeCell ref="P48:P51"/>
    <mergeCell ref="B52:B55"/>
    <mergeCell ref="C52:C55"/>
    <mergeCell ref="D52:D55"/>
    <mergeCell ref="E52:E55"/>
    <mergeCell ref="F52:F55"/>
    <mergeCell ref="G52:G55"/>
    <mergeCell ref="P52:P55"/>
    <mergeCell ref="B48:B51"/>
    <mergeCell ref="C48:C51"/>
    <mergeCell ref="D48:D51"/>
    <mergeCell ref="E48:E51"/>
    <mergeCell ref="F48:F51"/>
    <mergeCell ref="G48:G51"/>
    <mergeCell ref="P72:P75"/>
    <mergeCell ref="B76:B79"/>
    <mergeCell ref="C76:C79"/>
    <mergeCell ref="D76:D79"/>
    <mergeCell ref="E76:E79"/>
    <mergeCell ref="F76:F79"/>
    <mergeCell ref="G76:G79"/>
    <mergeCell ref="P76:P79"/>
    <mergeCell ref="B72:B75"/>
    <mergeCell ref="C72:C75"/>
    <mergeCell ref="D72:D75"/>
    <mergeCell ref="E72:E75"/>
    <mergeCell ref="F72:F75"/>
    <mergeCell ref="G72:G75"/>
    <mergeCell ref="P64:P67"/>
    <mergeCell ref="B68:B71"/>
    <mergeCell ref="C68:C71"/>
    <mergeCell ref="D68:D71"/>
    <mergeCell ref="E68:E71"/>
    <mergeCell ref="F68:F71"/>
    <mergeCell ref="G68:G71"/>
    <mergeCell ref="P68:P71"/>
    <mergeCell ref="B64:B67"/>
    <mergeCell ref="C64:C67"/>
    <mergeCell ref="D64:D67"/>
    <mergeCell ref="E64:E67"/>
    <mergeCell ref="F64:F67"/>
    <mergeCell ref="G64:G67"/>
    <mergeCell ref="P88:P91"/>
    <mergeCell ref="B92:B95"/>
    <mergeCell ref="C92:C95"/>
    <mergeCell ref="D92:D95"/>
    <mergeCell ref="E92:E95"/>
    <mergeCell ref="F92:F95"/>
    <mergeCell ref="G92:G95"/>
    <mergeCell ref="P92:P95"/>
    <mergeCell ref="B88:B91"/>
    <mergeCell ref="C88:C91"/>
    <mergeCell ref="D88:D91"/>
    <mergeCell ref="E88:E91"/>
    <mergeCell ref="F88:F91"/>
    <mergeCell ref="G88:G91"/>
    <mergeCell ref="P80:P83"/>
    <mergeCell ref="B84:B87"/>
    <mergeCell ref="C84:C87"/>
    <mergeCell ref="D84:D87"/>
    <mergeCell ref="E84:E87"/>
    <mergeCell ref="F84:F87"/>
    <mergeCell ref="G84:G87"/>
    <mergeCell ref="P84:P87"/>
    <mergeCell ref="B80:B83"/>
    <mergeCell ref="C80:C83"/>
    <mergeCell ref="D80:D83"/>
    <mergeCell ref="E80:E83"/>
    <mergeCell ref="F80:F83"/>
    <mergeCell ref="G80:G83"/>
    <mergeCell ref="B104:P104"/>
    <mergeCell ref="B105:B108"/>
    <mergeCell ref="C105:C108"/>
    <mergeCell ref="D105:D108"/>
    <mergeCell ref="E105:E108"/>
    <mergeCell ref="F105:F108"/>
    <mergeCell ref="G105:G108"/>
    <mergeCell ref="P105:P108"/>
    <mergeCell ref="P96:P99"/>
    <mergeCell ref="B100:B103"/>
    <mergeCell ref="C100:C103"/>
    <mergeCell ref="D100:D103"/>
    <mergeCell ref="E100:E103"/>
    <mergeCell ref="F100:F103"/>
    <mergeCell ref="G100:G103"/>
    <mergeCell ref="P100:P103"/>
    <mergeCell ref="B96:B99"/>
    <mergeCell ref="C96:C99"/>
    <mergeCell ref="D96:D99"/>
    <mergeCell ref="E96:E99"/>
    <mergeCell ref="F96:F99"/>
    <mergeCell ref="G96:G99"/>
    <mergeCell ref="B117:P117"/>
    <mergeCell ref="B118:B121"/>
    <mergeCell ref="C118:C121"/>
    <mergeCell ref="D118:D121"/>
    <mergeCell ref="E118:E121"/>
    <mergeCell ref="F118:F121"/>
    <mergeCell ref="G118:G121"/>
    <mergeCell ref="P118:P121"/>
    <mergeCell ref="P109:P112"/>
    <mergeCell ref="B113:B116"/>
    <mergeCell ref="C113:C116"/>
    <mergeCell ref="D113:D116"/>
    <mergeCell ref="E113:E116"/>
    <mergeCell ref="F113:F116"/>
    <mergeCell ref="G113:G116"/>
    <mergeCell ref="P113:P116"/>
    <mergeCell ref="B109:B112"/>
    <mergeCell ref="C109:C112"/>
    <mergeCell ref="D109:D112"/>
    <mergeCell ref="E109:E112"/>
    <mergeCell ref="F109:F112"/>
    <mergeCell ref="G109:G112"/>
    <mergeCell ref="P130:P133"/>
    <mergeCell ref="B134:B137"/>
    <mergeCell ref="C134:C137"/>
    <mergeCell ref="D134:D137"/>
    <mergeCell ref="E134:E137"/>
    <mergeCell ref="F134:F137"/>
    <mergeCell ref="G134:G137"/>
    <mergeCell ref="P134:P137"/>
    <mergeCell ref="B130:B133"/>
    <mergeCell ref="C130:C133"/>
    <mergeCell ref="D130:D133"/>
    <mergeCell ref="E130:E133"/>
    <mergeCell ref="F130:F133"/>
    <mergeCell ref="G130:G133"/>
    <mergeCell ref="P122:P125"/>
    <mergeCell ref="B126:B129"/>
    <mergeCell ref="C126:C129"/>
    <mergeCell ref="D126:D129"/>
    <mergeCell ref="E126:E129"/>
    <mergeCell ref="F126:F129"/>
    <mergeCell ref="G126:G129"/>
    <mergeCell ref="P126:P129"/>
    <mergeCell ref="B122:B125"/>
    <mergeCell ref="C122:C125"/>
    <mergeCell ref="D122:D125"/>
    <mergeCell ref="E122:E125"/>
    <mergeCell ref="F122:F125"/>
    <mergeCell ref="G122:G125"/>
    <mergeCell ref="P146:P149"/>
    <mergeCell ref="B150:B153"/>
    <mergeCell ref="C150:C153"/>
    <mergeCell ref="D150:D153"/>
    <mergeCell ref="E150:E153"/>
    <mergeCell ref="F150:F153"/>
    <mergeCell ref="G150:G153"/>
    <mergeCell ref="P150:P153"/>
    <mergeCell ref="B146:B149"/>
    <mergeCell ref="C146:C149"/>
    <mergeCell ref="D146:D149"/>
    <mergeCell ref="E146:E149"/>
    <mergeCell ref="F146:F149"/>
    <mergeCell ref="G146:G149"/>
    <mergeCell ref="P138:P141"/>
    <mergeCell ref="B142:B145"/>
    <mergeCell ref="C142:C145"/>
    <mergeCell ref="D142:D145"/>
    <mergeCell ref="E142:E145"/>
    <mergeCell ref="F142:F145"/>
    <mergeCell ref="G142:G145"/>
    <mergeCell ref="P142:P145"/>
    <mergeCell ref="B138:B141"/>
    <mergeCell ref="C138:C141"/>
    <mergeCell ref="D138:D141"/>
    <mergeCell ref="E138:E141"/>
    <mergeCell ref="F138:F141"/>
    <mergeCell ref="G138:G141"/>
    <mergeCell ref="P162:P165"/>
    <mergeCell ref="B166:B169"/>
    <mergeCell ref="C166:C169"/>
    <mergeCell ref="D166:D169"/>
    <mergeCell ref="E166:E169"/>
    <mergeCell ref="F166:F169"/>
    <mergeCell ref="G166:G169"/>
    <mergeCell ref="P166:P169"/>
    <mergeCell ref="B162:B165"/>
    <mergeCell ref="C162:C165"/>
    <mergeCell ref="D162:D165"/>
    <mergeCell ref="E162:E165"/>
    <mergeCell ref="F162:F165"/>
    <mergeCell ref="G162:G165"/>
    <mergeCell ref="P154:P157"/>
    <mergeCell ref="B158:B161"/>
    <mergeCell ref="C158:C161"/>
    <mergeCell ref="D158:D161"/>
    <mergeCell ref="E158:E161"/>
    <mergeCell ref="F158:F161"/>
    <mergeCell ref="G158:G161"/>
    <mergeCell ref="P158:P161"/>
    <mergeCell ref="B154:B157"/>
    <mergeCell ref="C154:C157"/>
    <mergeCell ref="D154:D157"/>
    <mergeCell ref="E154:E157"/>
    <mergeCell ref="F154:F157"/>
    <mergeCell ref="G154:G157"/>
    <mergeCell ref="B178:P178"/>
    <mergeCell ref="B179:B182"/>
    <mergeCell ref="C179:C182"/>
    <mergeCell ref="D179:D182"/>
    <mergeCell ref="E179:E182"/>
    <mergeCell ref="F179:F182"/>
    <mergeCell ref="G179:G182"/>
    <mergeCell ref="P179:P182"/>
    <mergeCell ref="P170:P173"/>
    <mergeCell ref="B174:B177"/>
    <mergeCell ref="C174:C177"/>
    <mergeCell ref="D174:D177"/>
    <mergeCell ref="E174:E177"/>
    <mergeCell ref="F174:F177"/>
    <mergeCell ref="G174:G177"/>
    <mergeCell ref="P174:P177"/>
    <mergeCell ref="B170:B173"/>
    <mergeCell ref="C170:C173"/>
    <mergeCell ref="D170:D173"/>
    <mergeCell ref="E170:E173"/>
    <mergeCell ref="F170:F173"/>
    <mergeCell ref="G170:G173"/>
    <mergeCell ref="P191:P194"/>
    <mergeCell ref="B195:B198"/>
    <mergeCell ref="C195:C198"/>
    <mergeCell ref="D195:D198"/>
    <mergeCell ref="E195:E198"/>
    <mergeCell ref="F195:F198"/>
    <mergeCell ref="G195:G198"/>
    <mergeCell ref="P195:P198"/>
    <mergeCell ref="B191:B194"/>
    <mergeCell ref="C191:C194"/>
    <mergeCell ref="D191:D194"/>
    <mergeCell ref="E191:E194"/>
    <mergeCell ref="F191:F194"/>
    <mergeCell ref="G191:G194"/>
    <mergeCell ref="P183:P186"/>
    <mergeCell ref="B187:B190"/>
    <mergeCell ref="C187:C190"/>
    <mergeCell ref="D187:D190"/>
    <mergeCell ref="E187:E190"/>
    <mergeCell ref="F187:F190"/>
    <mergeCell ref="G187:G190"/>
    <mergeCell ref="P187:P190"/>
    <mergeCell ref="B183:B186"/>
    <mergeCell ref="C183:C186"/>
    <mergeCell ref="D183:D186"/>
    <mergeCell ref="E183:E186"/>
    <mergeCell ref="F183:F186"/>
    <mergeCell ref="G183:G186"/>
    <mergeCell ref="P207:P210"/>
    <mergeCell ref="B211:B214"/>
    <mergeCell ref="C211:C214"/>
    <mergeCell ref="D211:D214"/>
    <mergeCell ref="E211:E214"/>
    <mergeCell ref="F211:F214"/>
    <mergeCell ref="G211:G214"/>
    <mergeCell ref="P211:P214"/>
    <mergeCell ref="B207:B210"/>
    <mergeCell ref="C207:C210"/>
    <mergeCell ref="D207:D210"/>
    <mergeCell ref="E207:E210"/>
    <mergeCell ref="F207:F210"/>
    <mergeCell ref="G207:G210"/>
    <mergeCell ref="P199:P202"/>
    <mergeCell ref="B203:B206"/>
    <mergeCell ref="C203:C206"/>
    <mergeCell ref="D203:D206"/>
    <mergeCell ref="E203:E206"/>
    <mergeCell ref="F203:F206"/>
    <mergeCell ref="G203:G206"/>
    <mergeCell ref="P203:P206"/>
    <mergeCell ref="B199:B202"/>
    <mergeCell ref="C199:C202"/>
    <mergeCell ref="D199:D202"/>
    <mergeCell ref="E199:E202"/>
    <mergeCell ref="F199:F202"/>
    <mergeCell ref="G199:G202"/>
    <mergeCell ref="P223:P226"/>
    <mergeCell ref="B227:B230"/>
    <mergeCell ref="C227:C230"/>
    <mergeCell ref="D227:D230"/>
    <mergeCell ref="E227:E230"/>
    <mergeCell ref="F227:F230"/>
    <mergeCell ref="G227:G230"/>
    <mergeCell ref="P227:P230"/>
    <mergeCell ref="B223:B226"/>
    <mergeCell ref="C223:C226"/>
    <mergeCell ref="D223:D226"/>
    <mergeCell ref="E223:E226"/>
    <mergeCell ref="F223:F226"/>
    <mergeCell ref="G223:G226"/>
    <mergeCell ref="P215:P218"/>
    <mergeCell ref="B219:B222"/>
    <mergeCell ref="C219:C222"/>
    <mergeCell ref="D219:D222"/>
    <mergeCell ref="E219:E222"/>
    <mergeCell ref="F219:F222"/>
    <mergeCell ref="G219:G222"/>
    <mergeCell ref="P219:P222"/>
    <mergeCell ref="B215:B218"/>
    <mergeCell ref="C215:C218"/>
    <mergeCell ref="D215:D218"/>
    <mergeCell ref="E215:E218"/>
    <mergeCell ref="F215:F218"/>
    <mergeCell ref="G215:G218"/>
    <mergeCell ref="P239:P242"/>
    <mergeCell ref="B243:B246"/>
    <mergeCell ref="C243:C246"/>
    <mergeCell ref="D243:D246"/>
    <mergeCell ref="E243:E246"/>
    <mergeCell ref="F243:F246"/>
    <mergeCell ref="G243:G246"/>
    <mergeCell ref="P243:P246"/>
    <mergeCell ref="B239:B242"/>
    <mergeCell ref="C239:C242"/>
    <mergeCell ref="D239:D242"/>
    <mergeCell ref="E239:E242"/>
    <mergeCell ref="F239:F242"/>
    <mergeCell ref="G239:G242"/>
    <mergeCell ref="P231:P234"/>
    <mergeCell ref="B235:B238"/>
    <mergeCell ref="C235:C238"/>
    <mergeCell ref="D235:D238"/>
    <mergeCell ref="E235:E238"/>
    <mergeCell ref="F235:F238"/>
    <mergeCell ref="G235:G238"/>
    <mergeCell ref="P235:P238"/>
    <mergeCell ref="B231:B234"/>
    <mergeCell ref="C231:C234"/>
    <mergeCell ref="D231:D234"/>
    <mergeCell ref="E231:E234"/>
    <mergeCell ref="F231:F234"/>
    <mergeCell ref="G231:G234"/>
    <mergeCell ref="P255:P258"/>
    <mergeCell ref="B259:P259"/>
    <mergeCell ref="B260:B263"/>
    <mergeCell ref="C260:C263"/>
    <mergeCell ref="D260:D263"/>
    <mergeCell ref="E260:E263"/>
    <mergeCell ref="F260:F263"/>
    <mergeCell ref="G260:G263"/>
    <mergeCell ref="P260:P263"/>
    <mergeCell ref="B255:B258"/>
    <mergeCell ref="C255:C258"/>
    <mergeCell ref="D255:D258"/>
    <mergeCell ref="E255:E258"/>
    <mergeCell ref="F255:F258"/>
    <mergeCell ref="G255:G258"/>
    <mergeCell ref="P247:P250"/>
    <mergeCell ref="B251:B254"/>
    <mergeCell ref="C251:C254"/>
    <mergeCell ref="D251:D254"/>
    <mergeCell ref="E251:E254"/>
    <mergeCell ref="F251:F254"/>
    <mergeCell ref="G251:G254"/>
    <mergeCell ref="P251:P254"/>
    <mergeCell ref="B247:B250"/>
    <mergeCell ref="C247:C250"/>
    <mergeCell ref="D247:D250"/>
    <mergeCell ref="E247:E250"/>
    <mergeCell ref="F247:F250"/>
    <mergeCell ref="G247:G250"/>
    <mergeCell ref="P272:P275"/>
    <mergeCell ref="B276:B279"/>
    <mergeCell ref="C276:C279"/>
    <mergeCell ref="D276:D279"/>
    <mergeCell ref="E276:E279"/>
    <mergeCell ref="F276:F279"/>
    <mergeCell ref="G276:G279"/>
    <mergeCell ref="P276:P279"/>
    <mergeCell ref="B272:B275"/>
    <mergeCell ref="C272:C275"/>
    <mergeCell ref="D272:D275"/>
    <mergeCell ref="E272:E275"/>
    <mergeCell ref="F272:F275"/>
    <mergeCell ref="G272:G275"/>
    <mergeCell ref="P264:P267"/>
    <mergeCell ref="B268:B271"/>
    <mergeCell ref="C268:C271"/>
    <mergeCell ref="D268:D271"/>
    <mergeCell ref="E268:E271"/>
    <mergeCell ref="F268:F271"/>
    <mergeCell ref="G268:G271"/>
    <mergeCell ref="P268:P271"/>
    <mergeCell ref="B264:B267"/>
    <mergeCell ref="C264:C267"/>
    <mergeCell ref="D264:D267"/>
    <mergeCell ref="E264:E267"/>
    <mergeCell ref="F264:F267"/>
    <mergeCell ref="G264:G267"/>
    <mergeCell ref="P288:P291"/>
    <mergeCell ref="B292:B295"/>
    <mergeCell ref="C292:C295"/>
    <mergeCell ref="D292:D295"/>
    <mergeCell ref="E292:E295"/>
    <mergeCell ref="F292:F295"/>
    <mergeCell ref="G292:G295"/>
    <mergeCell ref="P292:P295"/>
    <mergeCell ref="B288:B291"/>
    <mergeCell ref="C288:C291"/>
    <mergeCell ref="D288:D291"/>
    <mergeCell ref="E288:E291"/>
    <mergeCell ref="F288:F291"/>
    <mergeCell ref="G288:G291"/>
    <mergeCell ref="P280:P283"/>
    <mergeCell ref="B284:B287"/>
    <mergeCell ref="C284:C287"/>
    <mergeCell ref="D284:D287"/>
    <mergeCell ref="E284:E287"/>
    <mergeCell ref="F284:F287"/>
    <mergeCell ref="G284:G287"/>
    <mergeCell ref="P284:P287"/>
    <mergeCell ref="B280:B283"/>
    <mergeCell ref="C280:C283"/>
    <mergeCell ref="D280:D283"/>
    <mergeCell ref="E280:E283"/>
    <mergeCell ref="F280:F283"/>
    <mergeCell ref="G280:G283"/>
    <mergeCell ref="P305:P308"/>
    <mergeCell ref="B309:B312"/>
    <mergeCell ref="C309:C312"/>
    <mergeCell ref="D309:D312"/>
    <mergeCell ref="E309:E312"/>
    <mergeCell ref="F309:F312"/>
    <mergeCell ref="G309:G312"/>
    <mergeCell ref="P309:P312"/>
    <mergeCell ref="B305:B308"/>
    <mergeCell ref="C305:C308"/>
    <mergeCell ref="D305:D308"/>
    <mergeCell ref="E305:E308"/>
    <mergeCell ref="F305:F308"/>
    <mergeCell ref="G305:G308"/>
    <mergeCell ref="P296:P299"/>
    <mergeCell ref="B300:P300"/>
    <mergeCell ref="B301:B304"/>
    <mergeCell ref="C301:C304"/>
    <mergeCell ref="D301:D304"/>
    <mergeCell ref="E301:E304"/>
    <mergeCell ref="F301:F304"/>
    <mergeCell ref="G301:G304"/>
    <mergeCell ref="P301:P304"/>
    <mergeCell ref="B296:B299"/>
    <mergeCell ref="C296:C299"/>
    <mergeCell ref="D296:D299"/>
    <mergeCell ref="E296:E299"/>
    <mergeCell ref="F296:F299"/>
    <mergeCell ref="G296:G299"/>
    <mergeCell ref="P321:P324"/>
    <mergeCell ref="B325:B328"/>
    <mergeCell ref="C325:C328"/>
    <mergeCell ref="D325:D328"/>
    <mergeCell ref="E325:E328"/>
    <mergeCell ref="F325:F328"/>
    <mergeCell ref="G325:G328"/>
    <mergeCell ref="P325:P328"/>
    <mergeCell ref="B321:B324"/>
    <mergeCell ref="C321:C324"/>
    <mergeCell ref="D321:D324"/>
    <mergeCell ref="E321:E324"/>
    <mergeCell ref="F321:F324"/>
    <mergeCell ref="G321:G324"/>
    <mergeCell ref="P313:P316"/>
    <mergeCell ref="B317:B320"/>
    <mergeCell ref="C317:C320"/>
    <mergeCell ref="D317:D320"/>
    <mergeCell ref="E317:E320"/>
    <mergeCell ref="F317:F320"/>
    <mergeCell ref="G317:G320"/>
    <mergeCell ref="P317:P320"/>
    <mergeCell ref="B313:B316"/>
    <mergeCell ref="C313:C316"/>
    <mergeCell ref="D313:D316"/>
    <mergeCell ref="E313:E316"/>
    <mergeCell ref="F313:F316"/>
    <mergeCell ref="G313:G316"/>
    <mergeCell ref="P337:P340"/>
    <mergeCell ref="B341:B344"/>
    <mergeCell ref="C341:C344"/>
    <mergeCell ref="D341:D344"/>
    <mergeCell ref="E341:E344"/>
    <mergeCell ref="F341:F344"/>
    <mergeCell ref="G341:G344"/>
    <mergeCell ref="P341:P344"/>
    <mergeCell ref="B337:B340"/>
    <mergeCell ref="C337:C340"/>
    <mergeCell ref="D337:D340"/>
    <mergeCell ref="E337:E340"/>
    <mergeCell ref="F337:F340"/>
    <mergeCell ref="G337:G340"/>
    <mergeCell ref="P329:P332"/>
    <mergeCell ref="B333:B336"/>
    <mergeCell ref="C333:C336"/>
    <mergeCell ref="D333:D336"/>
    <mergeCell ref="E333:E336"/>
    <mergeCell ref="F333:F336"/>
    <mergeCell ref="G333:G336"/>
    <mergeCell ref="P333:P336"/>
    <mergeCell ref="B329:B332"/>
    <mergeCell ref="C329:C332"/>
    <mergeCell ref="D329:D332"/>
    <mergeCell ref="E329:E332"/>
    <mergeCell ref="F329:F332"/>
    <mergeCell ref="G329:G332"/>
    <mergeCell ref="P354:P357"/>
    <mergeCell ref="B358:B361"/>
    <mergeCell ref="C358:C361"/>
    <mergeCell ref="D358:D361"/>
    <mergeCell ref="E358:E361"/>
    <mergeCell ref="F358:F361"/>
    <mergeCell ref="G358:G361"/>
    <mergeCell ref="P358:P361"/>
    <mergeCell ref="B354:B357"/>
    <mergeCell ref="C354:C357"/>
    <mergeCell ref="D354:D357"/>
    <mergeCell ref="E354:E357"/>
    <mergeCell ref="F354:F357"/>
    <mergeCell ref="G354:G357"/>
    <mergeCell ref="P345:P348"/>
    <mergeCell ref="B349:P349"/>
    <mergeCell ref="B350:B353"/>
    <mergeCell ref="C350:C353"/>
    <mergeCell ref="D350:D353"/>
    <mergeCell ref="E350:E353"/>
    <mergeCell ref="F350:F353"/>
    <mergeCell ref="G350:G353"/>
    <mergeCell ref="P350:P353"/>
    <mergeCell ref="B345:B348"/>
    <mergeCell ref="C345:C348"/>
    <mergeCell ref="D345:D348"/>
    <mergeCell ref="E345:E348"/>
    <mergeCell ref="F345:F348"/>
    <mergeCell ref="G345:G348"/>
    <mergeCell ref="P371:P374"/>
    <mergeCell ref="B375:B378"/>
    <mergeCell ref="C375:C378"/>
    <mergeCell ref="D375:D378"/>
    <mergeCell ref="E375:E378"/>
    <mergeCell ref="F375:F378"/>
    <mergeCell ref="G375:G378"/>
    <mergeCell ref="P375:P378"/>
    <mergeCell ref="B371:B374"/>
    <mergeCell ref="C371:C374"/>
    <mergeCell ref="D371:D374"/>
    <mergeCell ref="E371:E374"/>
    <mergeCell ref="F371:F374"/>
    <mergeCell ref="G371:G374"/>
    <mergeCell ref="P362:P365"/>
    <mergeCell ref="B366:P366"/>
    <mergeCell ref="B367:B370"/>
    <mergeCell ref="C367:C370"/>
    <mergeCell ref="D367:D370"/>
    <mergeCell ref="E367:E370"/>
    <mergeCell ref="F367:F370"/>
    <mergeCell ref="G367:G370"/>
    <mergeCell ref="P367:P370"/>
    <mergeCell ref="B362:B365"/>
    <mergeCell ref="C362:C365"/>
    <mergeCell ref="D362:D365"/>
    <mergeCell ref="E362:E365"/>
    <mergeCell ref="F362:F365"/>
    <mergeCell ref="G362:G365"/>
    <mergeCell ref="P387:P390"/>
    <mergeCell ref="B391:B394"/>
    <mergeCell ref="C391:C394"/>
    <mergeCell ref="D391:D394"/>
    <mergeCell ref="E391:E394"/>
    <mergeCell ref="F391:F394"/>
    <mergeCell ref="G391:G394"/>
    <mergeCell ref="P391:P394"/>
    <mergeCell ref="B387:B390"/>
    <mergeCell ref="C387:C390"/>
    <mergeCell ref="D387:D390"/>
    <mergeCell ref="E387:E390"/>
    <mergeCell ref="F387:F390"/>
    <mergeCell ref="G387:G390"/>
    <mergeCell ref="P379:P382"/>
    <mergeCell ref="B383:B386"/>
    <mergeCell ref="C383:C386"/>
    <mergeCell ref="D383:D386"/>
    <mergeCell ref="E383:E386"/>
    <mergeCell ref="F383:F386"/>
    <mergeCell ref="G383:G386"/>
    <mergeCell ref="P383:P386"/>
    <mergeCell ref="B379:B382"/>
    <mergeCell ref="C379:C382"/>
    <mergeCell ref="D379:D382"/>
    <mergeCell ref="E379:E382"/>
    <mergeCell ref="F379:F382"/>
    <mergeCell ref="G379:G382"/>
    <mergeCell ref="P403:P406"/>
    <mergeCell ref="B407:B410"/>
    <mergeCell ref="C407:C410"/>
    <mergeCell ref="D407:D410"/>
    <mergeCell ref="E407:E410"/>
    <mergeCell ref="F407:F410"/>
    <mergeCell ref="G407:G410"/>
    <mergeCell ref="P407:P410"/>
    <mergeCell ref="B403:B406"/>
    <mergeCell ref="C403:C406"/>
    <mergeCell ref="D403:D406"/>
    <mergeCell ref="E403:E406"/>
    <mergeCell ref="F403:F406"/>
    <mergeCell ref="G403:G406"/>
    <mergeCell ref="P395:P398"/>
    <mergeCell ref="B399:B402"/>
    <mergeCell ref="C399:C402"/>
    <mergeCell ref="D399:D402"/>
    <mergeCell ref="E399:E402"/>
    <mergeCell ref="F399:F402"/>
    <mergeCell ref="G399:G402"/>
    <mergeCell ref="P399:P402"/>
    <mergeCell ref="B395:B398"/>
    <mergeCell ref="C395:C398"/>
    <mergeCell ref="D395:D398"/>
    <mergeCell ref="E395:E398"/>
    <mergeCell ref="F395:F398"/>
    <mergeCell ref="G395:G398"/>
    <mergeCell ref="P420:P423"/>
    <mergeCell ref="B424:B427"/>
    <mergeCell ref="C424:C427"/>
    <mergeCell ref="D424:D427"/>
    <mergeCell ref="E424:E427"/>
    <mergeCell ref="F424:F427"/>
    <mergeCell ref="G424:G427"/>
    <mergeCell ref="P424:P427"/>
    <mergeCell ref="B420:B423"/>
    <mergeCell ref="C420:C423"/>
    <mergeCell ref="D420:D423"/>
    <mergeCell ref="E420:E423"/>
    <mergeCell ref="F420:F423"/>
    <mergeCell ref="G420:G423"/>
    <mergeCell ref="P411:P414"/>
    <mergeCell ref="B415:P415"/>
    <mergeCell ref="B416:B419"/>
    <mergeCell ref="C416:C419"/>
    <mergeCell ref="D416:D419"/>
    <mergeCell ref="E416:E419"/>
    <mergeCell ref="F416:F419"/>
    <mergeCell ref="G416:G419"/>
    <mergeCell ref="P416:P419"/>
    <mergeCell ref="B411:B414"/>
    <mergeCell ref="C411:C414"/>
    <mergeCell ref="D411:D414"/>
    <mergeCell ref="E411:E414"/>
    <mergeCell ref="F411:F414"/>
    <mergeCell ref="G411:G414"/>
    <mergeCell ref="P436:P439"/>
    <mergeCell ref="B440:P440"/>
    <mergeCell ref="B441:B444"/>
    <mergeCell ref="C441:C444"/>
    <mergeCell ref="D441:D444"/>
    <mergeCell ref="E441:E444"/>
    <mergeCell ref="F441:F444"/>
    <mergeCell ref="G441:G444"/>
    <mergeCell ref="P441:P444"/>
    <mergeCell ref="B436:B439"/>
    <mergeCell ref="C436:C439"/>
    <mergeCell ref="D436:D439"/>
    <mergeCell ref="E436:E439"/>
    <mergeCell ref="F436:F439"/>
    <mergeCell ref="G436:G439"/>
    <mergeCell ref="P428:P431"/>
    <mergeCell ref="B432:B435"/>
    <mergeCell ref="C432:C435"/>
    <mergeCell ref="D432:D435"/>
    <mergeCell ref="E432:E435"/>
    <mergeCell ref="F432:F435"/>
    <mergeCell ref="G432:G435"/>
    <mergeCell ref="P432:P435"/>
    <mergeCell ref="B428:B431"/>
    <mergeCell ref="C428:C431"/>
    <mergeCell ref="D428:D431"/>
    <mergeCell ref="E428:E431"/>
    <mergeCell ref="F428:F431"/>
    <mergeCell ref="G428:G431"/>
    <mergeCell ref="P453:P456"/>
    <mergeCell ref="B457:B460"/>
    <mergeCell ref="C457:C460"/>
    <mergeCell ref="D457:D460"/>
    <mergeCell ref="E457:E460"/>
    <mergeCell ref="F457:F460"/>
    <mergeCell ref="G457:G460"/>
    <mergeCell ref="P457:P460"/>
    <mergeCell ref="B453:B456"/>
    <mergeCell ref="C453:C456"/>
    <mergeCell ref="D453:D456"/>
    <mergeCell ref="E453:E456"/>
    <mergeCell ref="F453:F456"/>
    <mergeCell ref="G453:G456"/>
    <mergeCell ref="P445:P448"/>
    <mergeCell ref="B449:B452"/>
    <mergeCell ref="C449:C452"/>
    <mergeCell ref="D449:D452"/>
    <mergeCell ref="E449:E452"/>
    <mergeCell ref="F449:F452"/>
    <mergeCell ref="G449:G452"/>
    <mergeCell ref="P449:P452"/>
    <mergeCell ref="B445:B448"/>
    <mergeCell ref="C445:C448"/>
    <mergeCell ref="D445:D448"/>
    <mergeCell ref="E445:E448"/>
    <mergeCell ref="F445:F448"/>
    <mergeCell ref="G445:G448"/>
    <mergeCell ref="P466:P469"/>
    <mergeCell ref="B470:B473"/>
    <mergeCell ref="C470:C473"/>
    <mergeCell ref="D470:D473"/>
    <mergeCell ref="E470:E473"/>
    <mergeCell ref="F470:F473"/>
    <mergeCell ref="G470:G473"/>
    <mergeCell ref="P470:P473"/>
    <mergeCell ref="B466:B469"/>
    <mergeCell ref="C466:C469"/>
    <mergeCell ref="D466:D469"/>
    <mergeCell ref="E466:E469"/>
    <mergeCell ref="F466:F469"/>
    <mergeCell ref="G466:G469"/>
    <mergeCell ref="B461:P461"/>
    <mergeCell ref="B462:B465"/>
    <mergeCell ref="C462:C465"/>
    <mergeCell ref="D462:D465"/>
    <mergeCell ref="E462:E465"/>
    <mergeCell ref="F462:F465"/>
    <mergeCell ref="G462:G465"/>
    <mergeCell ref="P462:P465"/>
    <mergeCell ref="P479:P482"/>
    <mergeCell ref="B483:P483"/>
    <mergeCell ref="B484:B487"/>
    <mergeCell ref="C484:C487"/>
    <mergeCell ref="D484:D487"/>
    <mergeCell ref="E484:E487"/>
    <mergeCell ref="F484:F487"/>
    <mergeCell ref="G484:G487"/>
    <mergeCell ref="P484:P487"/>
    <mergeCell ref="B479:B482"/>
    <mergeCell ref="C479:C482"/>
    <mergeCell ref="D479:D482"/>
    <mergeCell ref="E479:E482"/>
    <mergeCell ref="F479:F482"/>
    <mergeCell ref="G479:G482"/>
    <mergeCell ref="B474:P474"/>
    <mergeCell ref="B475:B478"/>
    <mergeCell ref="C475:C478"/>
    <mergeCell ref="D475:D478"/>
    <mergeCell ref="E475:E478"/>
    <mergeCell ref="F475:F478"/>
    <mergeCell ref="G475:G478"/>
    <mergeCell ref="P475:P478"/>
    <mergeCell ref="P497:P500"/>
    <mergeCell ref="B501:B504"/>
    <mergeCell ref="C501:C504"/>
    <mergeCell ref="D501:D504"/>
    <mergeCell ref="E501:E504"/>
    <mergeCell ref="F501:F504"/>
    <mergeCell ref="G501:G504"/>
    <mergeCell ref="P501:P504"/>
    <mergeCell ref="B497:B500"/>
    <mergeCell ref="C497:C500"/>
    <mergeCell ref="D497:D500"/>
    <mergeCell ref="E497:E500"/>
    <mergeCell ref="F497:F500"/>
    <mergeCell ref="G497:G500"/>
    <mergeCell ref="P488:P491"/>
    <mergeCell ref="B492:P492"/>
    <mergeCell ref="B493:B496"/>
    <mergeCell ref="C493:C496"/>
    <mergeCell ref="D493:D496"/>
    <mergeCell ref="E493:E496"/>
    <mergeCell ref="F493:F496"/>
    <mergeCell ref="G493:G496"/>
    <mergeCell ref="P493:P496"/>
    <mergeCell ref="B488:B491"/>
    <mergeCell ref="C488:C491"/>
    <mergeCell ref="D488:D491"/>
    <mergeCell ref="E488:E491"/>
    <mergeCell ref="F488:F491"/>
    <mergeCell ref="G488:G491"/>
    <mergeCell ref="P514:P517"/>
    <mergeCell ref="B518:B521"/>
    <mergeCell ref="C518:C521"/>
    <mergeCell ref="D518:D521"/>
    <mergeCell ref="E518:E521"/>
    <mergeCell ref="F518:F521"/>
    <mergeCell ref="G518:G521"/>
    <mergeCell ref="P518:P521"/>
    <mergeCell ref="B514:B517"/>
    <mergeCell ref="C514:C517"/>
    <mergeCell ref="D514:D517"/>
    <mergeCell ref="E514:E517"/>
    <mergeCell ref="F514:F517"/>
    <mergeCell ref="G514:G517"/>
    <mergeCell ref="P505:P508"/>
    <mergeCell ref="B509:P509"/>
    <mergeCell ref="B510:B513"/>
    <mergeCell ref="C510:C513"/>
    <mergeCell ref="D510:D513"/>
    <mergeCell ref="E510:E513"/>
    <mergeCell ref="F510:F513"/>
    <mergeCell ref="G510:G513"/>
    <mergeCell ref="P510:P513"/>
    <mergeCell ref="B505:B508"/>
    <mergeCell ref="C505:C508"/>
    <mergeCell ref="D505:D508"/>
    <mergeCell ref="E505:E508"/>
    <mergeCell ref="F505:F508"/>
    <mergeCell ref="G505:G508"/>
    <mergeCell ref="P527:P530"/>
    <mergeCell ref="B531:B534"/>
    <mergeCell ref="C531:C534"/>
    <mergeCell ref="D531:D534"/>
    <mergeCell ref="E531:E534"/>
    <mergeCell ref="F531:F534"/>
    <mergeCell ref="G531:G534"/>
    <mergeCell ref="P531:P534"/>
    <mergeCell ref="B527:B530"/>
    <mergeCell ref="C527:C530"/>
    <mergeCell ref="D527:D530"/>
    <mergeCell ref="E527:E530"/>
    <mergeCell ref="F527:F530"/>
    <mergeCell ref="G527:G530"/>
    <mergeCell ref="B522:P522"/>
    <mergeCell ref="B523:B526"/>
    <mergeCell ref="C523:C526"/>
    <mergeCell ref="D523:D526"/>
    <mergeCell ref="E523:E526"/>
    <mergeCell ref="F523:F526"/>
    <mergeCell ref="G523:G526"/>
    <mergeCell ref="P523:P526"/>
    <mergeCell ref="P543:P546"/>
    <mergeCell ref="B547:P547"/>
    <mergeCell ref="B548:B551"/>
    <mergeCell ref="C548:C551"/>
    <mergeCell ref="D548:D551"/>
    <mergeCell ref="E548:E551"/>
    <mergeCell ref="F548:F551"/>
    <mergeCell ref="G548:G551"/>
    <mergeCell ref="P548:P551"/>
    <mergeCell ref="B543:B546"/>
    <mergeCell ref="C543:C546"/>
    <mergeCell ref="D543:D546"/>
    <mergeCell ref="E543:E546"/>
    <mergeCell ref="F543:F546"/>
    <mergeCell ref="G543:G546"/>
    <mergeCell ref="P535:P538"/>
    <mergeCell ref="B539:B542"/>
    <mergeCell ref="C539:C542"/>
    <mergeCell ref="D539:D542"/>
    <mergeCell ref="E539:E542"/>
    <mergeCell ref="F539:F542"/>
    <mergeCell ref="G539:G542"/>
    <mergeCell ref="P539:P542"/>
    <mergeCell ref="B535:B538"/>
    <mergeCell ref="C535:C538"/>
    <mergeCell ref="D535:D538"/>
    <mergeCell ref="E535:E538"/>
    <mergeCell ref="F535:F538"/>
    <mergeCell ref="G535:G538"/>
    <mergeCell ref="P560:P563"/>
    <mergeCell ref="B564:B567"/>
    <mergeCell ref="C564:C567"/>
    <mergeCell ref="D564:D567"/>
    <mergeCell ref="E564:E567"/>
    <mergeCell ref="F564:F567"/>
    <mergeCell ref="G564:G567"/>
    <mergeCell ref="P564:P567"/>
    <mergeCell ref="B560:B563"/>
    <mergeCell ref="C560:C563"/>
    <mergeCell ref="D560:D563"/>
    <mergeCell ref="E560:E563"/>
    <mergeCell ref="F560:F563"/>
    <mergeCell ref="G560:G563"/>
    <mergeCell ref="P552:P555"/>
    <mergeCell ref="B556:B559"/>
    <mergeCell ref="C556:C559"/>
    <mergeCell ref="D556:D559"/>
    <mergeCell ref="E556:E559"/>
    <mergeCell ref="F556:F559"/>
    <mergeCell ref="G556:G559"/>
    <mergeCell ref="P556:P559"/>
    <mergeCell ref="B552:B555"/>
    <mergeCell ref="C552:C555"/>
    <mergeCell ref="D552:D555"/>
    <mergeCell ref="E552:E555"/>
    <mergeCell ref="F552:F555"/>
    <mergeCell ref="G552:G555"/>
    <mergeCell ref="P576:P579"/>
    <mergeCell ref="B580:P580"/>
    <mergeCell ref="B581:B584"/>
    <mergeCell ref="C581:C584"/>
    <mergeCell ref="D581:D584"/>
    <mergeCell ref="E581:E584"/>
    <mergeCell ref="F581:F584"/>
    <mergeCell ref="G581:G584"/>
    <mergeCell ref="P581:P584"/>
    <mergeCell ref="B576:B579"/>
    <mergeCell ref="C576:C579"/>
    <mergeCell ref="D576:D579"/>
    <mergeCell ref="E576:E579"/>
    <mergeCell ref="F576:F579"/>
    <mergeCell ref="G576:G579"/>
    <mergeCell ref="P568:P571"/>
    <mergeCell ref="B572:B575"/>
    <mergeCell ref="C572:C575"/>
    <mergeCell ref="D572:D575"/>
    <mergeCell ref="E572:E575"/>
    <mergeCell ref="F572:F575"/>
    <mergeCell ref="G572:G575"/>
    <mergeCell ref="P572:P575"/>
    <mergeCell ref="B568:B571"/>
    <mergeCell ref="C568:C571"/>
    <mergeCell ref="D568:D571"/>
    <mergeCell ref="E568:E571"/>
    <mergeCell ref="F568:F571"/>
    <mergeCell ref="G568:G571"/>
    <mergeCell ref="P594:P597"/>
    <mergeCell ref="B598:B601"/>
    <mergeCell ref="C598:C601"/>
    <mergeCell ref="D598:D601"/>
    <mergeCell ref="E598:E601"/>
    <mergeCell ref="F598:F601"/>
    <mergeCell ref="G598:G601"/>
    <mergeCell ref="P598:P601"/>
    <mergeCell ref="B594:B597"/>
    <mergeCell ref="C594:C597"/>
    <mergeCell ref="D594:D597"/>
    <mergeCell ref="E594:E597"/>
    <mergeCell ref="F594:F597"/>
    <mergeCell ref="G594:G597"/>
    <mergeCell ref="P585:P588"/>
    <mergeCell ref="B589:P589"/>
    <mergeCell ref="B590:B593"/>
    <mergeCell ref="C590:C593"/>
    <mergeCell ref="D590:D593"/>
    <mergeCell ref="E590:E593"/>
    <mergeCell ref="F590:F593"/>
    <mergeCell ref="G590:G593"/>
    <mergeCell ref="P590:P593"/>
    <mergeCell ref="B585:B588"/>
    <mergeCell ref="C585:C588"/>
    <mergeCell ref="D585:D588"/>
    <mergeCell ref="E585:E588"/>
    <mergeCell ref="F585:F588"/>
    <mergeCell ref="G585:G588"/>
    <mergeCell ref="B610:P610"/>
    <mergeCell ref="B611:B614"/>
    <mergeCell ref="C611:C614"/>
    <mergeCell ref="D611:D614"/>
    <mergeCell ref="E611:E614"/>
    <mergeCell ref="F611:F614"/>
    <mergeCell ref="G611:G614"/>
    <mergeCell ref="P611:P614"/>
    <mergeCell ref="P602:P605"/>
    <mergeCell ref="B606:B609"/>
    <mergeCell ref="C606:C609"/>
    <mergeCell ref="D606:D609"/>
    <mergeCell ref="E606:E609"/>
    <mergeCell ref="F606:F609"/>
    <mergeCell ref="G606:G609"/>
    <mergeCell ref="P606:P609"/>
    <mergeCell ref="B602:B605"/>
    <mergeCell ref="C602:C605"/>
    <mergeCell ref="D602:D605"/>
    <mergeCell ref="E602:E605"/>
    <mergeCell ref="F602:F605"/>
    <mergeCell ref="G602:G605"/>
    <mergeCell ref="P623:P626"/>
    <mergeCell ref="B627:B630"/>
    <mergeCell ref="C627:C630"/>
    <mergeCell ref="D627:D630"/>
    <mergeCell ref="E627:E630"/>
    <mergeCell ref="F627:F630"/>
    <mergeCell ref="G627:G630"/>
    <mergeCell ref="P627:P630"/>
    <mergeCell ref="B623:B626"/>
    <mergeCell ref="C623:C626"/>
    <mergeCell ref="D623:D626"/>
    <mergeCell ref="E623:E626"/>
    <mergeCell ref="F623:F626"/>
    <mergeCell ref="G623:G626"/>
    <mergeCell ref="P615:P618"/>
    <mergeCell ref="B619:B622"/>
    <mergeCell ref="C619:C622"/>
    <mergeCell ref="D619:D622"/>
    <mergeCell ref="E619:E622"/>
    <mergeCell ref="F619:F622"/>
    <mergeCell ref="G619:G622"/>
    <mergeCell ref="P619:P622"/>
    <mergeCell ref="B615:B618"/>
    <mergeCell ref="C615:C618"/>
    <mergeCell ref="D615:D618"/>
    <mergeCell ref="E615:E618"/>
    <mergeCell ref="F615:F618"/>
    <mergeCell ref="G615:G618"/>
    <mergeCell ref="P639:P642"/>
    <mergeCell ref="B643:B646"/>
    <mergeCell ref="C643:C646"/>
    <mergeCell ref="D643:D646"/>
    <mergeCell ref="E643:E646"/>
    <mergeCell ref="F643:F646"/>
    <mergeCell ref="G643:G646"/>
    <mergeCell ref="P643:P646"/>
    <mergeCell ref="B639:B642"/>
    <mergeCell ref="C639:C642"/>
    <mergeCell ref="D639:D642"/>
    <mergeCell ref="E639:E642"/>
    <mergeCell ref="F639:F642"/>
    <mergeCell ref="G639:G642"/>
    <mergeCell ref="P631:P634"/>
    <mergeCell ref="B635:B638"/>
    <mergeCell ref="C635:C638"/>
    <mergeCell ref="D635:D638"/>
    <mergeCell ref="E635:E638"/>
    <mergeCell ref="F635:F638"/>
    <mergeCell ref="G635:G638"/>
    <mergeCell ref="P635:P638"/>
    <mergeCell ref="B631:B634"/>
    <mergeCell ref="C631:C634"/>
    <mergeCell ref="D631:D634"/>
    <mergeCell ref="E631:E634"/>
    <mergeCell ref="F631:F634"/>
    <mergeCell ref="G631:G634"/>
    <mergeCell ref="P655:P658"/>
    <mergeCell ref="B659:B662"/>
    <mergeCell ref="C659:C662"/>
    <mergeCell ref="D659:D662"/>
    <mergeCell ref="E659:E662"/>
    <mergeCell ref="F659:F662"/>
    <mergeCell ref="G659:G662"/>
    <mergeCell ref="P659:P662"/>
    <mergeCell ref="B655:B658"/>
    <mergeCell ref="C655:C658"/>
    <mergeCell ref="D655:D658"/>
    <mergeCell ref="E655:E658"/>
    <mergeCell ref="F655:F658"/>
    <mergeCell ref="G655:G658"/>
    <mergeCell ref="P647:P650"/>
    <mergeCell ref="B651:B654"/>
    <mergeCell ref="C651:C654"/>
    <mergeCell ref="D651:D654"/>
    <mergeCell ref="E651:E654"/>
    <mergeCell ref="F651:F654"/>
    <mergeCell ref="G651:G654"/>
    <mergeCell ref="P651:P654"/>
    <mergeCell ref="B647:B650"/>
    <mergeCell ref="C647:C650"/>
    <mergeCell ref="D647:D650"/>
    <mergeCell ref="E647:E650"/>
    <mergeCell ref="F647:F650"/>
    <mergeCell ref="G647:G650"/>
    <mergeCell ref="P667:P670"/>
    <mergeCell ref="B671:B674"/>
    <mergeCell ref="C671:C674"/>
    <mergeCell ref="D671:D674"/>
    <mergeCell ref="E671:E674"/>
    <mergeCell ref="F671:F674"/>
    <mergeCell ref="G671:G674"/>
    <mergeCell ref="P671:P674"/>
    <mergeCell ref="B667:B670"/>
    <mergeCell ref="C667:C670"/>
    <mergeCell ref="D667:D670"/>
    <mergeCell ref="E667:E670"/>
    <mergeCell ref="F667:F670"/>
    <mergeCell ref="G667:G670"/>
    <mergeCell ref="B663:B666"/>
    <mergeCell ref="C663:C666"/>
    <mergeCell ref="D663:D666"/>
    <mergeCell ref="E663:E666"/>
    <mergeCell ref="F663:F666"/>
    <mergeCell ref="G663:G666"/>
    <mergeCell ref="P683:P686"/>
    <mergeCell ref="B687:B690"/>
    <mergeCell ref="C687:C690"/>
    <mergeCell ref="D687:D690"/>
    <mergeCell ref="E687:E690"/>
    <mergeCell ref="F687:F690"/>
    <mergeCell ref="G687:G690"/>
    <mergeCell ref="P687:P690"/>
    <mergeCell ref="B683:B686"/>
    <mergeCell ref="C683:C686"/>
    <mergeCell ref="D683:D686"/>
    <mergeCell ref="E683:E686"/>
    <mergeCell ref="F683:F686"/>
    <mergeCell ref="G683:G686"/>
    <mergeCell ref="P675:P678"/>
    <mergeCell ref="B679:B682"/>
    <mergeCell ref="C679:C682"/>
    <mergeCell ref="D679:D682"/>
    <mergeCell ref="E679:E682"/>
    <mergeCell ref="F679:F682"/>
    <mergeCell ref="G679:G682"/>
    <mergeCell ref="P679:P682"/>
    <mergeCell ref="B675:B678"/>
    <mergeCell ref="C675:C678"/>
    <mergeCell ref="D675:D678"/>
    <mergeCell ref="E675:E678"/>
    <mergeCell ref="F675:F678"/>
    <mergeCell ref="G675:G678"/>
    <mergeCell ref="P699:P702"/>
    <mergeCell ref="B703:B706"/>
    <mergeCell ref="C703:C706"/>
    <mergeCell ref="D703:D706"/>
    <mergeCell ref="E703:E706"/>
    <mergeCell ref="F703:F706"/>
    <mergeCell ref="G703:G706"/>
    <mergeCell ref="P703:P706"/>
    <mergeCell ref="B699:B702"/>
    <mergeCell ref="C699:C702"/>
    <mergeCell ref="D699:D702"/>
    <mergeCell ref="E699:E702"/>
    <mergeCell ref="F699:F702"/>
    <mergeCell ref="G699:G702"/>
    <mergeCell ref="P691:P694"/>
    <mergeCell ref="B695:B698"/>
    <mergeCell ref="C695:C698"/>
    <mergeCell ref="D695:D698"/>
    <mergeCell ref="E695:E698"/>
    <mergeCell ref="F695:F698"/>
    <mergeCell ref="G695:G698"/>
    <mergeCell ref="P695:P698"/>
    <mergeCell ref="B691:B694"/>
    <mergeCell ref="C691:C694"/>
    <mergeCell ref="D691:D694"/>
    <mergeCell ref="E691:E694"/>
    <mergeCell ref="F691:F694"/>
    <mergeCell ref="G691:G694"/>
    <mergeCell ref="P715:P718"/>
    <mergeCell ref="B715:B718"/>
    <mergeCell ref="C715:C718"/>
    <mergeCell ref="D715:D718"/>
    <mergeCell ref="E715:E718"/>
    <mergeCell ref="F715:F718"/>
    <mergeCell ref="G715:G718"/>
    <mergeCell ref="P707:P710"/>
    <mergeCell ref="B711:B714"/>
    <mergeCell ref="C711:C714"/>
    <mergeCell ref="D711:D714"/>
    <mergeCell ref="E711:E714"/>
    <mergeCell ref="F711:F714"/>
    <mergeCell ref="G711:G714"/>
    <mergeCell ref="P711:P714"/>
    <mergeCell ref="B707:B710"/>
    <mergeCell ref="C707:C710"/>
    <mergeCell ref="D707:D710"/>
    <mergeCell ref="E707:E710"/>
    <mergeCell ref="F707:F710"/>
    <mergeCell ref="G707:G710"/>
  </mergeCells>
  <conditionalFormatting sqref="A719:XFD1048576 A547:XFD547 J573:XFD575 E573:I573 E575:I575 A39:P42 I100:O103 I296:O299 I345:O348 I488:O491 I457:O460 I470:O473 I505:O508 I518:O521 I543:O546 I585:O588 I606:O609 I113:O116 I174:O177 I411:O414 I479:O482 I255:O258 I362:O365 I436:O439 I572:O572 A14:XFD14 A3:C4 E3:G4 I4:XFD4 P3:XFD3 A576:P579 R576:XFD579 R39:XFD42 E548:XFD571 A548:D559 I711:O714 A1:XFD2">
    <cfRule type="cellIs" dxfId="72" priority="30" operator="equal">
      <formula>0</formula>
    </cfRule>
  </conditionalFormatting>
  <conditionalFormatting sqref="B301:B304 B309:B344">
    <cfRule type="duplicateValues" dxfId="71" priority="29"/>
  </conditionalFormatting>
  <conditionalFormatting sqref="B305:B308">
    <cfRule type="duplicateValues" dxfId="70" priority="28"/>
  </conditionalFormatting>
  <conditionalFormatting sqref="B453:B456 B441:B444">
    <cfRule type="duplicateValues" dxfId="69" priority="27"/>
  </conditionalFormatting>
  <conditionalFormatting sqref="B445:B448">
    <cfRule type="duplicateValues" dxfId="68" priority="26"/>
  </conditionalFormatting>
  <conditionalFormatting sqref="B449:B452">
    <cfRule type="duplicateValues" dxfId="67" priority="25"/>
  </conditionalFormatting>
  <conditionalFormatting sqref="A572:C575 E572:H572 P572:XFD572 E574:H574">
    <cfRule type="cellIs" dxfId="66" priority="24" operator="equal">
      <formula>0</formula>
    </cfRule>
  </conditionalFormatting>
  <conditionalFormatting sqref="A560:C563">
    <cfRule type="cellIs" dxfId="65" priority="23" operator="equal">
      <formula>0</formula>
    </cfRule>
  </conditionalFormatting>
  <conditionalFormatting sqref="D560:D563">
    <cfRule type="cellIs" dxfId="64" priority="22" operator="equal">
      <formula>0</formula>
    </cfRule>
  </conditionalFormatting>
  <conditionalFormatting sqref="A564:C571">
    <cfRule type="cellIs" dxfId="63" priority="21" operator="equal">
      <formula>0</formula>
    </cfRule>
  </conditionalFormatting>
  <conditionalFormatting sqref="I574">
    <cfRule type="cellIs" dxfId="62" priority="20" operator="equal">
      <formula>0</formula>
    </cfRule>
  </conditionalFormatting>
  <conditionalFormatting sqref="D3:D4">
    <cfRule type="cellIs" dxfId="61" priority="19" operator="equal">
      <formula>0</formula>
    </cfRule>
  </conditionalFormatting>
  <conditionalFormatting sqref="H4">
    <cfRule type="cellIs" dxfId="60" priority="18" operator="equal">
      <formula>0</formula>
    </cfRule>
  </conditionalFormatting>
  <conditionalFormatting sqref="H3:O3">
    <cfRule type="cellIs" dxfId="59" priority="17" operator="equal">
      <formula>0</formula>
    </cfRule>
  </conditionalFormatting>
  <conditionalFormatting sqref="D564:D575">
    <cfRule type="cellIs" dxfId="58" priority="16" operator="equal">
      <formula>0</formula>
    </cfRule>
  </conditionalFormatting>
  <conditionalFormatting sqref="A5:XFD5 R10:XFD13 A10:P13">
    <cfRule type="cellIs" dxfId="57" priority="15" operator="equal">
      <formula>0</formula>
    </cfRule>
  </conditionalFormatting>
  <conditionalFormatting sqref="B6:C9 F6:G9">
    <cfRule type="cellIs" dxfId="56" priority="14" operator="equal">
      <formula>0</formula>
    </cfRule>
  </conditionalFormatting>
  <conditionalFormatting sqref="D6:D9">
    <cfRule type="cellIs" dxfId="55" priority="13" operator="equal">
      <formula>0</formula>
    </cfRule>
  </conditionalFormatting>
  <conditionalFormatting sqref="E6:E9">
    <cfRule type="cellIs" dxfId="54" priority="12" operator="equal">
      <formula>0</formula>
    </cfRule>
  </conditionalFormatting>
  <conditionalFormatting sqref="P6:P9">
    <cfRule type="cellIs" dxfId="53" priority="11" operator="equal">
      <formula>0</formula>
    </cfRule>
  </conditionalFormatting>
  <conditionalFormatting sqref="L7">
    <cfRule type="cellIs" dxfId="52" priority="10" operator="equal">
      <formula>0</formula>
    </cfRule>
  </conditionalFormatting>
  <conditionalFormatting sqref="J179:O186 J188:O188 J189:L189 J187:L187 J190:O202 J204:O204 J206:O206 J208:O210 K207:O207 K211:O211 J212:O254">
    <cfRule type="cellIs" dxfId="51" priority="9" operator="equal">
      <formula>0</formula>
    </cfRule>
  </conditionalFormatting>
  <conditionalFormatting sqref="N189:O189 N187:O187">
    <cfRule type="cellIs" dxfId="50" priority="8" operator="equal">
      <formula>0</formula>
    </cfRule>
  </conditionalFormatting>
  <conditionalFormatting sqref="K203:O203 K205:O205">
    <cfRule type="cellIs" dxfId="49" priority="7" operator="equal">
      <formula>0</formula>
    </cfRule>
  </conditionalFormatting>
  <conditionalFormatting sqref="J203">
    <cfRule type="cellIs" dxfId="48" priority="6" operator="equal">
      <formula>0</formula>
    </cfRule>
  </conditionalFormatting>
  <conditionalFormatting sqref="J205">
    <cfRule type="cellIs" dxfId="47" priority="5" operator="equal">
      <formula>0</formula>
    </cfRule>
  </conditionalFormatting>
  <conditionalFormatting sqref="M189">
    <cfRule type="cellIs" dxfId="46" priority="4" operator="equal">
      <formula>0</formula>
    </cfRule>
  </conditionalFormatting>
  <conditionalFormatting sqref="M187">
    <cfRule type="cellIs" dxfId="45" priority="3" operator="equal">
      <formula>0</formula>
    </cfRule>
  </conditionalFormatting>
  <conditionalFormatting sqref="J207">
    <cfRule type="cellIs" dxfId="44" priority="2" operator="equal">
      <formula>0</formula>
    </cfRule>
  </conditionalFormatting>
  <conditionalFormatting sqref="J211">
    <cfRule type="cellIs" dxfId="43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AC901-0ADF-4A5B-9E33-6160C47BF8F7}">
  <sheetPr>
    <pageSetUpPr fitToPage="1"/>
  </sheetPr>
  <dimension ref="B1:Q39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710937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6384" width="9.140625" style="2"/>
  </cols>
  <sheetData>
    <row r="1" spans="2:17" ht="21.75" customHeight="1" x14ac:dyDescent="0.25">
      <c r="B1" s="120" t="s">
        <v>1465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7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7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7" ht="17.100000000000001" customHeight="1" x14ac:dyDescent="0.2">
      <c r="B5" s="111" t="s">
        <v>32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7" ht="42.75" outlineLevel="1" x14ac:dyDescent="0.2">
      <c r="B6" s="117" t="s">
        <v>1466</v>
      </c>
      <c r="C6" s="128"/>
      <c r="D6" s="150" t="s">
        <v>32</v>
      </c>
      <c r="E6" s="117" t="s">
        <v>73</v>
      </c>
      <c r="F6" s="117" t="s">
        <v>1467</v>
      </c>
      <c r="G6" s="139" t="s">
        <v>566</v>
      </c>
      <c r="H6" s="84" t="s">
        <v>3</v>
      </c>
      <c r="I6" s="83">
        <f>SUM(J6:O6)</f>
        <v>10</v>
      </c>
      <c r="J6" s="83">
        <f t="shared" ref="J6:O6" si="0">J7+J8+J9</f>
        <v>0</v>
      </c>
      <c r="K6" s="83">
        <f t="shared" si="0"/>
        <v>2</v>
      </c>
      <c r="L6" s="83">
        <f t="shared" si="0"/>
        <v>2</v>
      </c>
      <c r="M6" s="83">
        <f t="shared" si="0"/>
        <v>2</v>
      </c>
      <c r="N6" s="83">
        <f t="shared" si="0"/>
        <v>2</v>
      </c>
      <c r="O6" s="83">
        <f t="shared" si="0"/>
        <v>2</v>
      </c>
      <c r="P6" s="178">
        <v>33419</v>
      </c>
    </row>
    <row r="7" spans="2:17" outlineLevel="1" x14ac:dyDescent="0.2">
      <c r="B7" s="118"/>
      <c r="C7" s="129"/>
      <c r="D7" s="151"/>
      <c r="E7" s="118"/>
      <c r="F7" s="118"/>
      <c r="G7" s="140"/>
      <c r="H7" s="84" t="s">
        <v>4</v>
      </c>
      <c r="I7" s="83"/>
      <c r="J7" s="83"/>
      <c r="K7" s="83"/>
      <c r="L7" s="75"/>
      <c r="M7" s="83"/>
      <c r="N7" s="83"/>
      <c r="O7" s="83"/>
      <c r="P7" s="178"/>
    </row>
    <row r="8" spans="2:17" outlineLevel="1" x14ac:dyDescent="0.2">
      <c r="B8" s="118"/>
      <c r="C8" s="129"/>
      <c r="D8" s="151"/>
      <c r="E8" s="118"/>
      <c r="F8" s="118"/>
      <c r="G8" s="140"/>
      <c r="H8" s="84" t="s">
        <v>6</v>
      </c>
      <c r="I8" s="83">
        <f>SUM(J8:O8)</f>
        <v>10</v>
      </c>
      <c r="J8" s="83"/>
      <c r="K8" s="83">
        <v>2</v>
      </c>
      <c r="L8" s="75">
        <v>2</v>
      </c>
      <c r="M8" s="83">
        <v>2</v>
      </c>
      <c r="N8" s="83">
        <v>2</v>
      </c>
      <c r="O8" s="83">
        <v>2</v>
      </c>
      <c r="P8" s="178"/>
    </row>
    <row r="9" spans="2:17" outlineLevel="1" x14ac:dyDescent="0.2">
      <c r="B9" s="119"/>
      <c r="C9" s="130"/>
      <c r="D9" s="152"/>
      <c r="E9" s="119"/>
      <c r="F9" s="119"/>
      <c r="G9" s="141"/>
      <c r="H9" s="84" t="s">
        <v>5</v>
      </c>
      <c r="I9" s="83"/>
      <c r="J9" s="75"/>
      <c r="K9" s="75"/>
      <c r="L9" s="75"/>
      <c r="M9" s="75"/>
      <c r="N9" s="75"/>
      <c r="O9" s="75"/>
      <c r="P9" s="178"/>
    </row>
    <row r="10" spans="2:17" ht="42.75" x14ac:dyDescent="0.2">
      <c r="B10" s="128" t="s">
        <v>37</v>
      </c>
      <c r="C10" s="128" t="s">
        <v>38</v>
      </c>
      <c r="D10" s="128" t="s">
        <v>38</v>
      </c>
      <c r="E10" s="128" t="s">
        <v>38</v>
      </c>
      <c r="F10" s="128" t="s">
        <v>38</v>
      </c>
      <c r="G10" s="128" t="s">
        <v>38</v>
      </c>
      <c r="H10" s="84" t="s">
        <v>3</v>
      </c>
      <c r="I10" s="14">
        <f>SUMIF($H$6:$H$9,"Объем*",I$6:I$9)</f>
        <v>10</v>
      </c>
      <c r="J10" s="14">
        <f t="shared" ref="J10:O10" si="1">SUMIF($H$6:$H$9,"Объем*",J$6:J$9)</f>
        <v>0</v>
      </c>
      <c r="K10" s="14">
        <f t="shared" si="1"/>
        <v>2</v>
      </c>
      <c r="L10" s="14">
        <f t="shared" si="1"/>
        <v>2</v>
      </c>
      <c r="M10" s="14">
        <f t="shared" si="1"/>
        <v>2</v>
      </c>
      <c r="N10" s="14">
        <f t="shared" si="1"/>
        <v>2</v>
      </c>
      <c r="O10" s="14">
        <f t="shared" si="1"/>
        <v>2</v>
      </c>
      <c r="P10" s="128"/>
      <c r="Q10" s="7"/>
    </row>
    <row r="11" spans="2:17" ht="15.75" x14ac:dyDescent="0.2">
      <c r="B11" s="129"/>
      <c r="C11" s="129"/>
      <c r="D11" s="129"/>
      <c r="E11" s="129"/>
      <c r="F11" s="129"/>
      <c r="G11" s="129"/>
      <c r="H11" s="84" t="s">
        <v>4</v>
      </c>
      <c r="I11" s="14">
        <f>SUMIF($H$6:$H$9,"фед*",I$6:I$9)</f>
        <v>0</v>
      </c>
      <c r="J11" s="14">
        <f t="shared" ref="J11:O11" si="2">SUMIF($H$6:$H$9,"фед*",J$6:J$9)</f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29"/>
    </row>
    <row r="12" spans="2:17" ht="15.75" x14ac:dyDescent="0.2">
      <c r="B12" s="129"/>
      <c r="C12" s="129"/>
      <c r="D12" s="129"/>
      <c r="E12" s="129"/>
      <c r="F12" s="129"/>
      <c r="G12" s="129"/>
      <c r="H12" s="84" t="s">
        <v>6</v>
      </c>
      <c r="I12" s="14">
        <f>SUMIF($H$6:$H$9,"конс*",I$6:I$9)</f>
        <v>10</v>
      </c>
      <c r="J12" s="14">
        <f t="shared" ref="J12:O12" si="3">SUMIF($H$6:$H$9,"конс*",J$6:J$9)</f>
        <v>0</v>
      </c>
      <c r="K12" s="14">
        <f t="shared" si="3"/>
        <v>2</v>
      </c>
      <c r="L12" s="14">
        <f t="shared" si="3"/>
        <v>2</v>
      </c>
      <c r="M12" s="14">
        <f t="shared" si="3"/>
        <v>2</v>
      </c>
      <c r="N12" s="14">
        <f t="shared" si="3"/>
        <v>2</v>
      </c>
      <c r="O12" s="14">
        <f t="shared" si="3"/>
        <v>2</v>
      </c>
      <c r="P12" s="129"/>
    </row>
    <row r="13" spans="2:17" ht="15.75" x14ac:dyDescent="0.2">
      <c r="B13" s="130"/>
      <c r="C13" s="130"/>
      <c r="D13" s="130"/>
      <c r="E13" s="130"/>
      <c r="F13" s="130"/>
      <c r="G13" s="130"/>
      <c r="H13" s="84" t="s">
        <v>5</v>
      </c>
      <c r="I13" s="14">
        <f>SUMIF($H$6:$H$9,"вне*",I$6:I$9)</f>
        <v>0</v>
      </c>
      <c r="J13" s="14">
        <f t="shared" ref="J13:O13" si="4">SUMIF($H$6:$H$9,"вне*",J$6:J$9)</f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4"/>
        <v>0</v>
      </c>
      <c r="O13" s="14">
        <f t="shared" si="4"/>
        <v>0</v>
      </c>
      <c r="P13" s="130"/>
    </row>
    <row r="14" spans="2:17" ht="17.100000000000001" customHeight="1" x14ac:dyDescent="0.2">
      <c r="B14" s="111" t="s">
        <v>65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</row>
    <row r="15" spans="2:17" ht="45" customHeight="1" outlineLevel="1" x14ac:dyDescent="0.2">
      <c r="B15" s="117" t="s">
        <v>1468</v>
      </c>
      <c r="C15" s="117"/>
      <c r="D15" s="117" t="s">
        <v>65</v>
      </c>
      <c r="E15" s="117" t="s">
        <v>34</v>
      </c>
      <c r="F15" s="117"/>
      <c r="G15" s="117"/>
      <c r="H15" s="84" t="s">
        <v>3</v>
      </c>
      <c r="I15" s="83">
        <f t="shared" ref="I15:I30" si="5">SUM(J15:O15)</f>
        <v>27</v>
      </c>
      <c r="J15" s="83">
        <f t="shared" ref="J15:O15" si="6">J16+J17+J18</f>
        <v>0</v>
      </c>
      <c r="K15" s="83">
        <f t="shared" si="6"/>
        <v>6</v>
      </c>
      <c r="L15" s="83">
        <f t="shared" si="6"/>
        <v>12</v>
      </c>
      <c r="M15" s="83">
        <f t="shared" si="6"/>
        <v>9</v>
      </c>
      <c r="N15" s="83">
        <f t="shared" si="6"/>
        <v>0</v>
      </c>
      <c r="O15" s="83">
        <f t="shared" si="6"/>
        <v>0</v>
      </c>
      <c r="P15" s="117"/>
    </row>
    <row r="16" spans="2:17" outlineLevel="1" x14ac:dyDescent="0.2">
      <c r="B16" s="118"/>
      <c r="C16" s="132"/>
      <c r="D16" s="118"/>
      <c r="E16" s="118"/>
      <c r="F16" s="118"/>
      <c r="G16" s="118"/>
      <c r="H16" s="84" t="s">
        <v>4</v>
      </c>
      <c r="I16" s="83">
        <f t="shared" si="5"/>
        <v>0</v>
      </c>
      <c r="J16" s="83"/>
      <c r="K16" s="83"/>
      <c r="L16" s="83"/>
      <c r="M16" s="83"/>
      <c r="N16" s="83"/>
      <c r="O16" s="83"/>
      <c r="P16" s="118"/>
    </row>
    <row r="17" spans="2:17" outlineLevel="1" x14ac:dyDescent="0.2">
      <c r="B17" s="118"/>
      <c r="C17" s="132"/>
      <c r="D17" s="118"/>
      <c r="E17" s="118"/>
      <c r="F17" s="118"/>
      <c r="G17" s="118"/>
      <c r="H17" s="84" t="s">
        <v>6</v>
      </c>
      <c r="I17" s="83">
        <f t="shared" si="5"/>
        <v>27</v>
      </c>
      <c r="J17" s="83"/>
      <c r="K17" s="83">
        <v>6</v>
      </c>
      <c r="L17" s="83">
        <v>12</v>
      </c>
      <c r="M17" s="83">
        <v>9</v>
      </c>
      <c r="N17" s="83"/>
      <c r="O17" s="83"/>
      <c r="P17" s="118"/>
    </row>
    <row r="18" spans="2:17" outlineLevel="1" x14ac:dyDescent="0.2">
      <c r="B18" s="119"/>
      <c r="C18" s="133"/>
      <c r="D18" s="119"/>
      <c r="E18" s="119"/>
      <c r="F18" s="119"/>
      <c r="G18" s="119"/>
      <c r="H18" s="84" t="s">
        <v>5</v>
      </c>
      <c r="I18" s="83">
        <f t="shared" si="5"/>
        <v>0</v>
      </c>
      <c r="J18" s="83"/>
      <c r="K18" s="83"/>
      <c r="L18" s="83"/>
      <c r="M18" s="83"/>
      <c r="N18" s="83"/>
      <c r="O18" s="83"/>
      <c r="P18" s="119"/>
    </row>
    <row r="19" spans="2:17" ht="44.25" customHeight="1" outlineLevel="1" x14ac:dyDescent="0.2">
      <c r="B19" s="117" t="s">
        <v>1469</v>
      </c>
      <c r="C19" s="117"/>
      <c r="D19" s="117" t="s">
        <v>65</v>
      </c>
      <c r="E19" s="117" t="s">
        <v>73</v>
      </c>
      <c r="F19" s="117" t="s">
        <v>1470</v>
      </c>
      <c r="G19" s="117" t="s">
        <v>566</v>
      </c>
      <c r="H19" s="84" t="s">
        <v>3</v>
      </c>
      <c r="I19" s="83">
        <f t="shared" si="5"/>
        <v>150</v>
      </c>
      <c r="J19" s="83">
        <f t="shared" ref="J19:O19" si="7">J20+J21+J22</f>
        <v>0</v>
      </c>
      <c r="K19" s="83">
        <f t="shared" si="7"/>
        <v>30</v>
      </c>
      <c r="L19" s="83">
        <f t="shared" si="7"/>
        <v>30</v>
      </c>
      <c r="M19" s="83">
        <f t="shared" si="7"/>
        <v>30</v>
      </c>
      <c r="N19" s="83">
        <f t="shared" si="7"/>
        <v>30</v>
      </c>
      <c r="O19" s="83">
        <f t="shared" si="7"/>
        <v>30</v>
      </c>
      <c r="P19" s="117"/>
    </row>
    <row r="20" spans="2:17" outlineLevel="1" x14ac:dyDescent="0.2">
      <c r="B20" s="118"/>
      <c r="C20" s="132"/>
      <c r="D20" s="118"/>
      <c r="E20" s="118"/>
      <c r="F20" s="118"/>
      <c r="G20" s="118"/>
      <c r="H20" s="84" t="s">
        <v>4</v>
      </c>
      <c r="I20" s="83">
        <f t="shared" si="5"/>
        <v>0</v>
      </c>
      <c r="J20" s="83"/>
      <c r="K20" s="83"/>
      <c r="L20" s="83"/>
      <c r="M20" s="83"/>
      <c r="N20" s="83"/>
      <c r="O20" s="83"/>
      <c r="P20" s="118"/>
    </row>
    <row r="21" spans="2:17" outlineLevel="1" x14ac:dyDescent="0.2">
      <c r="B21" s="118"/>
      <c r="C21" s="132"/>
      <c r="D21" s="118"/>
      <c r="E21" s="118"/>
      <c r="F21" s="118"/>
      <c r="G21" s="118"/>
      <c r="H21" s="84" t="s">
        <v>6</v>
      </c>
      <c r="I21" s="83">
        <f t="shared" si="5"/>
        <v>150</v>
      </c>
      <c r="J21" s="83"/>
      <c r="K21" s="83">
        <v>30</v>
      </c>
      <c r="L21" s="83">
        <v>30</v>
      </c>
      <c r="M21" s="83">
        <v>30</v>
      </c>
      <c r="N21" s="83">
        <v>30</v>
      </c>
      <c r="O21" s="83">
        <v>30</v>
      </c>
      <c r="P21" s="118"/>
    </row>
    <row r="22" spans="2:17" outlineLevel="1" x14ac:dyDescent="0.2">
      <c r="B22" s="119"/>
      <c r="C22" s="133"/>
      <c r="D22" s="119"/>
      <c r="E22" s="119"/>
      <c r="F22" s="119"/>
      <c r="G22" s="119"/>
      <c r="H22" s="84" t="s">
        <v>5</v>
      </c>
      <c r="I22" s="83">
        <f t="shared" si="5"/>
        <v>0</v>
      </c>
      <c r="J22" s="83"/>
      <c r="K22" s="83"/>
      <c r="L22" s="83"/>
      <c r="M22" s="83"/>
      <c r="N22" s="83"/>
      <c r="O22" s="83"/>
      <c r="P22" s="119"/>
    </row>
    <row r="23" spans="2:17" ht="44.25" customHeight="1" outlineLevel="1" x14ac:dyDescent="0.2">
      <c r="B23" s="150" t="s">
        <v>1471</v>
      </c>
      <c r="C23" s="150"/>
      <c r="D23" s="150" t="s">
        <v>65</v>
      </c>
      <c r="E23" s="150" t="s">
        <v>73</v>
      </c>
      <c r="F23" s="150" t="s">
        <v>1472</v>
      </c>
      <c r="G23" s="150" t="s">
        <v>566</v>
      </c>
      <c r="H23" s="84" t="s">
        <v>3</v>
      </c>
      <c r="I23" s="83">
        <f t="shared" ref="I23:I26" si="8">SUM(J23:O23)</f>
        <v>163.5</v>
      </c>
      <c r="J23" s="83">
        <f t="shared" ref="J23:O23" si="9">J24+J25+J26</f>
        <v>0</v>
      </c>
      <c r="K23" s="83">
        <f t="shared" si="9"/>
        <v>32.700000000000003</v>
      </c>
      <c r="L23" s="83">
        <f t="shared" si="9"/>
        <v>32.700000000000003</v>
      </c>
      <c r="M23" s="83">
        <f t="shared" si="9"/>
        <v>32.700000000000003</v>
      </c>
      <c r="N23" s="83">
        <f t="shared" si="9"/>
        <v>32.700000000000003</v>
      </c>
      <c r="O23" s="83">
        <f t="shared" si="9"/>
        <v>32.700000000000003</v>
      </c>
      <c r="P23" s="117"/>
    </row>
    <row r="24" spans="2:17" outlineLevel="1" x14ac:dyDescent="0.2">
      <c r="B24" s="151"/>
      <c r="C24" s="201"/>
      <c r="D24" s="151"/>
      <c r="E24" s="151"/>
      <c r="F24" s="151"/>
      <c r="G24" s="151"/>
      <c r="H24" s="84" t="s">
        <v>4</v>
      </c>
      <c r="I24" s="83">
        <f t="shared" si="8"/>
        <v>0</v>
      </c>
      <c r="J24" s="81"/>
      <c r="K24" s="81"/>
      <c r="L24" s="81"/>
      <c r="M24" s="81"/>
      <c r="N24" s="81"/>
      <c r="O24" s="81"/>
      <c r="P24" s="118"/>
    </row>
    <row r="25" spans="2:17" outlineLevel="1" x14ac:dyDescent="0.2">
      <c r="B25" s="151"/>
      <c r="C25" s="201"/>
      <c r="D25" s="151"/>
      <c r="E25" s="151"/>
      <c r="F25" s="151"/>
      <c r="G25" s="151"/>
      <c r="H25" s="84" t="s">
        <v>6</v>
      </c>
      <c r="I25" s="83">
        <f t="shared" si="8"/>
        <v>115</v>
      </c>
      <c r="J25" s="81"/>
      <c r="K25" s="81">
        <v>23</v>
      </c>
      <c r="L25" s="81">
        <v>23</v>
      </c>
      <c r="M25" s="81">
        <v>23</v>
      </c>
      <c r="N25" s="81">
        <v>23</v>
      </c>
      <c r="O25" s="81">
        <v>23</v>
      </c>
      <c r="P25" s="118"/>
    </row>
    <row r="26" spans="2:17" outlineLevel="1" x14ac:dyDescent="0.2">
      <c r="B26" s="152"/>
      <c r="C26" s="202"/>
      <c r="D26" s="152"/>
      <c r="E26" s="152"/>
      <c r="F26" s="152"/>
      <c r="G26" s="152"/>
      <c r="H26" s="84" t="s">
        <v>5</v>
      </c>
      <c r="I26" s="83">
        <f t="shared" si="8"/>
        <v>48.5</v>
      </c>
      <c r="J26" s="81"/>
      <c r="K26" s="81">
        <v>9.6999999999999993</v>
      </c>
      <c r="L26" s="81">
        <v>9.6999999999999993</v>
      </c>
      <c r="M26" s="81">
        <v>9.6999999999999993</v>
      </c>
      <c r="N26" s="81">
        <v>9.6999999999999993</v>
      </c>
      <c r="O26" s="81">
        <v>9.6999999999999993</v>
      </c>
      <c r="P26" s="119"/>
    </row>
    <row r="27" spans="2:17" ht="42.75" outlineLevel="1" x14ac:dyDescent="0.2">
      <c r="B27" s="117" t="s">
        <v>1473</v>
      </c>
      <c r="C27" s="117"/>
      <c r="D27" s="117" t="s">
        <v>65</v>
      </c>
      <c r="E27" s="117" t="s">
        <v>50</v>
      </c>
      <c r="F27" s="117"/>
      <c r="G27" s="117" t="s">
        <v>566</v>
      </c>
      <c r="H27" s="84" t="s">
        <v>3</v>
      </c>
      <c r="I27" s="83">
        <f t="shared" si="5"/>
        <v>100</v>
      </c>
      <c r="J27" s="83">
        <f t="shared" ref="J27:O27" si="10">J28+J29+J30</f>
        <v>0</v>
      </c>
      <c r="K27" s="83">
        <f t="shared" si="10"/>
        <v>60</v>
      </c>
      <c r="L27" s="83">
        <f t="shared" si="10"/>
        <v>40</v>
      </c>
      <c r="M27" s="83">
        <f t="shared" si="10"/>
        <v>0</v>
      </c>
      <c r="N27" s="83">
        <f t="shared" si="10"/>
        <v>0</v>
      </c>
      <c r="O27" s="83">
        <f t="shared" si="10"/>
        <v>0</v>
      </c>
      <c r="P27" s="117"/>
    </row>
    <row r="28" spans="2:17" outlineLevel="1" x14ac:dyDescent="0.2">
      <c r="B28" s="118"/>
      <c r="C28" s="132"/>
      <c r="D28" s="118"/>
      <c r="E28" s="118"/>
      <c r="F28" s="118"/>
      <c r="G28" s="118"/>
      <c r="H28" s="84" t="s">
        <v>4</v>
      </c>
      <c r="I28" s="83">
        <f t="shared" si="5"/>
        <v>0</v>
      </c>
      <c r="J28" s="83"/>
      <c r="K28" s="83"/>
      <c r="L28" s="83"/>
      <c r="M28" s="83"/>
      <c r="N28" s="83"/>
      <c r="O28" s="83"/>
      <c r="P28" s="118"/>
    </row>
    <row r="29" spans="2:17" outlineLevel="1" x14ac:dyDescent="0.2">
      <c r="B29" s="118"/>
      <c r="C29" s="132"/>
      <c r="D29" s="118"/>
      <c r="E29" s="118"/>
      <c r="F29" s="118"/>
      <c r="G29" s="118"/>
      <c r="H29" s="84" t="s">
        <v>6</v>
      </c>
      <c r="I29" s="83">
        <f t="shared" si="5"/>
        <v>100</v>
      </c>
      <c r="J29" s="83"/>
      <c r="K29" s="83">
        <v>60</v>
      </c>
      <c r="L29" s="83">
        <v>40</v>
      </c>
      <c r="M29" s="83"/>
      <c r="N29" s="83"/>
      <c r="O29" s="83"/>
      <c r="P29" s="118"/>
    </row>
    <row r="30" spans="2:17" outlineLevel="1" x14ac:dyDescent="0.2">
      <c r="B30" s="119"/>
      <c r="C30" s="133"/>
      <c r="D30" s="119"/>
      <c r="E30" s="119"/>
      <c r="F30" s="119"/>
      <c r="G30" s="119"/>
      <c r="H30" s="84" t="s">
        <v>5</v>
      </c>
      <c r="I30" s="83">
        <f t="shared" si="5"/>
        <v>0</v>
      </c>
      <c r="J30" s="83"/>
      <c r="K30" s="83"/>
      <c r="L30" s="83"/>
      <c r="M30" s="83"/>
      <c r="N30" s="83"/>
      <c r="O30" s="83"/>
      <c r="P30" s="119"/>
    </row>
    <row r="31" spans="2:17" ht="42.75" x14ac:dyDescent="0.2">
      <c r="B31" s="128" t="s">
        <v>76</v>
      </c>
      <c r="C31" s="128" t="s">
        <v>38</v>
      </c>
      <c r="D31" s="128" t="s">
        <v>38</v>
      </c>
      <c r="E31" s="128" t="s">
        <v>38</v>
      </c>
      <c r="F31" s="128" t="s">
        <v>38</v>
      </c>
      <c r="G31" s="128" t="s">
        <v>38</v>
      </c>
      <c r="H31" s="84" t="s">
        <v>3</v>
      </c>
      <c r="I31" s="14">
        <f t="shared" ref="I31:O31" si="11">SUMIF($H$15:$H$30,"Объем*",I$15:I$30)</f>
        <v>440.5</v>
      </c>
      <c r="J31" s="14">
        <f t="shared" si="11"/>
        <v>0</v>
      </c>
      <c r="K31" s="14">
        <f t="shared" si="11"/>
        <v>128.69999999999999</v>
      </c>
      <c r="L31" s="14">
        <f t="shared" si="11"/>
        <v>114.7</v>
      </c>
      <c r="M31" s="14">
        <f t="shared" si="11"/>
        <v>71.7</v>
      </c>
      <c r="N31" s="14">
        <f t="shared" si="11"/>
        <v>62.7</v>
      </c>
      <c r="O31" s="14">
        <f t="shared" si="11"/>
        <v>62.7</v>
      </c>
      <c r="P31" s="128"/>
      <c r="Q31" s="15"/>
    </row>
    <row r="32" spans="2:17" ht="15.75" x14ac:dyDescent="0.2">
      <c r="B32" s="129"/>
      <c r="C32" s="129"/>
      <c r="D32" s="129"/>
      <c r="E32" s="129"/>
      <c r="F32" s="129"/>
      <c r="G32" s="129"/>
      <c r="H32" s="84" t="s">
        <v>4</v>
      </c>
      <c r="I32" s="14">
        <f t="shared" ref="I32:O32" si="12">SUMIF($H$15:$H$30,"фед*",I$15:I$30)</f>
        <v>0</v>
      </c>
      <c r="J32" s="14">
        <f t="shared" si="12"/>
        <v>0</v>
      </c>
      <c r="K32" s="14">
        <f t="shared" si="12"/>
        <v>0</v>
      </c>
      <c r="L32" s="14">
        <f t="shared" si="12"/>
        <v>0</v>
      </c>
      <c r="M32" s="14">
        <f t="shared" si="12"/>
        <v>0</v>
      </c>
      <c r="N32" s="14">
        <f t="shared" si="12"/>
        <v>0</v>
      </c>
      <c r="O32" s="14">
        <f t="shared" si="12"/>
        <v>0</v>
      </c>
      <c r="P32" s="129"/>
    </row>
    <row r="33" spans="2:17" ht="15.75" x14ac:dyDescent="0.2">
      <c r="B33" s="129"/>
      <c r="C33" s="129"/>
      <c r="D33" s="129"/>
      <c r="E33" s="129"/>
      <c r="F33" s="129"/>
      <c r="G33" s="129"/>
      <c r="H33" s="84" t="s">
        <v>6</v>
      </c>
      <c r="I33" s="14">
        <f t="shared" ref="I33:O33" si="13">SUMIF($H$15:$H$30,"конс*",I$15:I$30)</f>
        <v>392</v>
      </c>
      <c r="J33" s="14">
        <f t="shared" si="13"/>
        <v>0</v>
      </c>
      <c r="K33" s="14">
        <f t="shared" si="13"/>
        <v>119</v>
      </c>
      <c r="L33" s="14">
        <f t="shared" si="13"/>
        <v>105</v>
      </c>
      <c r="M33" s="14">
        <f t="shared" si="13"/>
        <v>62</v>
      </c>
      <c r="N33" s="14">
        <f t="shared" si="13"/>
        <v>53</v>
      </c>
      <c r="O33" s="14">
        <f t="shared" si="13"/>
        <v>53</v>
      </c>
      <c r="P33" s="129"/>
    </row>
    <row r="34" spans="2:17" ht="15.75" x14ac:dyDescent="0.2">
      <c r="B34" s="130"/>
      <c r="C34" s="130"/>
      <c r="D34" s="130"/>
      <c r="E34" s="130"/>
      <c r="F34" s="130"/>
      <c r="G34" s="130"/>
      <c r="H34" s="84" t="s">
        <v>5</v>
      </c>
      <c r="I34" s="14">
        <f t="shared" ref="I34:O34" si="14">SUMIF($H$15:$H$30,"вне*",I$15:I$30)</f>
        <v>48.5</v>
      </c>
      <c r="J34" s="14">
        <f t="shared" si="14"/>
        <v>0</v>
      </c>
      <c r="K34" s="14">
        <f t="shared" si="14"/>
        <v>9.6999999999999993</v>
      </c>
      <c r="L34" s="14">
        <f t="shared" si="14"/>
        <v>9.6999999999999993</v>
      </c>
      <c r="M34" s="14">
        <f t="shared" si="14"/>
        <v>9.6999999999999993</v>
      </c>
      <c r="N34" s="14">
        <f t="shared" si="14"/>
        <v>9.6999999999999993</v>
      </c>
      <c r="O34" s="14">
        <f t="shared" si="14"/>
        <v>9.6999999999999993</v>
      </c>
      <c r="P34" s="130"/>
    </row>
    <row r="35" spans="2:17" ht="42.75" x14ac:dyDescent="0.2">
      <c r="B35" s="128" t="s">
        <v>77</v>
      </c>
      <c r="C35" s="128" t="s">
        <v>38</v>
      </c>
      <c r="D35" s="128" t="s">
        <v>38</v>
      </c>
      <c r="E35" s="128" t="s">
        <v>38</v>
      </c>
      <c r="F35" s="128" t="s">
        <v>38</v>
      </c>
      <c r="G35" s="128" t="s">
        <v>38</v>
      </c>
      <c r="H35" s="84" t="s">
        <v>3</v>
      </c>
      <c r="I35" s="14">
        <f t="shared" ref="I35:O38" si="15">I10+I31</f>
        <v>450.5</v>
      </c>
      <c r="J35" s="14">
        <f t="shared" si="15"/>
        <v>0</v>
      </c>
      <c r="K35" s="14">
        <f t="shared" si="15"/>
        <v>130.69999999999999</v>
      </c>
      <c r="L35" s="14">
        <f t="shared" si="15"/>
        <v>116.7</v>
      </c>
      <c r="M35" s="14">
        <f t="shared" si="15"/>
        <v>73.7</v>
      </c>
      <c r="N35" s="14">
        <f t="shared" si="15"/>
        <v>64.7</v>
      </c>
      <c r="O35" s="14">
        <f t="shared" si="15"/>
        <v>64.7</v>
      </c>
      <c r="P35" s="128"/>
      <c r="Q35" s="7"/>
    </row>
    <row r="36" spans="2:17" ht="15.75" x14ac:dyDescent="0.2">
      <c r="B36" s="129"/>
      <c r="C36" s="129"/>
      <c r="D36" s="129"/>
      <c r="E36" s="129"/>
      <c r="F36" s="129"/>
      <c r="G36" s="129"/>
      <c r="H36" s="84" t="s">
        <v>4</v>
      </c>
      <c r="I36" s="14">
        <f t="shared" si="15"/>
        <v>0</v>
      </c>
      <c r="J36" s="14">
        <f t="shared" si="15"/>
        <v>0</v>
      </c>
      <c r="K36" s="14">
        <f t="shared" si="15"/>
        <v>0</v>
      </c>
      <c r="L36" s="14">
        <f t="shared" si="15"/>
        <v>0</v>
      </c>
      <c r="M36" s="14">
        <f t="shared" si="15"/>
        <v>0</v>
      </c>
      <c r="N36" s="14">
        <f t="shared" si="15"/>
        <v>0</v>
      </c>
      <c r="O36" s="14">
        <f t="shared" si="15"/>
        <v>0</v>
      </c>
      <c r="P36" s="129"/>
      <c r="Q36" s="7"/>
    </row>
    <row r="37" spans="2:17" ht="15.75" x14ac:dyDescent="0.2">
      <c r="B37" s="129"/>
      <c r="C37" s="129"/>
      <c r="D37" s="129"/>
      <c r="E37" s="129"/>
      <c r="F37" s="129"/>
      <c r="G37" s="129"/>
      <c r="H37" s="84" t="s">
        <v>6</v>
      </c>
      <c r="I37" s="14">
        <f t="shared" si="15"/>
        <v>402</v>
      </c>
      <c r="J37" s="14">
        <f t="shared" si="15"/>
        <v>0</v>
      </c>
      <c r="K37" s="14">
        <f t="shared" si="15"/>
        <v>121</v>
      </c>
      <c r="L37" s="14">
        <f t="shared" si="15"/>
        <v>107</v>
      </c>
      <c r="M37" s="14">
        <f t="shared" si="15"/>
        <v>64</v>
      </c>
      <c r="N37" s="14">
        <f t="shared" si="15"/>
        <v>55</v>
      </c>
      <c r="O37" s="14">
        <f t="shared" si="15"/>
        <v>55</v>
      </c>
      <c r="P37" s="129"/>
      <c r="Q37" s="7"/>
    </row>
    <row r="38" spans="2:17" ht="15.75" x14ac:dyDescent="0.2">
      <c r="B38" s="130"/>
      <c r="C38" s="130"/>
      <c r="D38" s="130"/>
      <c r="E38" s="130"/>
      <c r="F38" s="130"/>
      <c r="G38" s="130"/>
      <c r="H38" s="84" t="s">
        <v>5</v>
      </c>
      <c r="I38" s="14">
        <f t="shared" si="15"/>
        <v>48.5</v>
      </c>
      <c r="J38" s="14">
        <f t="shared" si="15"/>
        <v>0</v>
      </c>
      <c r="K38" s="14">
        <f t="shared" si="15"/>
        <v>9.6999999999999993</v>
      </c>
      <c r="L38" s="14">
        <f t="shared" si="15"/>
        <v>9.6999999999999993</v>
      </c>
      <c r="M38" s="14">
        <f t="shared" si="15"/>
        <v>9.6999999999999993</v>
      </c>
      <c r="N38" s="14">
        <f t="shared" si="15"/>
        <v>9.6999999999999993</v>
      </c>
      <c r="O38" s="14">
        <f t="shared" si="15"/>
        <v>9.6999999999999993</v>
      </c>
      <c r="P38" s="130"/>
      <c r="Q38" s="7"/>
    </row>
    <row r="39" spans="2:17" x14ac:dyDescent="0.2">
      <c r="Q39" s="7"/>
    </row>
  </sheetData>
  <mergeCells count="67">
    <mergeCell ref="P35:P38"/>
    <mergeCell ref="B23:B26"/>
    <mergeCell ref="C23:C26"/>
    <mergeCell ref="D23:D26"/>
    <mergeCell ref="E23:E26"/>
    <mergeCell ref="F23:F26"/>
    <mergeCell ref="G23:G26"/>
    <mergeCell ref="P23:P26"/>
    <mergeCell ref="B35:B38"/>
    <mergeCell ref="C35:C38"/>
    <mergeCell ref="D35:D38"/>
    <mergeCell ref="E35:E38"/>
    <mergeCell ref="F35:F38"/>
    <mergeCell ref="G35:G38"/>
    <mergeCell ref="P27:P30"/>
    <mergeCell ref="B31:B34"/>
    <mergeCell ref="P31:P34"/>
    <mergeCell ref="B27:B30"/>
    <mergeCell ref="C27:C30"/>
    <mergeCell ref="D27:D30"/>
    <mergeCell ref="E27:E30"/>
    <mergeCell ref="F27:F30"/>
    <mergeCell ref="G27:G30"/>
    <mergeCell ref="C31:C34"/>
    <mergeCell ref="D31:D34"/>
    <mergeCell ref="E31:E34"/>
    <mergeCell ref="F31:F34"/>
    <mergeCell ref="G31:G34"/>
    <mergeCell ref="P19:P22"/>
    <mergeCell ref="B19:B22"/>
    <mergeCell ref="C19:C22"/>
    <mergeCell ref="D19:D22"/>
    <mergeCell ref="E19:E22"/>
    <mergeCell ref="F19:F22"/>
    <mergeCell ref="G19:G22"/>
    <mergeCell ref="P10:P13"/>
    <mergeCell ref="B14:P14"/>
    <mergeCell ref="B15:B18"/>
    <mergeCell ref="C15:C18"/>
    <mergeCell ref="D15:D18"/>
    <mergeCell ref="E15:E18"/>
    <mergeCell ref="F15:F18"/>
    <mergeCell ref="G15:G18"/>
    <mergeCell ref="P15:P18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39:XFD1048576 I31:O38 I10:O13 A3:C4 E3:G4 I4:XFD4 P3:XFD3 A1:XFD2">
    <cfRule type="cellIs" dxfId="42" priority="4" operator="equal">
      <formula>0</formula>
    </cfRule>
  </conditionalFormatting>
  <conditionalFormatting sqref="D3:D4">
    <cfRule type="cellIs" dxfId="41" priority="3" operator="equal">
      <formula>0</formula>
    </cfRule>
  </conditionalFormatting>
  <conditionalFormatting sqref="H4">
    <cfRule type="cellIs" dxfId="40" priority="2" operator="equal">
      <formula>0</formula>
    </cfRule>
  </conditionalFormatting>
  <conditionalFormatting sqref="H3:O3">
    <cfRule type="cellIs" dxfId="39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00FE-DF78-41EA-9A36-7DDA9C063404}">
  <sheetPr>
    <pageSetUpPr fitToPage="1"/>
  </sheetPr>
  <dimension ref="B1:Q217"/>
  <sheetViews>
    <sheetView showZeros="0" topLeftCell="B1" zoomScale="90" zoomScaleNormal="90" workbookViewId="0">
      <pane ySplit="4" topLeftCell="A5" activePane="bottomLeft" state="frozen"/>
      <selection activeCell="L10" sqref="L10"/>
      <selection pane="bottomLeft" activeCell="L10" sqref="L10"/>
    </sheetView>
  </sheetViews>
  <sheetFormatPr defaultRowHeight="15" outlineLevelRow="1" x14ac:dyDescent="0.2"/>
  <cols>
    <col min="1" max="1" width="0" style="2" hidden="1" customWidth="1"/>
    <col min="2" max="2" width="47.7109375" style="3" customWidth="1"/>
    <col min="3" max="3" width="32.42578125" style="3" customWidth="1"/>
    <col min="4" max="4" width="24.85546875" style="3" customWidth="1"/>
    <col min="5" max="5" width="14.85546875" style="3" customWidth="1"/>
    <col min="6" max="6" width="13.42578125" style="3" customWidth="1"/>
    <col min="7" max="7" width="17.140625" style="3" customWidth="1"/>
    <col min="8" max="8" width="18.7109375" style="1" customWidth="1"/>
    <col min="9" max="9" width="11.42578125" style="2" customWidth="1"/>
    <col min="10" max="10" width="11.5703125" style="2" bestFit="1" customWidth="1"/>
    <col min="11" max="12" width="9.5703125" style="2" bestFit="1" customWidth="1"/>
    <col min="13" max="13" width="9.140625" style="2" customWidth="1"/>
    <col min="14" max="15" width="9.28515625" style="2" bestFit="1" customWidth="1"/>
    <col min="16" max="16" width="11" style="2" customWidth="1"/>
    <col min="17" max="17" width="10.85546875" style="2" bestFit="1" customWidth="1"/>
    <col min="18" max="16384" width="9.140625" style="2"/>
  </cols>
  <sheetData>
    <row r="1" spans="2:16" ht="21.75" customHeight="1" x14ac:dyDescent="0.25">
      <c r="B1" s="120" t="s">
        <v>1474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2:16" ht="15.75" customHeight="1" x14ac:dyDescent="0.2">
      <c r="B3" s="121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4" t="s">
        <v>29</v>
      </c>
      <c r="I3" s="125"/>
      <c r="J3" s="125"/>
      <c r="K3" s="125"/>
      <c r="L3" s="125"/>
      <c r="M3" s="125"/>
      <c r="N3" s="125"/>
      <c r="O3" s="125"/>
      <c r="P3" s="126" t="s">
        <v>30</v>
      </c>
    </row>
    <row r="4" spans="2:16" ht="71.25" customHeight="1" x14ac:dyDescent="0.2">
      <c r="B4" s="122"/>
      <c r="C4" s="123"/>
      <c r="D4" s="122"/>
      <c r="E4" s="122"/>
      <c r="F4" s="122"/>
      <c r="G4" s="122"/>
      <c r="H4" s="12" t="s">
        <v>31</v>
      </c>
      <c r="I4" s="12" t="s">
        <v>1</v>
      </c>
      <c r="J4" s="12">
        <v>2020</v>
      </c>
      <c r="K4" s="12">
        <v>2021</v>
      </c>
      <c r="L4" s="12">
        <v>2022</v>
      </c>
      <c r="M4" s="12">
        <v>2023</v>
      </c>
      <c r="N4" s="12">
        <v>2024</v>
      </c>
      <c r="O4" s="12">
        <v>2025</v>
      </c>
      <c r="P4" s="127"/>
    </row>
    <row r="5" spans="2:16" ht="25.5" customHeight="1" x14ac:dyDescent="0.2">
      <c r="B5" s="111" t="s">
        <v>90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42.75" outlineLevel="1" x14ac:dyDescent="0.2">
      <c r="B6" s="117" t="s">
        <v>1475</v>
      </c>
      <c r="C6" s="128"/>
      <c r="D6" s="117" t="s">
        <v>1476</v>
      </c>
      <c r="E6" s="117">
        <v>2020</v>
      </c>
      <c r="F6" s="117"/>
      <c r="G6" s="117" t="s">
        <v>67</v>
      </c>
      <c r="H6" s="84" t="s">
        <v>3</v>
      </c>
      <c r="I6" s="17">
        <f>SUM(J6:O6)</f>
        <v>0.89729000000000003</v>
      </c>
      <c r="J6" s="83">
        <f t="shared" ref="J6:O6" si="0">J7+J8+J9</f>
        <v>0.89729000000000003</v>
      </c>
      <c r="K6" s="83">
        <f t="shared" si="0"/>
        <v>0</v>
      </c>
      <c r="L6" s="83">
        <f t="shared" si="0"/>
        <v>0</v>
      </c>
      <c r="M6" s="83">
        <f t="shared" si="0"/>
        <v>0</v>
      </c>
      <c r="N6" s="83">
        <f t="shared" si="0"/>
        <v>0</v>
      </c>
      <c r="O6" s="83">
        <f t="shared" si="0"/>
        <v>0</v>
      </c>
      <c r="P6" s="178">
        <v>78</v>
      </c>
    </row>
    <row r="7" spans="2:16" ht="17.25" customHeight="1" outlineLevel="1" x14ac:dyDescent="0.2">
      <c r="B7" s="118"/>
      <c r="C7" s="129"/>
      <c r="D7" s="118"/>
      <c r="E7" s="118"/>
      <c r="F7" s="118"/>
      <c r="G7" s="118"/>
      <c r="H7" s="84" t="s">
        <v>4</v>
      </c>
      <c r="I7" s="17"/>
      <c r="J7" s="83"/>
      <c r="K7" s="83"/>
      <c r="L7" s="75"/>
      <c r="M7" s="83"/>
      <c r="N7" s="83"/>
      <c r="O7" s="83"/>
      <c r="P7" s="178"/>
    </row>
    <row r="8" spans="2:16" ht="17.25" customHeight="1" outlineLevel="1" x14ac:dyDescent="0.2">
      <c r="B8" s="118"/>
      <c r="C8" s="129"/>
      <c r="D8" s="118"/>
      <c r="E8" s="118"/>
      <c r="F8" s="118"/>
      <c r="G8" s="118"/>
      <c r="H8" s="84" t="s">
        <v>6</v>
      </c>
      <c r="I8" s="17">
        <f>SUM(J8:O8)</f>
        <v>0.89729000000000003</v>
      </c>
      <c r="J8" s="83">
        <v>0.89729000000000003</v>
      </c>
      <c r="K8" s="83"/>
      <c r="L8" s="75"/>
      <c r="M8" s="83"/>
      <c r="N8" s="83"/>
      <c r="O8" s="83"/>
      <c r="P8" s="178"/>
    </row>
    <row r="9" spans="2:16" ht="17.25" customHeight="1" outlineLevel="1" x14ac:dyDescent="0.2">
      <c r="B9" s="119"/>
      <c r="C9" s="130"/>
      <c r="D9" s="119"/>
      <c r="E9" s="119"/>
      <c r="F9" s="119"/>
      <c r="G9" s="119"/>
      <c r="H9" s="84" t="s">
        <v>5</v>
      </c>
      <c r="I9" s="17"/>
      <c r="J9" s="75"/>
      <c r="K9" s="75"/>
      <c r="L9" s="75"/>
      <c r="M9" s="75"/>
      <c r="N9" s="75"/>
      <c r="O9" s="75"/>
      <c r="P9" s="178"/>
    </row>
    <row r="10" spans="2:16" ht="42.75" outlineLevel="1" x14ac:dyDescent="0.2">
      <c r="B10" s="117" t="s">
        <v>1477</v>
      </c>
      <c r="C10" s="128"/>
      <c r="D10" s="150" t="s">
        <v>1478</v>
      </c>
      <c r="E10" s="117">
        <v>2020</v>
      </c>
      <c r="F10" s="117" t="s">
        <v>1479</v>
      </c>
      <c r="G10" s="117" t="s">
        <v>67</v>
      </c>
      <c r="H10" s="84" t="s">
        <v>3</v>
      </c>
      <c r="I10" s="17">
        <f>SUM(J10:O10)</f>
        <v>1.0472399999999999</v>
      </c>
      <c r="J10" s="83">
        <f t="shared" ref="J10:O10" si="1">J11+J12+J13</f>
        <v>1.0472399999999999</v>
      </c>
      <c r="K10" s="83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178">
        <v>143</v>
      </c>
    </row>
    <row r="11" spans="2:16" ht="17.25" customHeight="1" outlineLevel="1" x14ac:dyDescent="0.2">
      <c r="B11" s="118"/>
      <c r="C11" s="129"/>
      <c r="D11" s="151"/>
      <c r="E11" s="118"/>
      <c r="F11" s="118"/>
      <c r="G11" s="118"/>
      <c r="H11" s="84" t="s">
        <v>4</v>
      </c>
      <c r="I11" s="17"/>
      <c r="J11" s="83"/>
      <c r="K11" s="83"/>
      <c r="L11" s="75"/>
      <c r="M11" s="83"/>
      <c r="N11" s="83"/>
      <c r="O11" s="83"/>
      <c r="P11" s="178"/>
    </row>
    <row r="12" spans="2:16" ht="17.25" customHeight="1" outlineLevel="1" x14ac:dyDescent="0.2">
      <c r="B12" s="118"/>
      <c r="C12" s="129"/>
      <c r="D12" s="151"/>
      <c r="E12" s="118"/>
      <c r="F12" s="118"/>
      <c r="G12" s="118"/>
      <c r="H12" s="84" t="s">
        <v>6</v>
      </c>
      <c r="I12" s="17">
        <f>SUM(J12:O12)</f>
        <v>1.0472399999999999</v>
      </c>
      <c r="J12" s="83">
        <v>1.0472399999999999</v>
      </c>
      <c r="K12" s="83"/>
      <c r="L12" s="75"/>
      <c r="M12" s="83"/>
      <c r="N12" s="83"/>
      <c r="O12" s="83"/>
      <c r="P12" s="178"/>
    </row>
    <row r="13" spans="2:16" ht="17.25" customHeight="1" outlineLevel="1" x14ac:dyDescent="0.2">
      <c r="B13" s="119"/>
      <c r="C13" s="130"/>
      <c r="D13" s="152"/>
      <c r="E13" s="119"/>
      <c r="F13" s="119"/>
      <c r="G13" s="119"/>
      <c r="H13" s="84" t="s">
        <v>5</v>
      </c>
      <c r="I13" s="17"/>
      <c r="J13" s="75"/>
      <c r="K13" s="75"/>
      <c r="L13" s="75"/>
      <c r="M13" s="75"/>
      <c r="N13" s="75"/>
      <c r="O13" s="75"/>
      <c r="P13" s="178"/>
    </row>
    <row r="14" spans="2:16" ht="42.75" outlineLevel="1" x14ac:dyDescent="0.2">
      <c r="B14" s="117" t="s">
        <v>1480</v>
      </c>
      <c r="C14" s="128"/>
      <c r="D14" s="150" t="s">
        <v>1481</v>
      </c>
      <c r="E14" s="117">
        <v>2020</v>
      </c>
      <c r="F14" s="117"/>
      <c r="G14" s="117" t="s">
        <v>67</v>
      </c>
      <c r="H14" s="84" t="s">
        <v>3</v>
      </c>
      <c r="I14" s="17">
        <f>SUM(J14:O14)</f>
        <v>0.87961999999999996</v>
      </c>
      <c r="J14" s="83">
        <f t="shared" ref="J14:O14" si="2">J15+J16+J17</f>
        <v>0.87961999999999996</v>
      </c>
      <c r="K14" s="83">
        <f t="shared" si="2"/>
        <v>0</v>
      </c>
      <c r="L14" s="83">
        <f t="shared" si="2"/>
        <v>0</v>
      </c>
      <c r="M14" s="83">
        <f t="shared" si="2"/>
        <v>0</v>
      </c>
      <c r="N14" s="83">
        <f t="shared" si="2"/>
        <v>0</v>
      </c>
      <c r="O14" s="83">
        <f t="shared" si="2"/>
        <v>0</v>
      </c>
      <c r="P14" s="178">
        <v>137</v>
      </c>
    </row>
    <row r="15" spans="2:16" ht="17.25" customHeight="1" outlineLevel="1" x14ac:dyDescent="0.2">
      <c r="B15" s="118"/>
      <c r="C15" s="129"/>
      <c r="D15" s="151"/>
      <c r="E15" s="118"/>
      <c r="F15" s="118"/>
      <c r="G15" s="118"/>
      <c r="H15" s="84" t="s">
        <v>4</v>
      </c>
      <c r="I15" s="17"/>
      <c r="J15" s="83"/>
      <c r="K15" s="83"/>
      <c r="L15" s="75"/>
      <c r="M15" s="83"/>
      <c r="N15" s="83"/>
      <c r="O15" s="83"/>
      <c r="P15" s="178"/>
    </row>
    <row r="16" spans="2:16" ht="17.25" customHeight="1" outlineLevel="1" x14ac:dyDescent="0.2">
      <c r="B16" s="118"/>
      <c r="C16" s="129"/>
      <c r="D16" s="151"/>
      <c r="E16" s="118"/>
      <c r="F16" s="118"/>
      <c r="G16" s="118"/>
      <c r="H16" s="84" t="s">
        <v>6</v>
      </c>
      <c r="I16" s="17">
        <f>SUM(J16:O16)</f>
        <v>0.87961999999999996</v>
      </c>
      <c r="J16" s="83">
        <v>0.87961999999999996</v>
      </c>
      <c r="K16" s="83"/>
      <c r="L16" s="75"/>
      <c r="M16" s="83"/>
      <c r="N16" s="83"/>
      <c r="O16" s="83"/>
      <c r="P16" s="178"/>
    </row>
    <row r="17" spans="2:17" ht="17.25" customHeight="1" outlineLevel="1" x14ac:dyDescent="0.2">
      <c r="B17" s="119"/>
      <c r="C17" s="130"/>
      <c r="D17" s="152"/>
      <c r="E17" s="119"/>
      <c r="F17" s="119"/>
      <c r="G17" s="119"/>
      <c r="H17" s="84" t="s">
        <v>5</v>
      </c>
      <c r="I17" s="17"/>
      <c r="J17" s="75"/>
      <c r="K17" s="75"/>
      <c r="L17" s="75"/>
      <c r="M17" s="75"/>
      <c r="N17" s="75"/>
      <c r="O17" s="75"/>
      <c r="P17" s="178"/>
    </row>
    <row r="18" spans="2:17" ht="42.75" outlineLevel="1" x14ac:dyDescent="0.2">
      <c r="B18" s="117" t="s">
        <v>1482</v>
      </c>
      <c r="C18" s="128"/>
      <c r="D18" s="150" t="s">
        <v>1483</v>
      </c>
      <c r="E18" s="117">
        <v>2020</v>
      </c>
      <c r="F18" s="117"/>
      <c r="G18" s="117" t="s">
        <v>67</v>
      </c>
      <c r="H18" s="84" t="s">
        <v>3</v>
      </c>
      <c r="I18" s="17">
        <f>SUM(J18:O18)</f>
        <v>2.1463399999999999</v>
      </c>
      <c r="J18" s="83">
        <f t="shared" ref="J18:O18" si="3">J19+J20+J21</f>
        <v>2.1463399999999999</v>
      </c>
      <c r="K18" s="83">
        <f t="shared" si="3"/>
        <v>0</v>
      </c>
      <c r="L18" s="83">
        <f t="shared" si="3"/>
        <v>0</v>
      </c>
      <c r="M18" s="83">
        <f t="shared" si="3"/>
        <v>0</v>
      </c>
      <c r="N18" s="83">
        <f t="shared" si="3"/>
        <v>0</v>
      </c>
      <c r="O18" s="83">
        <f t="shared" si="3"/>
        <v>0</v>
      </c>
      <c r="P18" s="178">
        <v>404</v>
      </c>
    </row>
    <row r="19" spans="2:17" ht="17.25" customHeight="1" outlineLevel="1" x14ac:dyDescent="0.2">
      <c r="B19" s="118"/>
      <c r="C19" s="129"/>
      <c r="D19" s="151"/>
      <c r="E19" s="118"/>
      <c r="F19" s="118"/>
      <c r="G19" s="118"/>
      <c r="H19" s="84" t="s">
        <v>4</v>
      </c>
      <c r="I19" s="17"/>
      <c r="J19" s="83"/>
      <c r="K19" s="83"/>
      <c r="L19" s="75"/>
      <c r="M19" s="83"/>
      <c r="N19" s="83"/>
      <c r="O19" s="83"/>
      <c r="P19" s="178"/>
    </row>
    <row r="20" spans="2:17" ht="17.25" customHeight="1" outlineLevel="1" x14ac:dyDescent="0.2">
      <c r="B20" s="118"/>
      <c r="C20" s="129"/>
      <c r="D20" s="151"/>
      <c r="E20" s="118"/>
      <c r="F20" s="118"/>
      <c r="G20" s="118"/>
      <c r="H20" s="84" t="s">
        <v>6</v>
      </c>
      <c r="I20" s="17">
        <f>SUM(J20:O20)</f>
        <v>2.1463399999999999</v>
      </c>
      <c r="J20" s="83">
        <v>2.1463399999999999</v>
      </c>
      <c r="K20" s="83"/>
      <c r="L20" s="75"/>
      <c r="M20" s="83"/>
      <c r="N20" s="83"/>
      <c r="O20" s="83"/>
      <c r="P20" s="178"/>
    </row>
    <row r="21" spans="2:17" ht="17.25" customHeight="1" outlineLevel="1" x14ac:dyDescent="0.2">
      <c r="B21" s="119"/>
      <c r="C21" s="130"/>
      <c r="D21" s="152"/>
      <c r="E21" s="119"/>
      <c r="F21" s="119"/>
      <c r="G21" s="119"/>
      <c r="H21" s="84" t="s">
        <v>5</v>
      </c>
      <c r="I21" s="17"/>
      <c r="J21" s="75"/>
      <c r="K21" s="75"/>
      <c r="L21" s="75"/>
      <c r="M21" s="75"/>
      <c r="N21" s="75"/>
      <c r="O21" s="75"/>
      <c r="P21" s="178"/>
    </row>
    <row r="22" spans="2:17" ht="42.75" outlineLevel="1" x14ac:dyDescent="0.2">
      <c r="B22" s="117" t="s">
        <v>1475</v>
      </c>
      <c r="C22" s="128"/>
      <c r="D22" s="150" t="s">
        <v>1484</v>
      </c>
      <c r="E22" s="117">
        <v>2020</v>
      </c>
      <c r="F22" s="117"/>
      <c r="G22" s="139" t="s">
        <v>566</v>
      </c>
      <c r="H22" s="84" t="s">
        <v>3</v>
      </c>
      <c r="I22" s="17">
        <f>SUM(J22:O22)</f>
        <v>0.78063000000000005</v>
      </c>
      <c r="J22" s="83">
        <f t="shared" ref="J22:O22" si="4">J23+J24+J25</f>
        <v>0.78063000000000005</v>
      </c>
      <c r="K22" s="83">
        <f t="shared" si="4"/>
        <v>0</v>
      </c>
      <c r="L22" s="83">
        <f t="shared" si="4"/>
        <v>0</v>
      </c>
      <c r="M22" s="83">
        <f t="shared" si="4"/>
        <v>0</v>
      </c>
      <c r="N22" s="83">
        <f t="shared" si="4"/>
        <v>0</v>
      </c>
      <c r="O22" s="83">
        <f t="shared" si="4"/>
        <v>0</v>
      </c>
      <c r="P22" s="178">
        <v>85</v>
      </c>
    </row>
    <row r="23" spans="2:17" ht="17.25" customHeight="1" outlineLevel="1" x14ac:dyDescent="0.2">
      <c r="B23" s="118"/>
      <c r="C23" s="129"/>
      <c r="D23" s="151"/>
      <c r="E23" s="118"/>
      <c r="F23" s="118"/>
      <c r="G23" s="140"/>
      <c r="H23" s="84" t="s">
        <v>4</v>
      </c>
      <c r="I23" s="17"/>
      <c r="J23" s="83"/>
      <c r="K23" s="83"/>
      <c r="L23" s="75"/>
      <c r="M23" s="83"/>
      <c r="N23" s="83"/>
      <c r="O23" s="83"/>
      <c r="P23" s="178"/>
    </row>
    <row r="24" spans="2:17" ht="17.25" customHeight="1" outlineLevel="1" x14ac:dyDescent="0.2">
      <c r="B24" s="118"/>
      <c r="C24" s="129"/>
      <c r="D24" s="151"/>
      <c r="E24" s="118"/>
      <c r="F24" s="118"/>
      <c r="G24" s="140"/>
      <c r="H24" s="84" t="s">
        <v>6</v>
      </c>
      <c r="I24" s="17">
        <f>SUM(J24:O24)</f>
        <v>0.78063000000000005</v>
      </c>
      <c r="J24" s="83">
        <v>0.78063000000000005</v>
      </c>
      <c r="K24" s="83"/>
      <c r="L24" s="75"/>
      <c r="M24" s="83"/>
      <c r="N24" s="83"/>
      <c r="O24" s="83"/>
      <c r="P24" s="178"/>
    </row>
    <row r="25" spans="2:17" ht="17.25" customHeight="1" outlineLevel="1" x14ac:dyDescent="0.2">
      <c r="B25" s="119"/>
      <c r="C25" s="130"/>
      <c r="D25" s="152"/>
      <c r="E25" s="119"/>
      <c r="F25" s="119"/>
      <c r="G25" s="141"/>
      <c r="H25" s="84" t="s">
        <v>5</v>
      </c>
      <c r="I25" s="17"/>
      <c r="J25" s="75"/>
      <c r="K25" s="75"/>
      <c r="L25" s="75"/>
      <c r="M25" s="75"/>
      <c r="N25" s="75"/>
      <c r="O25" s="75"/>
      <c r="P25" s="178"/>
    </row>
    <row r="26" spans="2:17" ht="42.75" x14ac:dyDescent="0.2">
      <c r="B26" s="128" t="s">
        <v>110</v>
      </c>
      <c r="C26" s="128" t="s">
        <v>38</v>
      </c>
      <c r="D26" s="128" t="s">
        <v>38</v>
      </c>
      <c r="E26" s="128" t="s">
        <v>38</v>
      </c>
      <c r="F26" s="128" t="s">
        <v>38</v>
      </c>
      <c r="G26" s="128" t="s">
        <v>38</v>
      </c>
      <c r="H26" s="84" t="s">
        <v>3</v>
      </c>
      <c r="I26" s="14">
        <f>SUMIF($H$6:$H$25,"Объем*",I$6:I$25)</f>
        <v>5.7511200000000002</v>
      </c>
      <c r="J26" s="14">
        <f t="shared" ref="J26:O26" si="5">SUMIF($H$6:$H$25,"Объем*",J$6:J$25)</f>
        <v>5.7511200000000002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28"/>
      <c r="Q26" s="7"/>
    </row>
    <row r="27" spans="2:17" ht="15.75" x14ac:dyDescent="0.2">
      <c r="B27" s="129"/>
      <c r="C27" s="129"/>
      <c r="D27" s="129"/>
      <c r="E27" s="129"/>
      <c r="F27" s="129"/>
      <c r="G27" s="129"/>
      <c r="H27" s="84" t="s">
        <v>4</v>
      </c>
      <c r="I27" s="14">
        <f>SUMIF($H$6:$H$25,"фед*",I$6:I$25)</f>
        <v>0</v>
      </c>
      <c r="J27" s="14">
        <f t="shared" ref="J27:O27" si="6">SUMIF($H$6:$H$25,"фед*",J$6:J$25)</f>
        <v>0</v>
      </c>
      <c r="K27" s="14">
        <f t="shared" si="6"/>
        <v>0</v>
      </c>
      <c r="L27" s="14">
        <f t="shared" si="6"/>
        <v>0</v>
      </c>
      <c r="M27" s="14">
        <f t="shared" si="6"/>
        <v>0</v>
      </c>
      <c r="N27" s="14">
        <f t="shared" si="6"/>
        <v>0</v>
      </c>
      <c r="O27" s="14">
        <f t="shared" si="6"/>
        <v>0</v>
      </c>
      <c r="P27" s="129"/>
    </row>
    <row r="28" spans="2:17" ht="15.75" x14ac:dyDescent="0.2">
      <c r="B28" s="129"/>
      <c r="C28" s="129"/>
      <c r="D28" s="129"/>
      <c r="E28" s="129"/>
      <c r="F28" s="129"/>
      <c r="G28" s="129"/>
      <c r="H28" s="84" t="s">
        <v>6</v>
      </c>
      <c r="I28" s="14">
        <f>SUMIF($H$6:$H$25,"конс*",I$6:I$25)</f>
        <v>5.7511200000000002</v>
      </c>
      <c r="J28" s="14">
        <f t="shared" ref="J28:O28" si="7">SUMIF($H$6:$H$25,"конс*",J$6:J$25)</f>
        <v>5.7511200000000002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7"/>
        <v>0</v>
      </c>
      <c r="O28" s="14">
        <f t="shared" si="7"/>
        <v>0</v>
      </c>
      <c r="P28" s="129"/>
    </row>
    <row r="29" spans="2:17" ht="15.75" x14ac:dyDescent="0.2">
      <c r="B29" s="130"/>
      <c r="C29" s="130"/>
      <c r="D29" s="130"/>
      <c r="E29" s="130"/>
      <c r="F29" s="130"/>
      <c r="G29" s="130"/>
      <c r="H29" s="84" t="s">
        <v>5</v>
      </c>
      <c r="I29" s="14">
        <f>SUMIF($H$6:$H$25,"вне*",I$6:I$25)</f>
        <v>0</v>
      </c>
      <c r="J29" s="14">
        <f t="shared" ref="J29:O29" si="8">SUMIF($H$6:$H$25,"вне*",J$6:J$25)</f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8"/>
        <v>0</v>
      </c>
      <c r="O29" s="14">
        <f t="shared" si="8"/>
        <v>0</v>
      </c>
      <c r="P29" s="130"/>
    </row>
    <row r="30" spans="2:17" ht="25.5" customHeight="1" x14ac:dyDescent="0.2">
      <c r="B30" s="111" t="s">
        <v>32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3"/>
    </row>
    <row r="31" spans="2:17" ht="42.75" outlineLevel="1" x14ac:dyDescent="0.2">
      <c r="B31" s="117" t="s">
        <v>1485</v>
      </c>
      <c r="C31" s="128"/>
      <c r="D31" s="150" t="s">
        <v>1486</v>
      </c>
      <c r="E31" s="117">
        <v>2022</v>
      </c>
      <c r="F31" s="117"/>
      <c r="G31" s="139" t="s">
        <v>566</v>
      </c>
      <c r="H31" s="84" t="s">
        <v>3</v>
      </c>
      <c r="I31" s="83">
        <f>SUM(J31:O31)</f>
        <v>2</v>
      </c>
      <c r="J31" s="85"/>
      <c r="K31" s="85">
        <f t="shared" ref="K31:O31" si="9">K32+K33+K34</f>
        <v>0</v>
      </c>
      <c r="L31" s="85">
        <f t="shared" si="9"/>
        <v>2</v>
      </c>
      <c r="M31" s="85">
        <f t="shared" si="9"/>
        <v>0</v>
      </c>
      <c r="N31" s="85">
        <f t="shared" si="9"/>
        <v>0</v>
      </c>
      <c r="O31" s="85">
        <f t="shared" si="9"/>
        <v>0</v>
      </c>
      <c r="P31" s="178">
        <v>1119</v>
      </c>
    </row>
    <row r="32" spans="2:17" ht="17.25" customHeight="1" outlineLevel="1" x14ac:dyDescent="0.2">
      <c r="B32" s="118"/>
      <c r="C32" s="129"/>
      <c r="D32" s="151"/>
      <c r="E32" s="118"/>
      <c r="F32" s="118"/>
      <c r="G32" s="140"/>
      <c r="H32" s="84" t="s">
        <v>4</v>
      </c>
      <c r="I32" s="83"/>
      <c r="J32" s="85"/>
      <c r="K32" s="85"/>
      <c r="L32" s="60"/>
      <c r="M32" s="85"/>
      <c r="N32" s="85"/>
      <c r="O32" s="85"/>
      <c r="P32" s="178"/>
    </row>
    <row r="33" spans="2:16" ht="17.25" customHeight="1" outlineLevel="1" x14ac:dyDescent="0.2">
      <c r="B33" s="118"/>
      <c r="C33" s="129"/>
      <c r="D33" s="151"/>
      <c r="E33" s="118"/>
      <c r="F33" s="118"/>
      <c r="G33" s="140"/>
      <c r="H33" s="84" t="s">
        <v>6</v>
      </c>
      <c r="I33" s="83">
        <f>SUM(J33:O33)</f>
        <v>2</v>
      </c>
      <c r="J33" s="85"/>
      <c r="K33" s="85"/>
      <c r="L33" s="60">
        <v>2</v>
      </c>
      <c r="M33" s="85"/>
      <c r="N33" s="85"/>
      <c r="O33" s="85"/>
      <c r="P33" s="178"/>
    </row>
    <row r="34" spans="2:16" ht="17.25" customHeight="1" outlineLevel="1" x14ac:dyDescent="0.2">
      <c r="B34" s="119"/>
      <c r="C34" s="130"/>
      <c r="D34" s="152"/>
      <c r="E34" s="119"/>
      <c r="F34" s="119"/>
      <c r="G34" s="141"/>
      <c r="H34" s="84" t="s">
        <v>5</v>
      </c>
      <c r="I34" s="83"/>
      <c r="J34" s="60"/>
      <c r="K34" s="60"/>
      <c r="L34" s="60"/>
      <c r="M34" s="60"/>
      <c r="N34" s="60"/>
      <c r="O34" s="60"/>
      <c r="P34" s="178"/>
    </row>
    <row r="35" spans="2:16" ht="42.75" outlineLevel="1" x14ac:dyDescent="0.2">
      <c r="B35" s="117" t="s">
        <v>1487</v>
      </c>
      <c r="C35" s="128"/>
      <c r="D35" s="150" t="s">
        <v>1488</v>
      </c>
      <c r="E35" s="117">
        <v>2021</v>
      </c>
      <c r="F35" s="117"/>
      <c r="G35" s="139" t="s">
        <v>566</v>
      </c>
      <c r="H35" s="84" t="s">
        <v>3</v>
      </c>
      <c r="I35" s="83">
        <f>SUM(J35:O35)</f>
        <v>2</v>
      </c>
      <c r="J35" s="60"/>
      <c r="K35" s="60">
        <v>2</v>
      </c>
      <c r="L35" s="60"/>
      <c r="M35" s="60"/>
      <c r="N35" s="60"/>
      <c r="O35" s="60"/>
      <c r="P35" s="178">
        <v>1077</v>
      </c>
    </row>
    <row r="36" spans="2:16" ht="17.25" customHeight="1" outlineLevel="1" x14ac:dyDescent="0.2">
      <c r="B36" s="118"/>
      <c r="C36" s="129"/>
      <c r="D36" s="151"/>
      <c r="E36" s="118"/>
      <c r="F36" s="118"/>
      <c r="G36" s="140"/>
      <c r="H36" s="84" t="s">
        <v>4</v>
      </c>
      <c r="I36" s="83"/>
      <c r="J36" s="60"/>
      <c r="K36" s="60"/>
      <c r="L36" s="60"/>
      <c r="M36" s="60"/>
      <c r="N36" s="60"/>
      <c r="O36" s="60"/>
      <c r="P36" s="178"/>
    </row>
    <row r="37" spans="2:16" ht="17.25" customHeight="1" outlineLevel="1" x14ac:dyDescent="0.2">
      <c r="B37" s="118"/>
      <c r="C37" s="129"/>
      <c r="D37" s="151"/>
      <c r="E37" s="118"/>
      <c r="F37" s="118"/>
      <c r="G37" s="140"/>
      <c r="H37" s="84" t="s">
        <v>6</v>
      </c>
      <c r="I37" s="83">
        <f>SUM(J37:O37)</f>
        <v>2</v>
      </c>
      <c r="J37" s="60"/>
      <c r="K37" s="60">
        <v>2</v>
      </c>
      <c r="L37" s="60"/>
      <c r="M37" s="60"/>
      <c r="N37" s="60"/>
      <c r="O37" s="60"/>
      <c r="P37" s="178"/>
    </row>
    <row r="38" spans="2:16" ht="17.25" customHeight="1" outlineLevel="1" x14ac:dyDescent="0.2">
      <c r="B38" s="119"/>
      <c r="C38" s="130"/>
      <c r="D38" s="152"/>
      <c r="E38" s="119"/>
      <c r="F38" s="119"/>
      <c r="G38" s="141"/>
      <c r="H38" s="84" t="s">
        <v>5</v>
      </c>
      <c r="I38" s="83"/>
      <c r="J38" s="60"/>
      <c r="K38" s="60"/>
      <c r="L38" s="60"/>
      <c r="M38" s="60"/>
      <c r="N38" s="60"/>
      <c r="O38" s="60"/>
      <c r="P38" s="178"/>
    </row>
    <row r="39" spans="2:16" ht="42.75" outlineLevel="1" x14ac:dyDescent="0.2">
      <c r="B39" s="117" t="s">
        <v>1489</v>
      </c>
      <c r="C39" s="128"/>
      <c r="D39" s="150" t="s">
        <v>1490</v>
      </c>
      <c r="E39" s="117">
        <v>2024</v>
      </c>
      <c r="F39" s="117"/>
      <c r="G39" s="139" t="s">
        <v>566</v>
      </c>
      <c r="H39" s="84" t="s">
        <v>3</v>
      </c>
      <c r="I39" s="83">
        <f>SUM(J39:O39)</f>
        <v>2</v>
      </c>
      <c r="J39" s="60"/>
      <c r="K39" s="60"/>
      <c r="L39" s="60"/>
      <c r="M39" s="60"/>
      <c r="N39" s="60">
        <v>2</v>
      </c>
      <c r="O39" s="60"/>
      <c r="P39" s="178">
        <v>1947</v>
      </c>
    </row>
    <row r="40" spans="2:16" ht="17.25" customHeight="1" outlineLevel="1" x14ac:dyDescent="0.2">
      <c r="B40" s="118"/>
      <c r="C40" s="129"/>
      <c r="D40" s="151"/>
      <c r="E40" s="118"/>
      <c r="F40" s="118"/>
      <c r="G40" s="140"/>
      <c r="H40" s="84" t="s">
        <v>4</v>
      </c>
      <c r="I40" s="83"/>
      <c r="J40" s="60"/>
      <c r="K40" s="60"/>
      <c r="L40" s="60"/>
      <c r="M40" s="60"/>
      <c r="N40" s="60"/>
      <c r="O40" s="60"/>
      <c r="P40" s="178"/>
    </row>
    <row r="41" spans="2:16" ht="17.25" customHeight="1" outlineLevel="1" x14ac:dyDescent="0.2">
      <c r="B41" s="118"/>
      <c r="C41" s="129"/>
      <c r="D41" s="151"/>
      <c r="E41" s="118"/>
      <c r="F41" s="118"/>
      <c r="G41" s="140"/>
      <c r="H41" s="84" t="s">
        <v>6</v>
      </c>
      <c r="I41" s="83">
        <f>SUM(J41:O41)</f>
        <v>2</v>
      </c>
      <c r="J41" s="60"/>
      <c r="K41" s="60"/>
      <c r="L41" s="60"/>
      <c r="M41" s="60"/>
      <c r="N41" s="60">
        <v>2</v>
      </c>
      <c r="O41" s="60"/>
      <c r="P41" s="178"/>
    </row>
    <row r="42" spans="2:16" ht="17.25" customHeight="1" outlineLevel="1" x14ac:dyDescent="0.2">
      <c r="B42" s="119"/>
      <c r="C42" s="130"/>
      <c r="D42" s="152"/>
      <c r="E42" s="119"/>
      <c r="F42" s="119"/>
      <c r="G42" s="141"/>
      <c r="H42" s="84" t="s">
        <v>5</v>
      </c>
      <c r="I42" s="83"/>
      <c r="J42" s="60"/>
      <c r="K42" s="60"/>
      <c r="L42" s="60"/>
      <c r="M42" s="60"/>
      <c r="N42" s="60"/>
      <c r="O42" s="60"/>
      <c r="P42" s="178"/>
    </row>
    <row r="43" spans="2:16" ht="42.75" outlineLevel="1" x14ac:dyDescent="0.2">
      <c r="B43" s="117" t="s">
        <v>1491</v>
      </c>
      <c r="C43" s="128"/>
      <c r="D43" s="150" t="s">
        <v>1492</v>
      </c>
      <c r="E43" s="117">
        <v>2023</v>
      </c>
      <c r="F43" s="117"/>
      <c r="G43" s="139" t="s">
        <v>566</v>
      </c>
      <c r="H43" s="84" t="s">
        <v>3</v>
      </c>
      <c r="I43" s="83">
        <f>SUM(J43:O43)</f>
        <v>1.5</v>
      </c>
      <c r="J43" s="60"/>
      <c r="K43" s="60"/>
      <c r="L43" s="60"/>
      <c r="M43" s="60">
        <v>1.5</v>
      </c>
      <c r="N43" s="60"/>
      <c r="O43" s="60"/>
      <c r="P43" s="178">
        <v>1480</v>
      </c>
    </row>
    <row r="44" spans="2:16" ht="17.25" customHeight="1" outlineLevel="1" x14ac:dyDescent="0.2">
      <c r="B44" s="118"/>
      <c r="C44" s="129"/>
      <c r="D44" s="151"/>
      <c r="E44" s="118"/>
      <c r="F44" s="118"/>
      <c r="G44" s="140"/>
      <c r="H44" s="84" t="s">
        <v>4</v>
      </c>
      <c r="I44" s="83"/>
      <c r="J44" s="60"/>
      <c r="K44" s="60"/>
      <c r="L44" s="60"/>
      <c r="M44" s="60"/>
      <c r="N44" s="60"/>
      <c r="O44" s="60"/>
      <c r="P44" s="178"/>
    </row>
    <row r="45" spans="2:16" ht="17.25" customHeight="1" outlineLevel="1" x14ac:dyDescent="0.2">
      <c r="B45" s="118"/>
      <c r="C45" s="129"/>
      <c r="D45" s="151"/>
      <c r="E45" s="118"/>
      <c r="F45" s="118"/>
      <c r="G45" s="140"/>
      <c r="H45" s="84" t="s">
        <v>6</v>
      </c>
      <c r="I45" s="83">
        <f>SUM(J45:O45)</f>
        <v>1.5</v>
      </c>
      <c r="J45" s="60"/>
      <c r="K45" s="60"/>
      <c r="L45" s="60"/>
      <c r="M45" s="60">
        <v>1.5</v>
      </c>
      <c r="N45" s="60"/>
      <c r="O45" s="60"/>
      <c r="P45" s="178"/>
    </row>
    <row r="46" spans="2:16" ht="17.25" customHeight="1" outlineLevel="1" x14ac:dyDescent="0.2">
      <c r="B46" s="119"/>
      <c r="C46" s="130"/>
      <c r="D46" s="152"/>
      <c r="E46" s="119"/>
      <c r="F46" s="119"/>
      <c r="G46" s="141"/>
      <c r="H46" s="84" t="s">
        <v>5</v>
      </c>
      <c r="I46" s="83"/>
      <c r="J46" s="60"/>
      <c r="K46" s="60"/>
      <c r="L46" s="60"/>
      <c r="M46" s="60"/>
      <c r="N46" s="60"/>
      <c r="O46" s="60"/>
      <c r="P46" s="178"/>
    </row>
    <row r="47" spans="2:16" ht="42.75" outlineLevel="1" x14ac:dyDescent="0.2">
      <c r="B47" s="117" t="s">
        <v>1493</v>
      </c>
      <c r="C47" s="128"/>
      <c r="D47" s="150" t="s">
        <v>1494</v>
      </c>
      <c r="E47" s="117">
        <v>2022</v>
      </c>
      <c r="F47" s="117"/>
      <c r="G47" s="139" t="s">
        <v>566</v>
      </c>
      <c r="H47" s="84" t="s">
        <v>3</v>
      </c>
      <c r="I47" s="83">
        <f>SUM(J47:O47)</f>
        <v>0.7</v>
      </c>
      <c r="J47" s="60"/>
      <c r="K47" s="60"/>
      <c r="L47" s="60">
        <v>0.7</v>
      </c>
      <c r="M47" s="60"/>
      <c r="N47" s="60"/>
      <c r="O47" s="60"/>
      <c r="P47" s="178">
        <v>1399</v>
      </c>
    </row>
    <row r="48" spans="2:16" ht="17.25" customHeight="1" outlineLevel="1" x14ac:dyDescent="0.2">
      <c r="B48" s="118"/>
      <c r="C48" s="129"/>
      <c r="D48" s="151"/>
      <c r="E48" s="118"/>
      <c r="F48" s="118"/>
      <c r="G48" s="140"/>
      <c r="H48" s="84" t="s">
        <v>4</v>
      </c>
      <c r="I48" s="83"/>
      <c r="J48" s="60"/>
      <c r="K48" s="60"/>
      <c r="L48" s="60"/>
      <c r="M48" s="60"/>
      <c r="N48" s="60"/>
      <c r="O48" s="60"/>
      <c r="P48" s="178"/>
    </row>
    <row r="49" spans="2:17" ht="17.25" customHeight="1" outlineLevel="1" x14ac:dyDescent="0.2">
      <c r="B49" s="118"/>
      <c r="C49" s="129"/>
      <c r="D49" s="151"/>
      <c r="E49" s="118"/>
      <c r="F49" s="118"/>
      <c r="G49" s="140"/>
      <c r="H49" s="84" t="s">
        <v>6</v>
      </c>
      <c r="I49" s="83">
        <f>SUM(J49:O49)</f>
        <v>0.7</v>
      </c>
      <c r="J49" s="60"/>
      <c r="K49" s="60"/>
      <c r="L49" s="60">
        <v>0.7</v>
      </c>
      <c r="M49" s="60"/>
      <c r="N49" s="60"/>
      <c r="O49" s="60"/>
      <c r="P49" s="178"/>
    </row>
    <row r="50" spans="2:17" ht="17.25" customHeight="1" outlineLevel="1" x14ac:dyDescent="0.2">
      <c r="B50" s="119"/>
      <c r="C50" s="130"/>
      <c r="D50" s="152"/>
      <c r="E50" s="119"/>
      <c r="F50" s="119"/>
      <c r="G50" s="141"/>
      <c r="H50" s="84" t="s">
        <v>5</v>
      </c>
      <c r="I50" s="83"/>
      <c r="J50" s="60"/>
      <c r="K50" s="60"/>
      <c r="L50" s="60"/>
      <c r="M50" s="60"/>
      <c r="N50" s="60"/>
      <c r="O50" s="60"/>
      <c r="P50" s="178"/>
    </row>
    <row r="51" spans="2:17" ht="42.75" x14ac:dyDescent="0.2">
      <c r="B51" s="128" t="s">
        <v>37</v>
      </c>
      <c r="C51" s="128" t="s">
        <v>38</v>
      </c>
      <c r="D51" s="128" t="s">
        <v>38</v>
      </c>
      <c r="E51" s="128" t="s">
        <v>38</v>
      </c>
      <c r="F51" s="128" t="s">
        <v>38</v>
      </c>
      <c r="G51" s="128" t="s">
        <v>38</v>
      </c>
      <c r="H51" s="84" t="s">
        <v>3</v>
      </c>
      <c r="I51" s="14">
        <f>SUMIF($H$31:$H$50,"Объем*",I$31:I$50)</f>
        <v>8.1999999999999993</v>
      </c>
      <c r="J51" s="14">
        <f t="shared" ref="J51:O51" si="10">SUMIF($H$31:$H$50,"Объем*",J$31:J$50)</f>
        <v>0</v>
      </c>
      <c r="K51" s="14">
        <f t="shared" si="10"/>
        <v>2</v>
      </c>
      <c r="L51" s="14">
        <f t="shared" si="10"/>
        <v>2.7</v>
      </c>
      <c r="M51" s="14">
        <f t="shared" si="10"/>
        <v>1.5</v>
      </c>
      <c r="N51" s="14">
        <f t="shared" si="10"/>
        <v>2</v>
      </c>
      <c r="O51" s="14">
        <f t="shared" si="10"/>
        <v>0</v>
      </c>
      <c r="P51" s="128"/>
      <c r="Q51" s="7"/>
    </row>
    <row r="52" spans="2:17" ht="15.75" x14ac:dyDescent="0.2">
      <c r="B52" s="129"/>
      <c r="C52" s="129"/>
      <c r="D52" s="129"/>
      <c r="E52" s="129"/>
      <c r="F52" s="129"/>
      <c r="G52" s="129"/>
      <c r="H52" s="84" t="s">
        <v>4</v>
      </c>
      <c r="I52" s="14">
        <f>SUMIF($H$31:$H$50,"фед*",I$31:I$50)</f>
        <v>0</v>
      </c>
      <c r="J52" s="14">
        <f t="shared" ref="J52:O52" si="11">SUMIF($H$31:$H$50,"фед*",J$31:J$50)</f>
        <v>0</v>
      </c>
      <c r="K52" s="14">
        <f t="shared" si="11"/>
        <v>0</v>
      </c>
      <c r="L52" s="14">
        <f t="shared" si="11"/>
        <v>0</v>
      </c>
      <c r="M52" s="14">
        <f t="shared" si="11"/>
        <v>0</v>
      </c>
      <c r="N52" s="14">
        <f t="shared" si="11"/>
        <v>0</v>
      </c>
      <c r="O52" s="14">
        <f t="shared" si="11"/>
        <v>0</v>
      </c>
      <c r="P52" s="129"/>
    </row>
    <row r="53" spans="2:17" ht="15.75" x14ac:dyDescent="0.2">
      <c r="B53" s="129"/>
      <c r="C53" s="129"/>
      <c r="D53" s="129"/>
      <c r="E53" s="129"/>
      <c r="F53" s="129"/>
      <c r="G53" s="129"/>
      <c r="H53" s="84" t="s">
        <v>6</v>
      </c>
      <c r="I53" s="14">
        <f>SUMIF($H$31:$H$50,"конс*",I$31:I$50)</f>
        <v>8.1999999999999993</v>
      </c>
      <c r="J53" s="14">
        <f t="shared" ref="J53:O53" si="12">SUMIF($H$31:$H$50,"конс*",J$31:J$50)</f>
        <v>0</v>
      </c>
      <c r="K53" s="14">
        <f t="shared" si="12"/>
        <v>2</v>
      </c>
      <c r="L53" s="14">
        <f t="shared" si="12"/>
        <v>2.7</v>
      </c>
      <c r="M53" s="14">
        <f t="shared" si="12"/>
        <v>1.5</v>
      </c>
      <c r="N53" s="14">
        <f t="shared" si="12"/>
        <v>2</v>
      </c>
      <c r="O53" s="14">
        <f t="shared" si="12"/>
        <v>0</v>
      </c>
      <c r="P53" s="129"/>
    </row>
    <row r="54" spans="2:17" ht="15.75" x14ac:dyDescent="0.2">
      <c r="B54" s="130"/>
      <c r="C54" s="130"/>
      <c r="D54" s="130"/>
      <c r="E54" s="130"/>
      <c r="F54" s="130"/>
      <c r="G54" s="130"/>
      <c r="H54" s="84" t="s">
        <v>5</v>
      </c>
      <c r="I54" s="14">
        <f>SUMIF($H$31:$H$50,"вне*",I$31:I$50)</f>
        <v>0</v>
      </c>
      <c r="J54" s="14">
        <f t="shared" ref="J54:O54" si="13">SUMIF($H$31:$H$50,"вне*",J$31:J$50)</f>
        <v>0</v>
      </c>
      <c r="K54" s="14">
        <f t="shared" si="13"/>
        <v>0</v>
      </c>
      <c r="L54" s="14">
        <f t="shared" si="13"/>
        <v>0</v>
      </c>
      <c r="M54" s="14">
        <f t="shared" si="13"/>
        <v>0</v>
      </c>
      <c r="N54" s="14">
        <f t="shared" si="13"/>
        <v>0</v>
      </c>
      <c r="O54" s="14">
        <f t="shared" si="13"/>
        <v>0</v>
      </c>
      <c r="P54" s="130"/>
    </row>
    <row r="55" spans="2:17" ht="25.5" customHeight="1" x14ac:dyDescent="0.2">
      <c r="B55" s="111" t="s">
        <v>159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</row>
    <row r="56" spans="2:17" ht="42.75" outlineLevel="1" x14ac:dyDescent="0.2">
      <c r="B56" s="117" t="s">
        <v>1495</v>
      </c>
      <c r="C56" s="128"/>
      <c r="D56" s="150" t="s">
        <v>1496</v>
      </c>
      <c r="E56" s="117">
        <v>2020</v>
      </c>
      <c r="F56" s="117"/>
      <c r="G56" s="139" t="s">
        <v>566</v>
      </c>
      <c r="H56" s="84" t="s">
        <v>3</v>
      </c>
      <c r="I56" s="83">
        <f>SUM(J56:O56)</f>
        <v>0.3</v>
      </c>
      <c r="J56" s="83">
        <f t="shared" ref="J56:O56" si="14">J57+J58+J59</f>
        <v>0.3</v>
      </c>
      <c r="K56" s="83">
        <f t="shared" si="14"/>
        <v>0</v>
      </c>
      <c r="L56" s="83">
        <f t="shared" si="14"/>
        <v>0</v>
      </c>
      <c r="M56" s="83">
        <f t="shared" si="14"/>
        <v>0</v>
      </c>
      <c r="N56" s="83">
        <f t="shared" si="14"/>
        <v>0</v>
      </c>
      <c r="O56" s="83">
        <f t="shared" si="14"/>
        <v>0</v>
      </c>
      <c r="P56" s="178">
        <v>94</v>
      </c>
    </row>
    <row r="57" spans="2:17" ht="17.25" customHeight="1" outlineLevel="1" x14ac:dyDescent="0.2">
      <c r="B57" s="118"/>
      <c r="C57" s="129"/>
      <c r="D57" s="151"/>
      <c r="E57" s="118"/>
      <c r="F57" s="118"/>
      <c r="G57" s="140"/>
      <c r="H57" s="84" t="s">
        <v>4</v>
      </c>
      <c r="I57" s="83"/>
      <c r="J57" s="83"/>
      <c r="K57" s="83"/>
      <c r="L57" s="75"/>
      <c r="M57" s="83"/>
      <c r="N57" s="83"/>
      <c r="O57" s="83"/>
      <c r="P57" s="178"/>
    </row>
    <row r="58" spans="2:17" ht="17.25" customHeight="1" outlineLevel="1" x14ac:dyDescent="0.2">
      <c r="B58" s="118"/>
      <c r="C58" s="129"/>
      <c r="D58" s="151"/>
      <c r="E58" s="118"/>
      <c r="F58" s="118"/>
      <c r="G58" s="140"/>
      <c r="H58" s="84" t="s">
        <v>6</v>
      </c>
      <c r="I58" s="83">
        <f>SUM(J58:O58)</f>
        <v>0.3</v>
      </c>
      <c r="J58" s="83">
        <v>0.3</v>
      </c>
      <c r="K58" s="83"/>
      <c r="L58" s="75"/>
      <c r="M58" s="83"/>
      <c r="N58" s="83"/>
      <c r="O58" s="83"/>
      <c r="P58" s="178"/>
    </row>
    <row r="59" spans="2:17" ht="17.25" customHeight="1" outlineLevel="1" x14ac:dyDescent="0.2">
      <c r="B59" s="119"/>
      <c r="C59" s="130"/>
      <c r="D59" s="152"/>
      <c r="E59" s="119"/>
      <c r="F59" s="119"/>
      <c r="G59" s="141"/>
      <c r="H59" s="84" t="s">
        <v>5</v>
      </c>
      <c r="I59" s="83"/>
      <c r="J59" s="75"/>
      <c r="K59" s="75"/>
      <c r="L59" s="75"/>
      <c r="M59" s="75"/>
      <c r="N59" s="75"/>
      <c r="O59" s="75"/>
      <c r="P59" s="178"/>
    </row>
    <row r="60" spans="2:17" ht="42.75" outlineLevel="1" x14ac:dyDescent="0.2">
      <c r="B60" s="117" t="s">
        <v>1497</v>
      </c>
      <c r="C60" s="128"/>
      <c r="D60" s="150" t="s">
        <v>1498</v>
      </c>
      <c r="E60" s="117">
        <v>2020</v>
      </c>
      <c r="F60" s="117"/>
      <c r="G60" s="139" t="s">
        <v>566</v>
      </c>
      <c r="H60" s="84" t="s">
        <v>3</v>
      </c>
      <c r="I60" s="83">
        <f>SUM(J60:O60)</f>
        <v>0.42</v>
      </c>
      <c r="J60" s="83">
        <f t="shared" ref="J60:O60" si="15">J61+J62+J63</f>
        <v>0.42</v>
      </c>
      <c r="K60" s="83">
        <f t="shared" si="15"/>
        <v>0</v>
      </c>
      <c r="L60" s="83">
        <f t="shared" si="15"/>
        <v>0</v>
      </c>
      <c r="M60" s="83">
        <f t="shared" si="15"/>
        <v>0</v>
      </c>
      <c r="N60" s="83">
        <f t="shared" si="15"/>
        <v>0</v>
      </c>
      <c r="O60" s="83">
        <f t="shared" si="15"/>
        <v>0</v>
      </c>
      <c r="P60" s="178">
        <v>271</v>
      </c>
    </row>
    <row r="61" spans="2:17" ht="17.25" customHeight="1" outlineLevel="1" x14ac:dyDescent="0.2">
      <c r="B61" s="118"/>
      <c r="C61" s="129"/>
      <c r="D61" s="151"/>
      <c r="E61" s="118"/>
      <c r="F61" s="118"/>
      <c r="G61" s="140"/>
      <c r="H61" s="84" t="s">
        <v>4</v>
      </c>
      <c r="I61" s="83"/>
      <c r="J61" s="83"/>
      <c r="K61" s="83"/>
      <c r="L61" s="75"/>
      <c r="M61" s="83"/>
      <c r="N61" s="83"/>
      <c r="O61" s="83"/>
      <c r="P61" s="178"/>
    </row>
    <row r="62" spans="2:17" ht="17.25" customHeight="1" outlineLevel="1" x14ac:dyDescent="0.2">
      <c r="B62" s="118"/>
      <c r="C62" s="129"/>
      <c r="D62" s="151"/>
      <c r="E62" s="118"/>
      <c r="F62" s="118"/>
      <c r="G62" s="140"/>
      <c r="H62" s="84" t="s">
        <v>6</v>
      </c>
      <c r="I62" s="83">
        <f>SUM(J62:O62)</f>
        <v>0.42</v>
      </c>
      <c r="J62" s="83">
        <v>0.42</v>
      </c>
      <c r="K62" s="83"/>
      <c r="L62" s="75"/>
      <c r="M62" s="83"/>
      <c r="N62" s="83"/>
      <c r="O62" s="83"/>
      <c r="P62" s="178"/>
    </row>
    <row r="63" spans="2:17" ht="17.25" customHeight="1" outlineLevel="1" x14ac:dyDescent="0.2">
      <c r="B63" s="119"/>
      <c r="C63" s="130"/>
      <c r="D63" s="152"/>
      <c r="E63" s="119"/>
      <c r="F63" s="119"/>
      <c r="G63" s="141"/>
      <c r="H63" s="84" t="s">
        <v>5</v>
      </c>
      <c r="I63" s="83"/>
      <c r="J63" s="75"/>
      <c r="K63" s="75"/>
      <c r="L63" s="75"/>
      <c r="M63" s="75"/>
      <c r="N63" s="75"/>
      <c r="O63" s="75"/>
      <c r="P63" s="178"/>
    </row>
    <row r="64" spans="2:17" ht="42.75" outlineLevel="1" x14ac:dyDescent="0.2">
      <c r="B64" s="117" t="s">
        <v>1482</v>
      </c>
      <c r="C64" s="128"/>
      <c r="D64" s="150" t="s">
        <v>1499</v>
      </c>
      <c r="E64" s="117">
        <v>2020</v>
      </c>
      <c r="F64" s="117"/>
      <c r="G64" s="139" t="s">
        <v>566</v>
      </c>
      <c r="H64" s="84" t="s">
        <v>3</v>
      </c>
      <c r="I64" s="83">
        <f>SUM(J64:O64)</f>
        <v>0.86</v>
      </c>
      <c r="J64" s="83">
        <f t="shared" ref="J64:O64" si="16">J65+J66+J67</f>
        <v>0.86</v>
      </c>
      <c r="K64" s="83">
        <f t="shared" si="16"/>
        <v>0</v>
      </c>
      <c r="L64" s="83">
        <f t="shared" si="16"/>
        <v>0</v>
      </c>
      <c r="M64" s="83">
        <f t="shared" si="16"/>
        <v>0</v>
      </c>
      <c r="N64" s="83">
        <f t="shared" si="16"/>
        <v>0</v>
      </c>
      <c r="O64" s="83">
        <f t="shared" si="16"/>
        <v>0</v>
      </c>
      <c r="P64" s="178">
        <v>354</v>
      </c>
    </row>
    <row r="65" spans="2:16" ht="17.25" customHeight="1" outlineLevel="1" x14ac:dyDescent="0.2">
      <c r="B65" s="118"/>
      <c r="C65" s="129"/>
      <c r="D65" s="151"/>
      <c r="E65" s="118"/>
      <c r="F65" s="118"/>
      <c r="G65" s="140"/>
      <c r="H65" s="84" t="s">
        <v>4</v>
      </c>
      <c r="I65" s="83"/>
      <c r="J65" s="83"/>
      <c r="K65" s="83"/>
      <c r="L65" s="75"/>
      <c r="M65" s="83"/>
      <c r="N65" s="83"/>
      <c r="O65" s="83"/>
      <c r="P65" s="178"/>
    </row>
    <row r="66" spans="2:16" ht="17.25" customHeight="1" outlineLevel="1" x14ac:dyDescent="0.2">
      <c r="B66" s="118"/>
      <c r="C66" s="129"/>
      <c r="D66" s="151"/>
      <c r="E66" s="118"/>
      <c r="F66" s="118"/>
      <c r="G66" s="140"/>
      <c r="H66" s="84" t="s">
        <v>6</v>
      </c>
      <c r="I66" s="83">
        <f>SUM(J66:O66)</f>
        <v>0.86</v>
      </c>
      <c r="J66" s="83">
        <v>0.86</v>
      </c>
      <c r="K66" s="83"/>
      <c r="L66" s="75"/>
      <c r="M66" s="83"/>
      <c r="N66" s="83"/>
      <c r="O66" s="83"/>
      <c r="P66" s="178"/>
    </row>
    <row r="67" spans="2:16" ht="17.25" customHeight="1" outlineLevel="1" x14ac:dyDescent="0.2">
      <c r="B67" s="119"/>
      <c r="C67" s="130"/>
      <c r="D67" s="152"/>
      <c r="E67" s="119"/>
      <c r="F67" s="119"/>
      <c r="G67" s="141"/>
      <c r="H67" s="84" t="s">
        <v>5</v>
      </c>
      <c r="I67" s="83"/>
      <c r="J67" s="75"/>
      <c r="K67" s="75"/>
      <c r="L67" s="75"/>
      <c r="M67" s="75"/>
      <c r="N67" s="75"/>
      <c r="O67" s="75"/>
      <c r="P67" s="178"/>
    </row>
    <row r="68" spans="2:16" ht="42.75" outlineLevel="1" x14ac:dyDescent="0.2">
      <c r="B68" s="117" t="s">
        <v>1500</v>
      </c>
      <c r="C68" s="128"/>
      <c r="D68" s="150" t="s">
        <v>1501</v>
      </c>
      <c r="E68" s="117">
        <v>2020</v>
      </c>
      <c r="F68" s="117"/>
      <c r="G68" s="139" t="s">
        <v>566</v>
      </c>
      <c r="H68" s="84" t="s">
        <v>3</v>
      </c>
      <c r="I68" s="83">
        <f>SUM(J68:O68)</f>
        <v>0.15</v>
      </c>
      <c r="J68" s="83">
        <f t="shared" ref="J68:O68" si="17">J69+J70+J71</f>
        <v>0.15</v>
      </c>
      <c r="K68" s="83">
        <f t="shared" si="17"/>
        <v>0</v>
      </c>
      <c r="L68" s="83">
        <f t="shared" si="17"/>
        <v>0</v>
      </c>
      <c r="M68" s="83">
        <f t="shared" si="17"/>
        <v>0</v>
      </c>
      <c r="N68" s="83">
        <f t="shared" si="17"/>
        <v>0</v>
      </c>
      <c r="O68" s="83">
        <f t="shared" si="17"/>
        <v>0</v>
      </c>
      <c r="P68" s="178">
        <v>31</v>
      </c>
    </row>
    <row r="69" spans="2:16" ht="17.25" customHeight="1" outlineLevel="1" x14ac:dyDescent="0.2">
      <c r="B69" s="118"/>
      <c r="C69" s="129"/>
      <c r="D69" s="151"/>
      <c r="E69" s="118"/>
      <c r="F69" s="118"/>
      <c r="G69" s="140"/>
      <c r="H69" s="84" t="s">
        <v>4</v>
      </c>
      <c r="I69" s="83"/>
      <c r="J69" s="83"/>
      <c r="K69" s="83"/>
      <c r="L69" s="75"/>
      <c r="M69" s="83"/>
      <c r="N69" s="83"/>
      <c r="O69" s="83"/>
      <c r="P69" s="178"/>
    </row>
    <row r="70" spans="2:16" ht="17.25" customHeight="1" outlineLevel="1" x14ac:dyDescent="0.2">
      <c r="B70" s="118"/>
      <c r="C70" s="129"/>
      <c r="D70" s="151"/>
      <c r="E70" s="118"/>
      <c r="F70" s="118"/>
      <c r="G70" s="140"/>
      <c r="H70" s="84" t="s">
        <v>6</v>
      </c>
      <c r="I70" s="83">
        <f>SUM(J70:O70)</f>
        <v>0.15</v>
      </c>
      <c r="J70" s="83">
        <v>0.15</v>
      </c>
      <c r="K70" s="83"/>
      <c r="L70" s="75"/>
      <c r="M70" s="83"/>
      <c r="N70" s="83"/>
      <c r="O70" s="83"/>
      <c r="P70" s="178"/>
    </row>
    <row r="71" spans="2:16" ht="17.25" customHeight="1" outlineLevel="1" x14ac:dyDescent="0.2">
      <c r="B71" s="119"/>
      <c r="C71" s="130"/>
      <c r="D71" s="152"/>
      <c r="E71" s="119"/>
      <c r="F71" s="119"/>
      <c r="G71" s="141"/>
      <c r="H71" s="84" t="s">
        <v>5</v>
      </c>
      <c r="I71" s="83"/>
      <c r="J71" s="75"/>
      <c r="K71" s="75"/>
      <c r="L71" s="75"/>
      <c r="M71" s="75"/>
      <c r="N71" s="75"/>
      <c r="O71" s="75"/>
      <c r="P71" s="178"/>
    </row>
    <row r="72" spans="2:16" ht="42.75" outlineLevel="1" x14ac:dyDescent="0.2">
      <c r="B72" s="117" t="s">
        <v>1482</v>
      </c>
      <c r="C72" s="128"/>
      <c r="D72" s="150" t="s">
        <v>1502</v>
      </c>
      <c r="E72" s="117">
        <v>2020</v>
      </c>
      <c r="F72" s="117"/>
      <c r="G72" s="139" t="s">
        <v>566</v>
      </c>
      <c r="H72" s="84" t="s">
        <v>3</v>
      </c>
      <c r="I72" s="83">
        <f>SUM(J72:O72)</f>
        <v>0.39</v>
      </c>
      <c r="J72" s="83">
        <f t="shared" ref="J72:O72" si="18">J73+J74+J75</f>
        <v>0.39</v>
      </c>
      <c r="K72" s="83">
        <f t="shared" si="18"/>
        <v>0</v>
      </c>
      <c r="L72" s="83">
        <f t="shared" si="18"/>
        <v>0</v>
      </c>
      <c r="M72" s="83">
        <f t="shared" si="18"/>
        <v>0</v>
      </c>
      <c r="N72" s="83">
        <f t="shared" si="18"/>
        <v>0</v>
      </c>
      <c r="O72" s="83">
        <f t="shared" si="18"/>
        <v>0</v>
      </c>
      <c r="P72" s="178">
        <v>272</v>
      </c>
    </row>
    <row r="73" spans="2:16" ht="17.25" customHeight="1" outlineLevel="1" x14ac:dyDescent="0.2">
      <c r="B73" s="118"/>
      <c r="C73" s="129"/>
      <c r="D73" s="151"/>
      <c r="E73" s="118"/>
      <c r="F73" s="118"/>
      <c r="G73" s="140"/>
      <c r="H73" s="84" t="s">
        <v>4</v>
      </c>
      <c r="I73" s="83"/>
      <c r="J73" s="83"/>
      <c r="K73" s="83"/>
      <c r="L73" s="75"/>
      <c r="M73" s="83"/>
      <c r="N73" s="83"/>
      <c r="O73" s="83"/>
      <c r="P73" s="178"/>
    </row>
    <row r="74" spans="2:16" ht="17.25" customHeight="1" outlineLevel="1" x14ac:dyDescent="0.2">
      <c r="B74" s="118"/>
      <c r="C74" s="129"/>
      <c r="D74" s="151"/>
      <c r="E74" s="118"/>
      <c r="F74" s="118"/>
      <c r="G74" s="140"/>
      <c r="H74" s="84" t="s">
        <v>6</v>
      </c>
      <c r="I74" s="83">
        <f>SUM(J74:O74)</f>
        <v>0.39</v>
      </c>
      <c r="J74" s="83">
        <v>0.39</v>
      </c>
      <c r="K74" s="83"/>
      <c r="L74" s="75"/>
      <c r="M74" s="83"/>
      <c r="N74" s="83"/>
      <c r="O74" s="83"/>
      <c r="P74" s="178"/>
    </row>
    <row r="75" spans="2:16" ht="17.25" customHeight="1" outlineLevel="1" x14ac:dyDescent="0.2">
      <c r="B75" s="119"/>
      <c r="C75" s="130"/>
      <c r="D75" s="152"/>
      <c r="E75" s="119"/>
      <c r="F75" s="119"/>
      <c r="G75" s="141"/>
      <c r="H75" s="84" t="s">
        <v>5</v>
      </c>
      <c r="I75" s="83"/>
      <c r="J75" s="75"/>
      <c r="K75" s="75"/>
      <c r="L75" s="75"/>
      <c r="M75" s="75"/>
      <c r="N75" s="75"/>
      <c r="O75" s="75"/>
      <c r="P75" s="178"/>
    </row>
    <row r="76" spans="2:16" ht="42.75" outlineLevel="1" x14ac:dyDescent="0.2">
      <c r="B76" s="117" t="s">
        <v>1503</v>
      </c>
      <c r="C76" s="128"/>
      <c r="D76" s="150" t="s">
        <v>1504</v>
      </c>
      <c r="E76" s="117">
        <v>2020</v>
      </c>
      <c r="F76" s="117"/>
      <c r="G76" s="139" t="s">
        <v>566</v>
      </c>
      <c r="H76" s="84" t="s">
        <v>3</v>
      </c>
      <c r="I76" s="83">
        <f>SUM(J76:O76)</f>
        <v>0.3</v>
      </c>
      <c r="J76" s="83">
        <f t="shared" ref="J76:O76" si="19">J77+J78+J79</f>
        <v>0.3</v>
      </c>
      <c r="K76" s="83">
        <f t="shared" si="19"/>
        <v>0</v>
      </c>
      <c r="L76" s="83">
        <f t="shared" si="19"/>
        <v>0</v>
      </c>
      <c r="M76" s="83">
        <f t="shared" si="19"/>
        <v>0</v>
      </c>
      <c r="N76" s="83">
        <f t="shared" si="19"/>
        <v>0</v>
      </c>
      <c r="O76" s="83">
        <f t="shared" si="19"/>
        <v>0</v>
      </c>
      <c r="P76" s="178">
        <v>139</v>
      </c>
    </row>
    <row r="77" spans="2:16" ht="17.25" customHeight="1" outlineLevel="1" x14ac:dyDescent="0.2">
      <c r="B77" s="118"/>
      <c r="C77" s="129"/>
      <c r="D77" s="151"/>
      <c r="E77" s="118"/>
      <c r="F77" s="118"/>
      <c r="G77" s="140"/>
      <c r="H77" s="84" t="s">
        <v>4</v>
      </c>
      <c r="I77" s="83"/>
      <c r="J77" s="83"/>
      <c r="K77" s="83"/>
      <c r="L77" s="75"/>
      <c r="M77" s="83"/>
      <c r="N77" s="83"/>
      <c r="O77" s="83"/>
      <c r="P77" s="178"/>
    </row>
    <row r="78" spans="2:16" ht="17.25" customHeight="1" outlineLevel="1" x14ac:dyDescent="0.2">
      <c r="B78" s="118"/>
      <c r="C78" s="129"/>
      <c r="D78" s="151"/>
      <c r="E78" s="118"/>
      <c r="F78" s="118"/>
      <c r="G78" s="140"/>
      <c r="H78" s="84" t="s">
        <v>6</v>
      </c>
      <c r="I78" s="83">
        <f>SUM(J78:O78)</f>
        <v>0.3</v>
      </c>
      <c r="J78" s="83">
        <v>0.3</v>
      </c>
      <c r="K78" s="83"/>
      <c r="L78" s="75"/>
      <c r="M78" s="83"/>
      <c r="N78" s="83"/>
      <c r="O78" s="83"/>
      <c r="P78" s="178"/>
    </row>
    <row r="79" spans="2:16" ht="17.25" customHeight="1" outlineLevel="1" x14ac:dyDescent="0.2">
      <c r="B79" s="119"/>
      <c r="C79" s="130"/>
      <c r="D79" s="152"/>
      <c r="E79" s="119"/>
      <c r="F79" s="119"/>
      <c r="G79" s="141"/>
      <c r="H79" s="84" t="s">
        <v>5</v>
      </c>
      <c r="I79" s="83"/>
      <c r="J79" s="75"/>
      <c r="K79" s="75"/>
      <c r="L79" s="75"/>
      <c r="M79" s="75"/>
      <c r="N79" s="75"/>
      <c r="O79" s="75"/>
      <c r="P79" s="178"/>
    </row>
    <row r="80" spans="2:16" ht="42.75" outlineLevel="1" x14ac:dyDescent="0.2">
      <c r="B80" s="117" t="s">
        <v>1505</v>
      </c>
      <c r="C80" s="128"/>
      <c r="D80" s="150" t="s">
        <v>1506</v>
      </c>
      <c r="E80" s="117">
        <v>2020</v>
      </c>
      <c r="F80" s="117"/>
      <c r="G80" s="139" t="s">
        <v>566</v>
      </c>
      <c r="H80" s="84" t="s">
        <v>3</v>
      </c>
      <c r="I80" s="83">
        <f>SUM(J80:O80)</f>
        <v>0.35</v>
      </c>
      <c r="J80" s="83">
        <f t="shared" ref="J80:O80" si="20">J81+J82+J83</f>
        <v>0.35</v>
      </c>
      <c r="K80" s="83">
        <f t="shared" si="20"/>
        <v>0</v>
      </c>
      <c r="L80" s="83">
        <f t="shared" si="20"/>
        <v>0</v>
      </c>
      <c r="M80" s="83">
        <f t="shared" si="20"/>
        <v>0</v>
      </c>
      <c r="N80" s="83">
        <f t="shared" si="20"/>
        <v>0</v>
      </c>
      <c r="O80" s="83">
        <f t="shared" si="20"/>
        <v>0</v>
      </c>
      <c r="P80" s="178">
        <v>103</v>
      </c>
    </row>
    <row r="81" spans="2:17" ht="17.25" customHeight="1" outlineLevel="1" x14ac:dyDescent="0.2">
      <c r="B81" s="118"/>
      <c r="C81" s="129"/>
      <c r="D81" s="151"/>
      <c r="E81" s="118"/>
      <c r="F81" s="118"/>
      <c r="G81" s="140"/>
      <c r="H81" s="84" t="s">
        <v>4</v>
      </c>
      <c r="I81" s="83"/>
      <c r="J81" s="83"/>
      <c r="K81" s="83"/>
      <c r="L81" s="75"/>
      <c r="M81" s="83"/>
      <c r="N81" s="83"/>
      <c r="O81" s="83"/>
      <c r="P81" s="178"/>
    </row>
    <row r="82" spans="2:17" ht="17.25" customHeight="1" outlineLevel="1" x14ac:dyDescent="0.2">
      <c r="B82" s="118"/>
      <c r="C82" s="129"/>
      <c r="D82" s="151"/>
      <c r="E82" s="118"/>
      <c r="F82" s="118"/>
      <c r="G82" s="140"/>
      <c r="H82" s="84" t="s">
        <v>6</v>
      </c>
      <c r="I82" s="83">
        <f>SUM(J82:O82)</f>
        <v>0.35</v>
      </c>
      <c r="J82" s="83">
        <v>0.35</v>
      </c>
      <c r="K82" s="83"/>
      <c r="L82" s="75"/>
      <c r="M82" s="83"/>
      <c r="N82" s="83"/>
      <c r="O82" s="83"/>
      <c r="P82" s="178"/>
    </row>
    <row r="83" spans="2:17" ht="17.25" customHeight="1" outlineLevel="1" x14ac:dyDescent="0.2">
      <c r="B83" s="119"/>
      <c r="C83" s="130"/>
      <c r="D83" s="152"/>
      <c r="E83" s="119"/>
      <c r="F83" s="119"/>
      <c r="G83" s="141"/>
      <c r="H83" s="84" t="s">
        <v>5</v>
      </c>
      <c r="I83" s="83"/>
      <c r="J83" s="75"/>
      <c r="K83" s="75"/>
      <c r="L83" s="75"/>
      <c r="M83" s="75"/>
      <c r="N83" s="75"/>
      <c r="O83" s="75"/>
      <c r="P83" s="178"/>
    </row>
    <row r="84" spans="2:17" ht="42.75" outlineLevel="1" x14ac:dyDescent="0.2">
      <c r="B84" s="117" t="s">
        <v>1507</v>
      </c>
      <c r="C84" s="128"/>
      <c r="D84" s="150" t="s">
        <v>1508</v>
      </c>
      <c r="E84" s="117">
        <v>2020</v>
      </c>
      <c r="F84" s="117"/>
      <c r="G84" s="139" t="s">
        <v>566</v>
      </c>
      <c r="H84" s="84" t="s">
        <v>3</v>
      </c>
      <c r="I84" s="83">
        <f>SUM(J84:O84)</f>
        <v>0.4</v>
      </c>
      <c r="J84" s="83">
        <f t="shared" ref="J84:O84" si="21">J85+J86+J87</f>
        <v>0.4</v>
      </c>
      <c r="K84" s="83">
        <f t="shared" si="21"/>
        <v>0</v>
      </c>
      <c r="L84" s="83">
        <f t="shared" si="21"/>
        <v>0</v>
      </c>
      <c r="M84" s="83">
        <f t="shared" si="21"/>
        <v>0</v>
      </c>
      <c r="N84" s="83">
        <f t="shared" si="21"/>
        <v>0</v>
      </c>
      <c r="O84" s="83">
        <f t="shared" si="21"/>
        <v>0</v>
      </c>
      <c r="P84" s="178">
        <v>324</v>
      </c>
    </row>
    <row r="85" spans="2:17" ht="17.25" customHeight="1" outlineLevel="1" x14ac:dyDescent="0.2">
      <c r="B85" s="118"/>
      <c r="C85" s="129"/>
      <c r="D85" s="151"/>
      <c r="E85" s="118"/>
      <c r="F85" s="118"/>
      <c r="G85" s="140"/>
      <c r="H85" s="84" t="s">
        <v>4</v>
      </c>
      <c r="I85" s="83"/>
      <c r="J85" s="83"/>
      <c r="K85" s="83"/>
      <c r="L85" s="75"/>
      <c r="M85" s="83"/>
      <c r="N85" s="83"/>
      <c r="O85" s="83"/>
      <c r="P85" s="178"/>
    </row>
    <row r="86" spans="2:17" ht="17.25" customHeight="1" outlineLevel="1" x14ac:dyDescent="0.2">
      <c r="B86" s="118"/>
      <c r="C86" s="129"/>
      <c r="D86" s="151"/>
      <c r="E86" s="118"/>
      <c r="F86" s="118"/>
      <c r="G86" s="140"/>
      <c r="H86" s="84" t="s">
        <v>6</v>
      </c>
      <c r="I86" s="83">
        <f>SUM(J86:O86)</f>
        <v>0.4</v>
      </c>
      <c r="J86" s="83">
        <v>0.4</v>
      </c>
      <c r="K86" s="83"/>
      <c r="L86" s="75"/>
      <c r="M86" s="83"/>
      <c r="N86" s="83"/>
      <c r="O86" s="83"/>
      <c r="P86" s="178"/>
    </row>
    <row r="87" spans="2:17" ht="17.25" customHeight="1" outlineLevel="1" x14ac:dyDescent="0.2">
      <c r="B87" s="119"/>
      <c r="C87" s="130"/>
      <c r="D87" s="152"/>
      <c r="E87" s="119"/>
      <c r="F87" s="119"/>
      <c r="G87" s="141"/>
      <c r="H87" s="84" t="s">
        <v>5</v>
      </c>
      <c r="I87" s="83"/>
      <c r="J87" s="75"/>
      <c r="K87" s="75"/>
      <c r="L87" s="75"/>
      <c r="M87" s="75"/>
      <c r="N87" s="75"/>
      <c r="O87" s="75"/>
      <c r="P87" s="178"/>
    </row>
    <row r="88" spans="2:17" ht="42.75" x14ac:dyDescent="0.2">
      <c r="B88" s="128" t="s">
        <v>173</v>
      </c>
      <c r="C88" s="128" t="s">
        <v>38</v>
      </c>
      <c r="D88" s="128" t="s">
        <v>38</v>
      </c>
      <c r="E88" s="128" t="s">
        <v>38</v>
      </c>
      <c r="F88" s="128" t="s">
        <v>38</v>
      </c>
      <c r="G88" s="128" t="s">
        <v>38</v>
      </c>
      <c r="H88" s="84" t="s">
        <v>3</v>
      </c>
      <c r="I88" s="14">
        <f>SUMIF($H$56:$H$87,"Объем*",I$56:I$87)</f>
        <v>3.17</v>
      </c>
      <c r="J88" s="14">
        <f t="shared" ref="J88:O88" si="22">SUMIF($H$56:$H$87,"Объем*",J$56:J$87)</f>
        <v>3.17</v>
      </c>
      <c r="K88" s="14">
        <f t="shared" si="22"/>
        <v>0</v>
      </c>
      <c r="L88" s="14">
        <f t="shared" si="22"/>
        <v>0</v>
      </c>
      <c r="M88" s="14">
        <f t="shared" si="22"/>
        <v>0</v>
      </c>
      <c r="N88" s="14">
        <f t="shared" si="22"/>
        <v>0</v>
      </c>
      <c r="O88" s="14">
        <f t="shared" si="22"/>
        <v>0</v>
      </c>
      <c r="P88" s="128"/>
      <c r="Q88" s="7"/>
    </row>
    <row r="89" spans="2:17" ht="15.75" x14ac:dyDescent="0.2">
      <c r="B89" s="129"/>
      <c r="C89" s="129"/>
      <c r="D89" s="129"/>
      <c r="E89" s="129"/>
      <c r="F89" s="129"/>
      <c r="G89" s="129"/>
      <c r="H89" s="84" t="s">
        <v>4</v>
      </c>
      <c r="I89" s="14">
        <f>SUMIF($H$56:$H$87,"фед*",I$56:I$87)</f>
        <v>0</v>
      </c>
      <c r="J89" s="14">
        <f t="shared" ref="J89:O89" si="23">SUMIF($H$56:$H$87,"фед*",J$56:J$87)</f>
        <v>0</v>
      </c>
      <c r="K89" s="14">
        <f t="shared" si="23"/>
        <v>0</v>
      </c>
      <c r="L89" s="14">
        <f t="shared" si="23"/>
        <v>0</v>
      </c>
      <c r="M89" s="14">
        <f t="shared" si="23"/>
        <v>0</v>
      </c>
      <c r="N89" s="14">
        <f t="shared" si="23"/>
        <v>0</v>
      </c>
      <c r="O89" s="14">
        <f t="shared" si="23"/>
        <v>0</v>
      </c>
      <c r="P89" s="129"/>
    </row>
    <row r="90" spans="2:17" ht="15.75" x14ac:dyDescent="0.2">
      <c r="B90" s="129"/>
      <c r="C90" s="129"/>
      <c r="D90" s="129"/>
      <c r="E90" s="129"/>
      <c r="F90" s="129"/>
      <c r="G90" s="129"/>
      <c r="H90" s="84" t="s">
        <v>6</v>
      </c>
      <c r="I90" s="14">
        <f>SUMIF($H$56:$H$87,"конс*",I$56:I$87)</f>
        <v>3.17</v>
      </c>
      <c r="J90" s="14">
        <f t="shared" ref="J90:O90" si="24">SUMIF($H$56:$H$87,"конс*",J$56:J$87)</f>
        <v>3.17</v>
      </c>
      <c r="K90" s="14">
        <f t="shared" si="24"/>
        <v>0</v>
      </c>
      <c r="L90" s="14">
        <f t="shared" si="24"/>
        <v>0</v>
      </c>
      <c r="M90" s="14">
        <f t="shared" si="24"/>
        <v>0</v>
      </c>
      <c r="N90" s="14">
        <f t="shared" si="24"/>
        <v>0</v>
      </c>
      <c r="O90" s="14">
        <f t="shared" si="24"/>
        <v>0</v>
      </c>
      <c r="P90" s="129"/>
    </row>
    <row r="91" spans="2:17" ht="15.75" x14ac:dyDescent="0.2">
      <c r="B91" s="130"/>
      <c r="C91" s="130"/>
      <c r="D91" s="130"/>
      <c r="E91" s="130"/>
      <c r="F91" s="130"/>
      <c r="G91" s="130"/>
      <c r="H91" s="84" t="s">
        <v>5</v>
      </c>
      <c r="I91" s="14">
        <f>SUMIF($H$56:$H$87,"вне*",I$56:I$87)</f>
        <v>0</v>
      </c>
      <c r="J91" s="14">
        <f t="shared" ref="J91:O91" si="25">SUMIF($H$56:$H$87,"вне*",J$56:J$87)</f>
        <v>0</v>
      </c>
      <c r="K91" s="14">
        <f t="shared" si="25"/>
        <v>0</v>
      </c>
      <c r="L91" s="14">
        <f t="shared" si="25"/>
        <v>0</v>
      </c>
      <c r="M91" s="14">
        <f t="shared" si="25"/>
        <v>0</v>
      </c>
      <c r="N91" s="14">
        <f t="shared" si="25"/>
        <v>0</v>
      </c>
      <c r="O91" s="14">
        <f t="shared" si="25"/>
        <v>0</v>
      </c>
      <c r="P91" s="130"/>
    </row>
    <row r="92" spans="2:17" ht="25.5" customHeight="1" x14ac:dyDescent="0.2">
      <c r="B92" s="111" t="s">
        <v>174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3"/>
    </row>
    <row r="93" spans="2:17" ht="42.75" outlineLevel="1" x14ac:dyDescent="0.2">
      <c r="B93" s="117" t="s">
        <v>1509</v>
      </c>
      <c r="C93" s="128"/>
      <c r="D93" s="150" t="s">
        <v>1510</v>
      </c>
      <c r="E93" s="117">
        <v>2021</v>
      </c>
      <c r="F93" s="117"/>
      <c r="G93" s="139" t="s">
        <v>566</v>
      </c>
      <c r="H93" s="84" t="s">
        <v>3</v>
      </c>
      <c r="I93" s="83">
        <f>SUM(J93:O93)</f>
        <v>0.5</v>
      </c>
      <c r="J93" s="83">
        <f t="shared" ref="J93:O93" si="26">J94+J95+J96</f>
        <v>0</v>
      </c>
      <c r="K93" s="83">
        <f t="shared" si="26"/>
        <v>0.5</v>
      </c>
      <c r="L93" s="83">
        <f t="shared" si="26"/>
        <v>0</v>
      </c>
      <c r="M93" s="83">
        <f t="shared" si="26"/>
        <v>0</v>
      </c>
      <c r="N93" s="83">
        <f t="shared" si="26"/>
        <v>0</v>
      </c>
      <c r="O93" s="83">
        <f t="shared" si="26"/>
        <v>0</v>
      </c>
      <c r="P93" s="178">
        <v>456</v>
      </c>
    </row>
    <row r="94" spans="2:17" ht="17.25" customHeight="1" outlineLevel="1" x14ac:dyDescent="0.2">
      <c r="B94" s="118"/>
      <c r="C94" s="129"/>
      <c r="D94" s="151"/>
      <c r="E94" s="118"/>
      <c r="F94" s="118"/>
      <c r="G94" s="140"/>
      <c r="H94" s="84" t="s">
        <v>4</v>
      </c>
      <c r="I94" s="83"/>
      <c r="J94" s="83"/>
      <c r="K94" s="83"/>
      <c r="L94" s="75"/>
      <c r="M94" s="83"/>
      <c r="N94" s="83"/>
      <c r="O94" s="83"/>
      <c r="P94" s="178"/>
    </row>
    <row r="95" spans="2:17" ht="17.25" customHeight="1" outlineLevel="1" x14ac:dyDescent="0.2">
      <c r="B95" s="118"/>
      <c r="C95" s="129"/>
      <c r="D95" s="151"/>
      <c r="E95" s="118"/>
      <c r="F95" s="118"/>
      <c r="G95" s="140"/>
      <c r="H95" s="84" t="s">
        <v>6</v>
      </c>
      <c r="I95" s="83">
        <f>SUM(J95:O95)</f>
        <v>0.5</v>
      </c>
      <c r="J95" s="83"/>
      <c r="K95" s="83">
        <v>0.5</v>
      </c>
      <c r="L95" s="75"/>
      <c r="M95" s="83"/>
      <c r="N95" s="83"/>
      <c r="O95" s="83"/>
      <c r="P95" s="178"/>
    </row>
    <row r="96" spans="2:17" ht="17.25" customHeight="1" outlineLevel="1" x14ac:dyDescent="0.2">
      <c r="B96" s="119"/>
      <c r="C96" s="130"/>
      <c r="D96" s="152"/>
      <c r="E96" s="119"/>
      <c r="F96" s="119"/>
      <c r="G96" s="141"/>
      <c r="H96" s="84" t="s">
        <v>5</v>
      </c>
      <c r="I96" s="83"/>
      <c r="J96" s="75"/>
      <c r="K96" s="75"/>
      <c r="L96" s="75"/>
      <c r="M96" s="75"/>
      <c r="N96" s="75"/>
      <c r="O96" s="75"/>
      <c r="P96" s="178"/>
    </row>
    <row r="97" spans="2:17" ht="42.75" outlineLevel="1" x14ac:dyDescent="0.2">
      <c r="B97" s="117" t="s">
        <v>1511</v>
      </c>
      <c r="C97" s="128"/>
      <c r="D97" s="150" t="s">
        <v>1512</v>
      </c>
      <c r="E97" s="117">
        <v>2020</v>
      </c>
      <c r="F97" s="117"/>
      <c r="G97" s="139" t="s">
        <v>566</v>
      </c>
      <c r="H97" s="84" t="s">
        <v>3</v>
      </c>
      <c r="I97" s="83">
        <f>SUM(J97:O97)</f>
        <v>0.1</v>
      </c>
      <c r="J97" s="83">
        <f t="shared" ref="J97:O97" si="27">J98+J99+J100</f>
        <v>0.1</v>
      </c>
      <c r="K97" s="83">
        <f t="shared" si="27"/>
        <v>0</v>
      </c>
      <c r="L97" s="83">
        <f t="shared" si="27"/>
        <v>0</v>
      </c>
      <c r="M97" s="83">
        <f t="shared" si="27"/>
        <v>0</v>
      </c>
      <c r="N97" s="83">
        <f t="shared" si="27"/>
        <v>0</v>
      </c>
      <c r="O97" s="83">
        <f t="shared" si="27"/>
        <v>0</v>
      </c>
      <c r="P97" s="178">
        <v>230</v>
      </c>
    </row>
    <row r="98" spans="2:17" ht="17.25" customHeight="1" outlineLevel="1" x14ac:dyDescent="0.2">
      <c r="B98" s="118"/>
      <c r="C98" s="129"/>
      <c r="D98" s="151"/>
      <c r="E98" s="118"/>
      <c r="F98" s="118"/>
      <c r="G98" s="140"/>
      <c r="H98" s="84" t="s">
        <v>4</v>
      </c>
      <c r="I98" s="83"/>
      <c r="J98" s="83"/>
      <c r="K98" s="83"/>
      <c r="L98" s="75"/>
      <c r="M98" s="83"/>
      <c r="N98" s="83"/>
      <c r="O98" s="83"/>
      <c r="P98" s="178"/>
    </row>
    <row r="99" spans="2:17" ht="17.25" customHeight="1" outlineLevel="1" x14ac:dyDescent="0.2">
      <c r="B99" s="118"/>
      <c r="C99" s="129"/>
      <c r="D99" s="151"/>
      <c r="E99" s="118"/>
      <c r="F99" s="118"/>
      <c r="G99" s="140"/>
      <c r="H99" s="84" t="s">
        <v>6</v>
      </c>
      <c r="I99" s="83">
        <f>SUM(J99:O99)</f>
        <v>0.1</v>
      </c>
      <c r="J99" s="83">
        <v>0.1</v>
      </c>
      <c r="K99" s="83"/>
      <c r="L99" s="75"/>
      <c r="M99" s="83"/>
      <c r="N99" s="83"/>
      <c r="O99" s="83"/>
      <c r="P99" s="178"/>
    </row>
    <row r="100" spans="2:17" ht="17.25" customHeight="1" outlineLevel="1" x14ac:dyDescent="0.2">
      <c r="B100" s="119"/>
      <c r="C100" s="130"/>
      <c r="D100" s="152"/>
      <c r="E100" s="119"/>
      <c r="F100" s="119"/>
      <c r="G100" s="141"/>
      <c r="H100" s="84" t="s">
        <v>5</v>
      </c>
      <c r="I100" s="83"/>
      <c r="J100" s="75"/>
      <c r="K100" s="75"/>
      <c r="L100" s="75"/>
      <c r="M100" s="75"/>
      <c r="N100" s="75"/>
      <c r="O100" s="75"/>
      <c r="P100" s="178"/>
    </row>
    <row r="101" spans="2:17" ht="42.75" x14ac:dyDescent="0.2">
      <c r="B101" s="128" t="s">
        <v>197</v>
      </c>
      <c r="C101" s="128" t="s">
        <v>38</v>
      </c>
      <c r="D101" s="128" t="s">
        <v>38</v>
      </c>
      <c r="E101" s="128" t="s">
        <v>38</v>
      </c>
      <c r="F101" s="128" t="s">
        <v>38</v>
      </c>
      <c r="G101" s="128" t="s">
        <v>38</v>
      </c>
      <c r="H101" s="84" t="s">
        <v>3</v>
      </c>
      <c r="I101" s="14">
        <f>SUMIF($H$93:$H$100,"Объем*",I$93:I$100)</f>
        <v>0.6</v>
      </c>
      <c r="J101" s="14">
        <f t="shared" ref="J101:O101" si="28">SUMIF($H$93:$H$100,"Объем*",J$93:J$100)</f>
        <v>0.1</v>
      </c>
      <c r="K101" s="14">
        <f t="shared" si="28"/>
        <v>0.5</v>
      </c>
      <c r="L101" s="14">
        <f t="shared" si="28"/>
        <v>0</v>
      </c>
      <c r="M101" s="14">
        <f t="shared" si="28"/>
        <v>0</v>
      </c>
      <c r="N101" s="14">
        <f t="shared" si="28"/>
        <v>0</v>
      </c>
      <c r="O101" s="14">
        <f t="shared" si="28"/>
        <v>0</v>
      </c>
      <c r="P101" s="128"/>
      <c r="Q101" s="7"/>
    </row>
    <row r="102" spans="2:17" ht="15.75" x14ac:dyDescent="0.2">
      <c r="B102" s="129"/>
      <c r="C102" s="129"/>
      <c r="D102" s="129"/>
      <c r="E102" s="129"/>
      <c r="F102" s="129"/>
      <c r="G102" s="129"/>
      <c r="H102" s="84" t="s">
        <v>4</v>
      </c>
      <c r="I102" s="14">
        <f>SUMIF($H$93:$H$100,"фед*",I$93:I$100)</f>
        <v>0</v>
      </c>
      <c r="J102" s="14">
        <f t="shared" ref="J102:O102" si="29">SUMIF($H$93:$H$100,"фед*",J$93:J$100)</f>
        <v>0</v>
      </c>
      <c r="K102" s="14">
        <f t="shared" si="29"/>
        <v>0</v>
      </c>
      <c r="L102" s="14">
        <f t="shared" si="29"/>
        <v>0</v>
      </c>
      <c r="M102" s="14">
        <f t="shared" si="29"/>
        <v>0</v>
      </c>
      <c r="N102" s="14">
        <f t="shared" si="29"/>
        <v>0</v>
      </c>
      <c r="O102" s="14">
        <f t="shared" si="29"/>
        <v>0</v>
      </c>
      <c r="P102" s="129"/>
    </row>
    <row r="103" spans="2:17" ht="15.75" x14ac:dyDescent="0.2">
      <c r="B103" s="129"/>
      <c r="C103" s="129"/>
      <c r="D103" s="129"/>
      <c r="E103" s="129"/>
      <c r="F103" s="129"/>
      <c r="G103" s="129"/>
      <c r="H103" s="84" t="s">
        <v>6</v>
      </c>
      <c r="I103" s="14">
        <f>SUMIF($H$93:$H$100,"конс*",I$93:I$100)</f>
        <v>0.6</v>
      </c>
      <c r="J103" s="14">
        <f t="shared" ref="J103:O103" si="30">SUMIF($H$93:$H$100,"конс*",J$93:J$100)</f>
        <v>0.1</v>
      </c>
      <c r="K103" s="14">
        <f t="shared" si="30"/>
        <v>0.5</v>
      </c>
      <c r="L103" s="14">
        <f t="shared" si="30"/>
        <v>0</v>
      </c>
      <c r="M103" s="14">
        <f t="shared" si="30"/>
        <v>0</v>
      </c>
      <c r="N103" s="14">
        <f t="shared" si="30"/>
        <v>0</v>
      </c>
      <c r="O103" s="14">
        <f t="shared" si="30"/>
        <v>0</v>
      </c>
      <c r="P103" s="129"/>
    </row>
    <row r="104" spans="2:17" ht="15.75" x14ac:dyDescent="0.2">
      <c r="B104" s="130"/>
      <c r="C104" s="130"/>
      <c r="D104" s="130"/>
      <c r="E104" s="130"/>
      <c r="F104" s="130"/>
      <c r="G104" s="130"/>
      <c r="H104" s="84" t="s">
        <v>5</v>
      </c>
      <c r="I104" s="14">
        <f>SUMIF($H$93:$H$100,"вне*",I$93:I$100)</f>
        <v>0</v>
      </c>
      <c r="J104" s="14">
        <f t="shared" ref="J104:O104" si="31">SUMIF($H$93:$H$100,"вне*",J$93:J$100)</f>
        <v>0</v>
      </c>
      <c r="K104" s="14">
        <f t="shared" si="31"/>
        <v>0</v>
      </c>
      <c r="L104" s="14">
        <f t="shared" si="31"/>
        <v>0</v>
      </c>
      <c r="M104" s="14">
        <f t="shared" si="31"/>
        <v>0</v>
      </c>
      <c r="N104" s="14">
        <f t="shared" si="31"/>
        <v>0</v>
      </c>
      <c r="O104" s="14">
        <f t="shared" si="31"/>
        <v>0</v>
      </c>
      <c r="P104" s="130"/>
    </row>
    <row r="105" spans="2:17" ht="25.5" customHeight="1" x14ac:dyDescent="0.2">
      <c r="B105" s="111" t="s">
        <v>39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3"/>
    </row>
    <row r="106" spans="2:17" ht="42.75" outlineLevel="1" x14ac:dyDescent="0.2">
      <c r="B106" s="117" t="s">
        <v>1513</v>
      </c>
      <c r="C106" s="128"/>
      <c r="D106" s="150" t="s">
        <v>1514</v>
      </c>
      <c r="E106" s="117">
        <v>2021</v>
      </c>
      <c r="F106" s="180"/>
      <c r="G106" s="139" t="s">
        <v>566</v>
      </c>
      <c r="H106" s="84" t="s">
        <v>3</v>
      </c>
      <c r="I106" s="83">
        <f>SUM(J106:O106)</f>
        <v>0.89</v>
      </c>
      <c r="J106" s="83">
        <f t="shared" ref="J106:O106" si="32">J107+J108+J109</f>
        <v>0</v>
      </c>
      <c r="K106" s="83">
        <f t="shared" si="32"/>
        <v>0.89</v>
      </c>
      <c r="L106" s="83">
        <f t="shared" si="32"/>
        <v>0</v>
      </c>
      <c r="M106" s="83">
        <f t="shared" si="32"/>
        <v>0</v>
      </c>
      <c r="N106" s="83">
        <f t="shared" si="32"/>
        <v>0</v>
      </c>
      <c r="O106" s="83">
        <f t="shared" si="32"/>
        <v>0</v>
      </c>
      <c r="P106" s="178">
        <v>206</v>
      </c>
    </row>
    <row r="107" spans="2:17" outlineLevel="1" x14ac:dyDescent="0.2">
      <c r="B107" s="118"/>
      <c r="C107" s="129"/>
      <c r="D107" s="151"/>
      <c r="E107" s="118"/>
      <c r="F107" s="181"/>
      <c r="G107" s="140"/>
      <c r="H107" s="84" t="s">
        <v>4</v>
      </c>
      <c r="I107" s="83"/>
      <c r="J107" s="83"/>
      <c r="K107" s="83"/>
      <c r="L107" s="75"/>
      <c r="M107" s="83"/>
      <c r="N107" s="83"/>
      <c r="O107" s="83"/>
      <c r="P107" s="178"/>
    </row>
    <row r="108" spans="2:17" outlineLevel="1" x14ac:dyDescent="0.2">
      <c r="B108" s="118"/>
      <c r="C108" s="129"/>
      <c r="D108" s="151"/>
      <c r="E108" s="118"/>
      <c r="F108" s="181"/>
      <c r="G108" s="140"/>
      <c r="H108" s="84" t="s">
        <v>6</v>
      </c>
      <c r="I108" s="83">
        <f>SUM(J108:O108)</f>
        <v>0.89</v>
      </c>
      <c r="J108" s="83"/>
      <c r="K108" s="83">
        <v>0.89</v>
      </c>
      <c r="L108" s="75"/>
      <c r="M108" s="83"/>
      <c r="N108" s="83"/>
      <c r="O108" s="83"/>
      <c r="P108" s="178"/>
    </row>
    <row r="109" spans="2:17" outlineLevel="1" x14ac:dyDescent="0.2">
      <c r="B109" s="119"/>
      <c r="C109" s="130"/>
      <c r="D109" s="152"/>
      <c r="E109" s="119"/>
      <c r="F109" s="182"/>
      <c r="G109" s="141"/>
      <c r="H109" s="84" t="s">
        <v>5</v>
      </c>
      <c r="I109" s="83"/>
      <c r="J109" s="75"/>
      <c r="K109" s="75"/>
      <c r="L109" s="75"/>
      <c r="M109" s="75"/>
      <c r="N109" s="75"/>
      <c r="O109" s="75"/>
      <c r="P109" s="178"/>
    </row>
    <row r="110" spans="2:17" ht="42.75" outlineLevel="1" x14ac:dyDescent="0.2">
      <c r="B110" s="117" t="s">
        <v>1515</v>
      </c>
      <c r="C110" s="128"/>
      <c r="D110" s="150" t="s">
        <v>39</v>
      </c>
      <c r="E110" s="117">
        <v>2021</v>
      </c>
      <c r="F110" s="180"/>
      <c r="G110" s="139"/>
      <c r="H110" s="84" t="s">
        <v>3</v>
      </c>
      <c r="I110" s="83">
        <f>SUM(J110:O110)</f>
        <v>39</v>
      </c>
      <c r="J110" s="83">
        <f t="shared" ref="J110:O110" si="33">J111+J112+J113</f>
        <v>0</v>
      </c>
      <c r="K110" s="83">
        <f t="shared" si="33"/>
        <v>7.8</v>
      </c>
      <c r="L110" s="83">
        <f t="shared" si="33"/>
        <v>7.8</v>
      </c>
      <c r="M110" s="83">
        <f t="shared" si="33"/>
        <v>7.8</v>
      </c>
      <c r="N110" s="83">
        <f t="shared" si="33"/>
        <v>7.8</v>
      </c>
      <c r="O110" s="83">
        <f t="shared" si="33"/>
        <v>7.8</v>
      </c>
      <c r="P110" s="178"/>
    </row>
    <row r="111" spans="2:17" ht="15" customHeight="1" outlineLevel="1" x14ac:dyDescent="0.2">
      <c r="B111" s="118"/>
      <c r="C111" s="129"/>
      <c r="D111" s="151"/>
      <c r="E111" s="118"/>
      <c r="F111" s="181"/>
      <c r="G111" s="140"/>
      <c r="H111" s="84" t="s">
        <v>4</v>
      </c>
      <c r="I111" s="83"/>
      <c r="J111" s="83"/>
      <c r="K111" s="83"/>
      <c r="L111" s="75"/>
      <c r="M111" s="83"/>
      <c r="N111" s="83"/>
      <c r="O111" s="83"/>
      <c r="P111" s="178"/>
    </row>
    <row r="112" spans="2:17" ht="15" customHeight="1" outlineLevel="1" x14ac:dyDescent="0.2">
      <c r="B112" s="118"/>
      <c r="C112" s="129"/>
      <c r="D112" s="151"/>
      <c r="E112" s="118"/>
      <c r="F112" s="181"/>
      <c r="G112" s="140"/>
      <c r="H112" s="84" t="s">
        <v>6</v>
      </c>
      <c r="I112" s="83">
        <f>SUM(J112:O112)</f>
        <v>39</v>
      </c>
      <c r="J112" s="83"/>
      <c r="K112" s="75">
        <v>7.8</v>
      </c>
      <c r="L112" s="75">
        <v>7.8</v>
      </c>
      <c r="M112" s="75">
        <v>7.8</v>
      </c>
      <c r="N112" s="75">
        <v>7.8</v>
      </c>
      <c r="O112" s="75">
        <v>7.8</v>
      </c>
      <c r="P112" s="178"/>
    </row>
    <row r="113" spans="2:17" ht="15" customHeight="1" outlineLevel="1" x14ac:dyDescent="0.2">
      <c r="B113" s="119"/>
      <c r="C113" s="130"/>
      <c r="D113" s="152"/>
      <c r="E113" s="119"/>
      <c r="F113" s="182"/>
      <c r="G113" s="141"/>
      <c r="H113" s="84" t="s">
        <v>5</v>
      </c>
      <c r="I113" s="83"/>
      <c r="J113" s="75"/>
      <c r="K113" s="75"/>
      <c r="L113" s="75"/>
      <c r="M113" s="75"/>
      <c r="N113" s="75"/>
      <c r="O113" s="75"/>
      <c r="P113" s="178"/>
    </row>
    <row r="114" spans="2:17" ht="42.75" x14ac:dyDescent="0.2">
      <c r="B114" s="128" t="s">
        <v>46</v>
      </c>
      <c r="C114" s="128" t="s">
        <v>38</v>
      </c>
      <c r="D114" s="128" t="s">
        <v>38</v>
      </c>
      <c r="E114" s="128" t="s">
        <v>38</v>
      </c>
      <c r="F114" s="128" t="s">
        <v>38</v>
      </c>
      <c r="G114" s="128" t="s">
        <v>38</v>
      </c>
      <c r="H114" s="84" t="s">
        <v>3</v>
      </c>
      <c r="I114" s="14">
        <f>SUMIF($H$106:$H$113,"Объем*",I$106:I$113)</f>
        <v>39.89</v>
      </c>
      <c r="J114" s="14">
        <f t="shared" ref="J114:O114" si="34">SUMIF($H$106:$H$113,"Объем*",J$106:J$113)</f>
        <v>0</v>
      </c>
      <c r="K114" s="14">
        <f t="shared" si="34"/>
        <v>8.69</v>
      </c>
      <c r="L114" s="14">
        <f t="shared" si="34"/>
        <v>7.8</v>
      </c>
      <c r="M114" s="14">
        <f t="shared" si="34"/>
        <v>7.8</v>
      </c>
      <c r="N114" s="14">
        <f t="shared" si="34"/>
        <v>7.8</v>
      </c>
      <c r="O114" s="14">
        <f t="shared" si="34"/>
        <v>7.8</v>
      </c>
      <c r="P114" s="128"/>
      <c r="Q114" s="7"/>
    </row>
    <row r="115" spans="2:17" ht="15.75" x14ac:dyDescent="0.2">
      <c r="B115" s="129"/>
      <c r="C115" s="129"/>
      <c r="D115" s="129"/>
      <c r="E115" s="129"/>
      <c r="F115" s="129"/>
      <c r="G115" s="129"/>
      <c r="H115" s="84" t="s">
        <v>4</v>
      </c>
      <c r="I115" s="14">
        <f>SUMIF($H$106:$H$113,"фед*",I$106:I$113)</f>
        <v>0</v>
      </c>
      <c r="J115" s="14">
        <f t="shared" ref="J115:O115" si="35">SUMIF($H$106:$H$113,"фед*",J$106:J$113)</f>
        <v>0</v>
      </c>
      <c r="K115" s="14">
        <f t="shared" si="35"/>
        <v>0</v>
      </c>
      <c r="L115" s="14">
        <f t="shared" si="35"/>
        <v>0</v>
      </c>
      <c r="M115" s="14">
        <f t="shared" si="35"/>
        <v>0</v>
      </c>
      <c r="N115" s="14">
        <f t="shared" si="35"/>
        <v>0</v>
      </c>
      <c r="O115" s="14">
        <f t="shared" si="35"/>
        <v>0</v>
      </c>
      <c r="P115" s="129"/>
    </row>
    <row r="116" spans="2:17" ht="15.75" x14ac:dyDescent="0.2">
      <c r="B116" s="129"/>
      <c r="C116" s="129"/>
      <c r="D116" s="129"/>
      <c r="E116" s="129"/>
      <c r="F116" s="129"/>
      <c r="G116" s="129"/>
      <c r="H116" s="84" t="s">
        <v>6</v>
      </c>
      <c r="I116" s="14">
        <f>SUMIF($H$106:$H$113,"конс*",I$106:I$113)</f>
        <v>39.89</v>
      </c>
      <c r="J116" s="14">
        <f t="shared" ref="J116:O116" si="36">SUMIF($H$106:$H$113,"конс*",J$106:J$113)</f>
        <v>0</v>
      </c>
      <c r="K116" s="14">
        <f t="shared" si="36"/>
        <v>8.69</v>
      </c>
      <c r="L116" s="14">
        <f t="shared" si="36"/>
        <v>7.8</v>
      </c>
      <c r="M116" s="14">
        <f t="shared" si="36"/>
        <v>7.8</v>
      </c>
      <c r="N116" s="14">
        <f t="shared" si="36"/>
        <v>7.8</v>
      </c>
      <c r="O116" s="14">
        <f t="shared" si="36"/>
        <v>7.8</v>
      </c>
      <c r="P116" s="129"/>
    </row>
    <row r="117" spans="2:17" ht="15.75" x14ac:dyDescent="0.2">
      <c r="B117" s="130"/>
      <c r="C117" s="130"/>
      <c r="D117" s="130"/>
      <c r="E117" s="130"/>
      <c r="F117" s="130"/>
      <c r="G117" s="130"/>
      <c r="H117" s="84" t="s">
        <v>5</v>
      </c>
      <c r="I117" s="14">
        <f>SUMIF($H$106:$H$113,"вне*",I$106:I$113)</f>
        <v>0</v>
      </c>
      <c r="J117" s="14">
        <f t="shared" ref="J117:O117" si="37">SUMIF($H$106:$H$113,"вне*",J$106:J$113)</f>
        <v>0</v>
      </c>
      <c r="K117" s="14">
        <f t="shared" si="37"/>
        <v>0</v>
      </c>
      <c r="L117" s="14">
        <f t="shared" si="37"/>
        <v>0</v>
      </c>
      <c r="M117" s="14">
        <f t="shared" si="37"/>
        <v>0</v>
      </c>
      <c r="N117" s="14">
        <f t="shared" si="37"/>
        <v>0</v>
      </c>
      <c r="O117" s="14">
        <f t="shared" si="37"/>
        <v>0</v>
      </c>
      <c r="P117" s="130"/>
    </row>
    <row r="118" spans="2:17" ht="25.5" customHeight="1" x14ac:dyDescent="0.2">
      <c r="B118" s="111" t="s">
        <v>289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3"/>
    </row>
    <row r="119" spans="2:17" ht="42.75" customHeight="1" outlineLevel="1" x14ac:dyDescent="0.2">
      <c r="B119" s="117" t="s">
        <v>1516</v>
      </c>
      <c r="C119" s="128"/>
      <c r="D119" s="150" t="s">
        <v>1517</v>
      </c>
      <c r="E119" s="117">
        <v>2021</v>
      </c>
      <c r="F119" s="117"/>
      <c r="G119" s="117" t="s">
        <v>67</v>
      </c>
      <c r="H119" s="84" t="s">
        <v>3</v>
      </c>
      <c r="I119" s="83">
        <f>SUM(J119:O119)</f>
        <v>0.29499999999999998</v>
      </c>
      <c r="J119" s="83">
        <f t="shared" ref="J119:O119" si="38">J120+J121+J122</f>
        <v>0</v>
      </c>
      <c r="K119" s="83">
        <f t="shared" si="38"/>
        <v>0.29499999999999998</v>
      </c>
      <c r="L119" s="83">
        <f t="shared" si="38"/>
        <v>0</v>
      </c>
      <c r="M119" s="83">
        <f t="shared" si="38"/>
        <v>0</v>
      </c>
      <c r="N119" s="83">
        <f t="shared" si="38"/>
        <v>0</v>
      </c>
      <c r="O119" s="83">
        <f t="shared" si="38"/>
        <v>0</v>
      </c>
      <c r="P119" s="178">
        <v>242</v>
      </c>
    </row>
    <row r="120" spans="2:17" ht="17.25" customHeight="1" outlineLevel="1" x14ac:dyDescent="0.2">
      <c r="B120" s="118"/>
      <c r="C120" s="129"/>
      <c r="D120" s="151"/>
      <c r="E120" s="118"/>
      <c r="F120" s="118"/>
      <c r="G120" s="118"/>
      <c r="H120" s="84" t="s">
        <v>4</v>
      </c>
      <c r="I120" s="83"/>
      <c r="J120" s="83"/>
      <c r="K120" s="83"/>
      <c r="L120" s="75"/>
      <c r="M120" s="83"/>
      <c r="N120" s="83"/>
      <c r="O120" s="83"/>
      <c r="P120" s="178"/>
    </row>
    <row r="121" spans="2:17" ht="17.25" customHeight="1" outlineLevel="1" x14ac:dyDescent="0.2">
      <c r="B121" s="118"/>
      <c r="C121" s="129"/>
      <c r="D121" s="151"/>
      <c r="E121" s="118"/>
      <c r="F121" s="118"/>
      <c r="G121" s="118"/>
      <c r="H121" s="84" t="s">
        <v>6</v>
      </c>
      <c r="I121" s="83">
        <f>SUM(J121:O121)</f>
        <v>0.29499999999999998</v>
      </c>
      <c r="J121" s="83"/>
      <c r="K121" s="83">
        <v>0.29499999999999998</v>
      </c>
      <c r="L121" s="75"/>
      <c r="M121" s="83"/>
      <c r="N121" s="83"/>
      <c r="O121" s="83"/>
      <c r="P121" s="178"/>
    </row>
    <row r="122" spans="2:17" ht="17.25" customHeight="1" outlineLevel="1" x14ac:dyDescent="0.2">
      <c r="B122" s="119"/>
      <c r="C122" s="130"/>
      <c r="D122" s="152"/>
      <c r="E122" s="119"/>
      <c r="F122" s="119"/>
      <c r="G122" s="119"/>
      <c r="H122" s="84" t="s">
        <v>5</v>
      </c>
      <c r="I122" s="83"/>
      <c r="J122" s="75"/>
      <c r="K122" s="75"/>
      <c r="L122" s="75"/>
      <c r="M122" s="75"/>
      <c r="N122" s="75"/>
      <c r="O122" s="75"/>
      <c r="P122" s="178"/>
    </row>
    <row r="123" spans="2:17" ht="42.75" outlineLevel="1" x14ac:dyDescent="0.2">
      <c r="B123" s="117" t="s">
        <v>1518</v>
      </c>
      <c r="C123" s="128"/>
      <c r="D123" s="150" t="s">
        <v>1519</v>
      </c>
      <c r="E123" s="117">
        <v>2020</v>
      </c>
      <c r="F123" s="117"/>
      <c r="G123" s="139" t="s">
        <v>566</v>
      </c>
      <c r="H123" s="84" t="s">
        <v>3</v>
      </c>
      <c r="I123" s="83">
        <f>SUM(J123:O123)</f>
        <v>0.4</v>
      </c>
      <c r="J123" s="83">
        <f t="shared" ref="J123:O123" si="39">J124+J125+J126</f>
        <v>0.4</v>
      </c>
      <c r="K123" s="83">
        <f t="shared" si="39"/>
        <v>0</v>
      </c>
      <c r="L123" s="83">
        <f t="shared" si="39"/>
        <v>0</v>
      </c>
      <c r="M123" s="83">
        <f t="shared" si="39"/>
        <v>0</v>
      </c>
      <c r="N123" s="83">
        <f t="shared" si="39"/>
        <v>0</v>
      </c>
      <c r="O123" s="83">
        <f t="shared" si="39"/>
        <v>0</v>
      </c>
      <c r="P123" s="178">
        <v>95</v>
      </c>
    </row>
    <row r="124" spans="2:17" ht="17.25" customHeight="1" outlineLevel="1" x14ac:dyDescent="0.2">
      <c r="B124" s="118"/>
      <c r="C124" s="129"/>
      <c r="D124" s="151"/>
      <c r="E124" s="118"/>
      <c r="F124" s="118"/>
      <c r="G124" s="140"/>
      <c r="H124" s="84" t="s">
        <v>4</v>
      </c>
      <c r="I124" s="83"/>
      <c r="J124" s="83"/>
      <c r="K124" s="83"/>
      <c r="L124" s="75"/>
      <c r="M124" s="83"/>
      <c r="N124" s="83"/>
      <c r="O124" s="83"/>
      <c r="P124" s="178"/>
    </row>
    <row r="125" spans="2:17" ht="17.25" customHeight="1" outlineLevel="1" x14ac:dyDescent="0.2">
      <c r="B125" s="118"/>
      <c r="C125" s="129"/>
      <c r="D125" s="151"/>
      <c r="E125" s="118"/>
      <c r="F125" s="118"/>
      <c r="G125" s="140"/>
      <c r="H125" s="84" t="s">
        <v>6</v>
      </c>
      <c r="I125" s="83">
        <f>SUM(J125:O125)</f>
        <v>0.4</v>
      </c>
      <c r="J125" s="83">
        <v>0.4</v>
      </c>
      <c r="K125" s="83"/>
      <c r="L125" s="75"/>
      <c r="M125" s="83"/>
      <c r="N125" s="83"/>
      <c r="O125" s="83"/>
      <c r="P125" s="178"/>
    </row>
    <row r="126" spans="2:17" ht="17.25" customHeight="1" outlineLevel="1" x14ac:dyDescent="0.2">
      <c r="B126" s="119"/>
      <c r="C126" s="130"/>
      <c r="D126" s="152"/>
      <c r="E126" s="119"/>
      <c r="F126" s="119"/>
      <c r="G126" s="141"/>
      <c r="H126" s="84" t="s">
        <v>5</v>
      </c>
      <c r="I126" s="83"/>
      <c r="J126" s="75"/>
      <c r="K126" s="75"/>
      <c r="L126" s="75"/>
      <c r="M126" s="75"/>
      <c r="N126" s="75"/>
      <c r="O126" s="75"/>
      <c r="P126" s="178"/>
    </row>
    <row r="127" spans="2:17" ht="42.75" outlineLevel="1" x14ac:dyDescent="0.2">
      <c r="B127" s="117" t="s">
        <v>1520</v>
      </c>
      <c r="C127" s="128"/>
      <c r="D127" s="150" t="s">
        <v>1521</v>
      </c>
      <c r="E127" s="117">
        <v>2020</v>
      </c>
      <c r="F127" s="117"/>
      <c r="G127" s="139" t="s">
        <v>566</v>
      </c>
      <c r="H127" s="84" t="s">
        <v>3</v>
      </c>
      <c r="I127" s="83">
        <f>SUM(J127:O127)</f>
        <v>8.3000000000000004E-2</v>
      </c>
      <c r="J127" s="83">
        <f t="shared" ref="J127:O127" si="40">J128+J129+J130</f>
        <v>8.3000000000000004E-2</v>
      </c>
      <c r="K127" s="83">
        <f t="shared" si="40"/>
        <v>0</v>
      </c>
      <c r="L127" s="83">
        <f t="shared" si="40"/>
        <v>0</v>
      </c>
      <c r="M127" s="83">
        <f t="shared" si="40"/>
        <v>0</v>
      </c>
      <c r="N127" s="83">
        <f t="shared" si="40"/>
        <v>0</v>
      </c>
      <c r="O127" s="83">
        <f t="shared" si="40"/>
        <v>0</v>
      </c>
      <c r="P127" s="178">
        <v>242</v>
      </c>
    </row>
    <row r="128" spans="2:17" ht="17.25" customHeight="1" outlineLevel="1" x14ac:dyDescent="0.2">
      <c r="B128" s="118"/>
      <c r="C128" s="129"/>
      <c r="D128" s="151"/>
      <c r="E128" s="118"/>
      <c r="F128" s="118"/>
      <c r="G128" s="140"/>
      <c r="H128" s="84" t="s">
        <v>4</v>
      </c>
      <c r="I128" s="83"/>
      <c r="J128" s="83"/>
      <c r="K128" s="83"/>
      <c r="L128" s="75"/>
      <c r="M128" s="83"/>
      <c r="N128" s="83"/>
      <c r="O128" s="83"/>
      <c r="P128" s="178"/>
    </row>
    <row r="129" spans="2:17" ht="17.25" customHeight="1" outlineLevel="1" x14ac:dyDescent="0.2">
      <c r="B129" s="118"/>
      <c r="C129" s="129"/>
      <c r="D129" s="151"/>
      <c r="E129" s="118"/>
      <c r="F129" s="118"/>
      <c r="G129" s="140"/>
      <c r="H129" s="84" t="s">
        <v>6</v>
      </c>
      <c r="I129" s="83">
        <f>SUM(J129:O129)</f>
        <v>8.3000000000000004E-2</v>
      </c>
      <c r="J129" s="83">
        <v>8.3000000000000004E-2</v>
      </c>
      <c r="K129" s="83"/>
      <c r="L129" s="75"/>
      <c r="M129" s="83"/>
      <c r="N129" s="83"/>
      <c r="O129" s="83"/>
      <c r="P129" s="178"/>
    </row>
    <row r="130" spans="2:17" ht="17.25" customHeight="1" outlineLevel="1" x14ac:dyDescent="0.2">
      <c r="B130" s="119"/>
      <c r="C130" s="130"/>
      <c r="D130" s="152"/>
      <c r="E130" s="119"/>
      <c r="F130" s="119"/>
      <c r="G130" s="141"/>
      <c r="H130" s="84" t="s">
        <v>5</v>
      </c>
      <c r="I130" s="83"/>
      <c r="J130" s="75"/>
      <c r="K130" s="75"/>
      <c r="L130" s="75"/>
      <c r="M130" s="75"/>
      <c r="N130" s="75"/>
      <c r="O130" s="75"/>
      <c r="P130" s="178"/>
    </row>
    <row r="131" spans="2:17" ht="42.75" x14ac:dyDescent="0.2">
      <c r="B131" s="128" t="s">
        <v>320</v>
      </c>
      <c r="C131" s="128" t="s">
        <v>38</v>
      </c>
      <c r="D131" s="128" t="s">
        <v>38</v>
      </c>
      <c r="E131" s="128" t="s">
        <v>38</v>
      </c>
      <c r="F131" s="128" t="s">
        <v>38</v>
      </c>
      <c r="G131" s="128" t="s">
        <v>38</v>
      </c>
      <c r="H131" s="84" t="s">
        <v>3</v>
      </c>
      <c r="I131" s="14">
        <f>SUMIF($H$119:$H$130,"Объем*",I$119:I$130)</f>
        <v>0.77800000000000002</v>
      </c>
      <c r="J131" s="14">
        <f t="shared" ref="J131:O131" si="41">SUMIF($H$119:$H$130,"Объем*",J$119:J$130)</f>
        <v>0.48300000000000004</v>
      </c>
      <c r="K131" s="14">
        <f t="shared" si="41"/>
        <v>0.29499999999999998</v>
      </c>
      <c r="L131" s="14">
        <f t="shared" si="41"/>
        <v>0</v>
      </c>
      <c r="M131" s="14">
        <f t="shared" si="41"/>
        <v>0</v>
      </c>
      <c r="N131" s="14">
        <f t="shared" si="41"/>
        <v>0</v>
      </c>
      <c r="O131" s="14">
        <f t="shared" si="41"/>
        <v>0</v>
      </c>
      <c r="P131" s="128"/>
      <c r="Q131" s="7"/>
    </row>
    <row r="132" spans="2:17" ht="15.75" x14ac:dyDescent="0.2">
      <c r="B132" s="129"/>
      <c r="C132" s="129"/>
      <c r="D132" s="129"/>
      <c r="E132" s="129"/>
      <c r="F132" s="129"/>
      <c r="G132" s="129"/>
      <c r="H132" s="84" t="s">
        <v>4</v>
      </c>
      <c r="I132" s="14">
        <f>SUMIF($H$119:$H$130,"фед*",I$119:I$130)</f>
        <v>0</v>
      </c>
      <c r="J132" s="14">
        <f t="shared" ref="J132:O132" si="42">SUMIF($H$119:$H$130,"фед*",J$119:J$130)</f>
        <v>0</v>
      </c>
      <c r="K132" s="14">
        <f t="shared" si="42"/>
        <v>0</v>
      </c>
      <c r="L132" s="14">
        <f t="shared" si="42"/>
        <v>0</v>
      </c>
      <c r="M132" s="14">
        <f t="shared" si="42"/>
        <v>0</v>
      </c>
      <c r="N132" s="14">
        <f t="shared" si="42"/>
        <v>0</v>
      </c>
      <c r="O132" s="14">
        <f t="shared" si="42"/>
        <v>0</v>
      </c>
      <c r="P132" s="129"/>
    </row>
    <row r="133" spans="2:17" ht="15.75" x14ac:dyDescent="0.2">
      <c r="B133" s="129"/>
      <c r="C133" s="129"/>
      <c r="D133" s="129"/>
      <c r="E133" s="129"/>
      <c r="F133" s="129"/>
      <c r="G133" s="129"/>
      <c r="H133" s="84" t="s">
        <v>6</v>
      </c>
      <c r="I133" s="14">
        <f>SUMIF($H$119:$H$130,"конс*",I$119:I$130)</f>
        <v>0.77800000000000002</v>
      </c>
      <c r="J133" s="14">
        <f t="shared" ref="J133:O133" si="43">SUMIF($H$119:$H$130,"конс*",J$119:J$130)</f>
        <v>0.48300000000000004</v>
      </c>
      <c r="K133" s="14">
        <f t="shared" si="43"/>
        <v>0.29499999999999998</v>
      </c>
      <c r="L133" s="14">
        <f t="shared" si="43"/>
        <v>0</v>
      </c>
      <c r="M133" s="14">
        <f t="shared" si="43"/>
        <v>0</v>
      </c>
      <c r="N133" s="14">
        <f t="shared" si="43"/>
        <v>0</v>
      </c>
      <c r="O133" s="14">
        <f t="shared" si="43"/>
        <v>0</v>
      </c>
      <c r="P133" s="129"/>
    </row>
    <row r="134" spans="2:17" ht="15.75" x14ac:dyDescent="0.2">
      <c r="B134" s="130"/>
      <c r="C134" s="130"/>
      <c r="D134" s="130"/>
      <c r="E134" s="130"/>
      <c r="F134" s="130"/>
      <c r="G134" s="130"/>
      <c r="H134" s="84" t="s">
        <v>5</v>
      </c>
      <c r="I134" s="14">
        <f>SUMIF($H$119:$H$130,"вне*",I$119:I$130)</f>
        <v>0</v>
      </c>
      <c r="J134" s="14">
        <f t="shared" ref="J134:O134" si="44">SUMIF($H$119:$H$130,"вне*",J$119:J$130)</f>
        <v>0</v>
      </c>
      <c r="K134" s="14">
        <f t="shared" si="44"/>
        <v>0</v>
      </c>
      <c r="L134" s="14">
        <f t="shared" si="44"/>
        <v>0</v>
      </c>
      <c r="M134" s="14">
        <f t="shared" si="44"/>
        <v>0</v>
      </c>
      <c r="N134" s="14">
        <f t="shared" si="44"/>
        <v>0</v>
      </c>
      <c r="O134" s="14">
        <f t="shared" si="44"/>
        <v>0</v>
      </c>
      <c r="P134" s="130"/>
    </row>
    <row r="135" spans="2:17" ht="25.5" customHeight="1" x14ac:dyDescent="0.2">
      <c r="B135" s="111" t="s">
        <v>338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3"/>
    </row>
    <row r="136" spans="2:17" ht="42.75" outlineLevel="1" x14ac:dyDescent="0.2">
      <c r="B136" s="117" t="s">
        <v>1522</v>
      </c>
      <c r="C136" s="128"/>
      <c r="D136" s="150" t="s">
        <v>1523</v>
      </c>
      <c r="E136" s="117">
        <v>2021</v>
      </c>
      <c r="F136" s="117"/>
      <c r="G136" s="139" t="s">
        <v>566</v>
      </c>
      <c r="H136" s="84" t="s">
        <v>3</v>
      </c>
      <c r="I136" s="83">
        <f>SUM(J136:O136)</f>
        <v>0.5</v>
      </c>
      <c r="J136" s="83">
        <f t="shared" ref="J136:O136" si="45">J137+J138+J139</f>
        <v>0</v>
      </c>
      <c r="K136" s="83">
        <f t="shared" si="45"/>
        <v>0.5</v>
      </c>
      <c r="L136" s="83">
        <f t="shared" si="45"/>
        <v>0</v>
      </c>
      <c r="M136" s="83">
        <f t="shared" si="45"/>
        <v>0</v>
      </c>
      <c r="N136" s="83">
        <f t="shared" si="45"/>
        <v>0</v>
      </c>
      <c r="O136" s="83">
        <f t="shared" si="45"/>
        <v>0</v>
      </c>
      <c r="P136" s="178">
        <v>30</v>
      </c>
    </row>
    <row r="137" spans="2:17" outlineLevel="1" x14ac:dyDescent="0.2">
      <c r="B137" s="118"/>
      <c r="C137" s="129"/>
      <c r="D137" s="151"/>
      <c r="E137" s="118"/>
      <c r="F137" s="118"/>
      <c r="G137" s="140"/>
      <c r="H137" s="84" t="s">
        <v>4</v>
      </c>
      <c r="I137" s="83"/>
      <c r="J137" s="83"/>
      <c r="K137" s="83"/>
      <c r="L137" s="75"/>
      <c r="M137" s="83"/>
      <c r="N137" s="83"/>
      <c r="O137" s="83"/>
      <c r="P137" s="178"/>
    </row>
    <row r="138" spans="2:17" outlineLevel="1" x14ac:dyDescent="0.2">
      <c r="B138" s="118"/>
      <c r="C138" s="129"/>
      <c r="D138" s="151"/>
      <c r="E138" s="118"/>
      <c r="F138" s="118"/>
      <c r="G138" s="140"/>
      <c r="H138" s="84" t="s">
        <v>6</v>
      </c>
      <c r="I138" s="83">
        <f>SUM(J138:O138)</f>
        <v>0.5</v>
      </c>
      <c r="J138" s="83"/>
      <c r="K138" s="83">
        <v>0.5</v>
      </c>
      <c r="L138" s="75"/>
      <c r="M138" s="83"/>
      <c r="N138" s="83"/>
      <c r="O138" s="83"/>
      <c r="P138" s="178"/>
    </row>
    <row r="139" spans="2:17" outlineLevel="1" x14ac:dyDescent="0.2">
      <c r="B139" s="119"/>
      <c r="C139" s="130"/>
      <c r="D139" s="152"/>
      <c r="E139" s="119"/>
      <c r="F139" s="119"/>
      <c r="G139" s="141"/>
      <c r="H139" s="84" t="s">
        <v>5</v>
      </c>
      <c r="I139" s="83"/>
      <c r="J139" s="75"/>
      <c r="K139" s="75"/>
      <c r="L139" s="75"/>
      <c r="M139" s="75"/>
      <c r="N139" s="75"/>
      <c r="O139" s="75"/>
      <c r="P139" s="178"/>
    </row>
    <row r="140" spans="2:17" ht="42.75" outlineLevel="1" x14ac:dyDescent="0.2">
      <c r="B140" s="117" t="s">
        <v>1524</v>
      </c>
      <c r="C140" s="128"/>
      <c r="D140" s="150" t="s">
        <v>1525</v>
      </c>
      <c r="E140" s="117">
        <v>2020</v>
      </c>
      <c r="F140" s="117"/>
      <c r="G140" s="117" t="s">
        <v>67</v>
      </c>
      <c r="H140" s="84" t="s">
        <v>3</v>
      </c>
      <c r="I140" s="83">
        <f>SUM(J140:O140)</f>
        <v>0.8</v>
      </c>
      <c r="J140" s="83">
        <f t="shared" ref="J140:O140" si="46">J141+J142+J143</f>
        <v>0.8</v>
      </c>
      <c r="K140" s="83">
        <f t="shared" si="46"/>
        <v>0</v>
      </c>
      <c r="L140" s="83">
        <f t="shared" si="46"/>
        <v>0</v>
      </c>
      <c r="M140" s="83">
        <f t="shared" si="46"/>
        <v>0</v>
      </c>
      <c r="N140" s="83">
        <f t="shared" si="46"/>
        <v>0</v>
      </c>
      <c r="O140" s="83">
        <f t="shared" si="46"/>
        <v>0</v>
      </c>
      <c r="P140" s="178">
        <v>656</v>
      </c>
    </row>
    <row r="141" spans="2:17" outlineLevel="1" x14ac:dyDescent="0.2">
      <c r="B141" s="118"/>
      <c r="C141" s="129"/>
      <c r="D141" s="151"/>
      <c r="E141" s="118"/>
      <c r="F141" s="118"/>
      <c r="G141" s="118"/>
      <c r="H141" s="84" t="s">
        <v>4</v>
      </c>
      <c r="I141" s="83"/>
      <c r="J141" s="83"/>
      <c r="K141" s="83"/>
      <c r="L141" s="75"/>
      <c r="M141" s="83"/>
      <c r="N141" s="83"/>
      <c r="O141" s="83"/>
      <c r="P141" s="178"/>
    </row>
    <row r="142" spans="2:17" outlineLevel="1" x14ac:dyDescent="0.2">
      <c r="B142" s="118"/>
      <c r="C142" s="129"/>
      <c r="D142" s="151"/>
      <c r="E142" s="118"/>
      <c r="F142" s="118"/>
      <c r="G142" s="118"/>
      <c r="H142" s="84" t="s">
        <v>6</v>
      </c>
      <c r="I142" s="83">
        <f>SUM(J142:O142)</f>
        <v>0.8</v>
      </c>
      <c r="J142" s="83">
        <v>0.8</v>
      </c>
      <c r="K142" s="83"/>
      <c r="L142" s="75"/>
      <c r="M142" s="83"/>
      <c r="N142" s="83"/>
      <c r="O142" s="83"/>
      <c r="P142" s="178"/>
    </row>
    <row r="143" spans="2:17" outlineLevel="1" x14ac:dyDescent="0.2">
      <c r="B143" s="119"/>
      <c r="C143" s="130"/>
      <c r="D143" s="152"/>
      <c r="E143" s="119"/>
      <c r="F143" s="119"/>
      <c r="G143" s="119"/>
      <c r="H143" s="84" t="s">
        <v>5</v>
      </c>
      <c r="I143" s="83"/>
      <c r="J143" s="75"/>
      <c r="K143" s="75"/>
      <c r="L143" s="75"/>
      <c r="M143" s="75"/>
      <c r="N143" s="75"/>
      <c r="O143" s="75"/>
      <c r="P143" s="178"/>
    </row>
    <row r="144" spans="2:17" ht="42.75" outlineLevel="1" x14ac:dyDescent="0.2">
      <c r="B144" s="117" t="s">
        <v>1526</v>
      </c>
      <c r="C144" s="128"/>
      <c r="D144" s="150" t="s">
        <v>1525</v>
      </c>
      <c r="E144" s="117">
        <v>2020</v>
      </c>
      <c r="F144" s="117"/>
      <c r="G144" s="139" t="s">
        <v>566</v>
      </c>
      <c r="H144" s="84" t="s">
        <v>3</v>
      </c>
      <c r="I144" s="83">
        <f>SUM(J144:O144)</f>
        <v>0.35</v>
      </c>
      <c r="J144" s="83">
        <f t="shared" ref="J144:O144" si="47">J145+J146+J147</f>
        <v>0.35</v>
      </c>
      <c r="K144" s="83">
        <f t="shared" si="47"/>
        <v>0</v>
      </c>
      <c r="L144" s="83">
        <f t="shared" si="47"/>
        <v>0</v>
      </c>
      <c r="M144" s="83">
        <f t="shared" si="47"/>
        <v>0</v>
      </c>
      <c r="N144" s="83">
        <f t="shared" si="47"/>
        <v>0</v>
      </c>
      <c r="O144" s="83">
        <f t="shared" si="47"/>
        <v>0</v>
      </c>
      <c r="P144" s="178">
        <v>28</v>
      </c>
    </row>
    <row r="145" spans="2:17" outlineLevel="1" x14ac:dyDescent="0.2">
      <c r="B145" s="118"/>
      <c r="C145" s="129"/>
      <c r="D145" s="151"/>
      <c r="E145" s="118"/>
      <c r="F145" s="118"/>
      <c r="G145" s="140"/>
      <c r="H145" s="84" t="s">
        <v>4</v>
      </c>
      <c r="I145" s="83"/>
      <c r="J145" s="83"/>
      <c r="K145" s="83"/>
      <c r="L145" s="75"/>
      <c r="M145" s="83"/>
      <c r="N145" s="83"/>
      <c r="O145" s="83"/>
      <c r="P145" s="178"/>
    </row>
    <row r="146" spans="2:17" outlineLevel="1" x14ac:dyDescent="0.2">
      <c r="B146" s="118"/>
      <c r="C146" s="129"/>
      <c r="D146" s="151"/>
      <c r="E146" s="118"/>
      <c r="F146" s="118"/>
      <c r="G146" s="140"/>
      <c r="H146" s="84" t="s">
        <v>6</v>
      </c>
      <c r="I146" s="83">
        <f>SUM(J146:O146)</f>
        <v>0.35</v>
      </c>
      <c r="J146" s="83">
        <v>0.35</v>
      </c>
      <c r="K146" s="83"/>
      <c r="L146" s="75"/>
      <c r="M146" s="83"/>
      <c r="N146" s="83"/>
      <c r="O146" s="83"/>
      <c r="P146" s="178"/>
    </row>
    <row r="147" spans="2:17" outlineLevel="1" x14ac:dyDescent="0.2">
      <c r="B147" s="119"/>
      <c r="C147" s="130"/>
      <c r="D147" s="152"/>
      <c r="E147" s="119"/>
      <c r="F147" s="119"/>
      <c r="G147" s="141"/>
      <c r="H147" s="84" t="s">
        <v>5</v>
      </c>
      <c r="I147" s="83"/>
      <c r="J147" s="75"/>
      <c r="K147" s="75"/>
      <c r="L147" s="75"/>
      <c r="M147" s="75"/>
      <c r="N147" s="75"/>
      <c r="O147" s="75"/>
      <c r="P147" s="178"/>
    </row>
    <row r="148" spans="2:17" ht="42.75" x14ac:dyDescent="0.2">
      <c r="B148" s="128" t="s">
        <v>343</v>
      </c>
      <c r="C148" s="128" t="s">
        <v>38</v>
      </c>
      <c r="D148" s="128" t="s">
        <v>38</v>
      </c>
      <c r="E148" s="128" t="s">
        <v>38</v>
      </c>
      <c r="F148" s="128" t="s">
        <v>38</v>
      </c>
      <c r="G148" s="128" t="s">
        <v>38</v>
      </c>
      <c r="H148" s="84" t="s">
        <v>3</v>
      </c>
      <c r="I148" s="14">
        <f t="shared" ref="I148:O148" si="48">SUMIF($H$136:$H$147,"Объем*",I$136:I$147)</f>
        <v>1.65</v>
      </c>
      <c r="J148" s="14">
        <f t="shared" si="48"/>
        <v>1.1499999999999999</v>
      </c>
      <c r="K148" s="14">
        <f t="shared" si="48"/>
        <v>0.5</v>
      </c>
      <c r="L148" s="14">
        <f t="shared" si="48"/>
        <v>0</v>
      </c>
      <c r="M148" s="14">
        <f t="shared" si="48"/>
        <v>0</v>
      </c>
      <c r="N148" s="14">
        <f t="shared" si="48"/>
        <v>0</v>
      </c>
      <c r="O148" s="14">
        <f t="shared" si="48"/>
        <v>0</v>
      </c>
      <c r="P148" s="128"/>
      <c r="Q148" s="7"/>
    </row>
    <row r="149" spans="2:17" ht="15.75" x14ac:dyDescent="0.2">
      <c r="B149" s="129"/>
      <c r="C149" s="129"/>
      <c r="D149" s="129"/>
      <c r="E149" s="129"/>
      <c r="F149" s="129"/>
      <c r="G149" s="129"/>
      <c r="H149" s="84" t="s">
        <v>4</v>
      </c>
      <c r="I149" s="14">
        <f t="shared" ref="I149:O149" si="49">SUMIF($H$136:$H$147,"фед*",I$136:I$147)</f>
        <v>0</v>
      </c>
      <c r="J149" s="14">
        <f t="shared" si="49"/>
        <v>0</v>
      </c>
      <c r="K149" s="14">
        <f t="shared" si="49"/>
        <v>0</v>
      </c>
      <c r="L149" s="14">
        <f t="shared" si="49"/>
        <v>0</v>
      </c>
      <c r="M149" s="14">
        <f t="shared" si="49"/>
        <v>0</v>
      </c>
      <c r="N149" s="14">
        <f t="shared" si="49"/>
        <v>0</v>
      </c>
      <c r="O149" s="14">
        <f t="shared" si="49"/>
        <v>0</v>
      </c>
      <c r="P149" s="129"/>
    </row>
    <row r="150" spans="2:17" ht="15.75" x14ac:dyDescent="0.2">
      <c r="B150" s="129"/>
      <c r="C150" s="129"/>
      <c r="D150" s="129"/>
      <c r="E150" s="129"/>
      <c r="F150" s="129"/>
      <c r="G150" s="129"/>
      <c r="H150" s="84" t="s">
        <v>6</v>
      </c>
      <c r="I150" s="14">
        <f t="shared" ref="I150:O150" si="50">SUMIF($H$136:$H$147,"конс*",I$136:I$147)</f>
        <v>1.65</v>
      </c>
      <c r="J150" s="14">
        <f t="shared" si="50"/>
        <v>1.1499999999999999</v>
      </c>
      <c r="K150" s="14">
        <f t="shared" si="50"/>
        <v>0.5</v>
      </c>
      <c r="L150" s="14">
        <f t="shared" si="50"/>
        <v>0</v>
      </c>
      <c r="M150" s="14">
        <f t="shared" si="50"/>
        <v>0</v>
      </c>
      <c r="N150" s="14">
        <f t="shared" si="50"/>
        <v>0</v>
      </c>
      <c r="O150" s="14">
        <f t="shared" si="50"/>
        <v>0</v>
      </c>
      <c r="P150" s="129"/>
    </row>
    <row r="151" spans="2:17" ht="15.75" x14ac:dyDescent="0.2">
      <c r="B151" s="130"/>
      <c r="C151" s="130"/>
      <c r="D151" s="130"/>
      <c r="E151" s="130"/>
      <c r="F151" s="130"/>
      <c r="G151" s="130"/>
      <c r="H151" s="84" t="s">
        <v>5</v>
      </c>
      <c r="I151" s="14">
        <f t="shared" ref="I151:O151" si="51">SUMIF($H$136:$H$147,"вне*",I$136:I$147)</f>
        <v>0</v>
      </c>
      <c r="J151" s="14">
        <f t="shared" si="51"/>
        <v>0</v>
      </c>
      <c r="K151" s="14">
        <f t="shared" si="51"/>
        <v>0</v>
      </c>
      <c r="L151" s="14">
        <f t="shared" si="51"/>
        <v>0</v>
      </c>
      <c r="M151" s="14">
        <f t="shared" si="51"/>
        <v>0</v>
      </c>
      <c r="N151" s="14">
        <f t="shared" si="51"/>
        <v>0</v>
      </c>
      <c r="O151" s="14">
        <f t="shared" si="51"/>
        <v>0</v>
      </c>
      <c r="P151" s="130"/>
    </row>
    <row r="152" spans="2:17" ht="25.5" customHeight="1" x14ac:dyDescent="0.2">
      <c r="B152" s="111" t="s">
        <v>344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3"/>
    </row>
    <row r="153" spans="2:17" ht="42.75" outlineLevel="1" x14ac:dyDescent="0.2">
      <c r="B153" s="117" t="s">
        <v>1527</v>
      </c>
      <c r="C153" s="128"/>
      <c r="D153" s="150" t="s">
        <v>1528</v>
      </c>
      <c r="E153" s="117">
        <v>2021</v>
      </c>
      <c r="F153" s="117"/>
      <c r="G153" s="139" t="s">
        <v>566</v>
      </c>
      <c r="H153" s="84" t="s">
        <v>3</v>
      </c>
      <c r="I153" s="83">
        <f>SUM(J153:O153)</f>
        <v>0.1</v>
      </c>
      <c r="J153" s="83">
        <f t="shared" ref="J153:O153" si="52">J154+J155+J156</f>
        <v>0</v>
      </c>
      <c r="K153" s="83">
        <f t="shared" si="52"/>
        <v>0.1</v>
      </c>
      <c r="L153" s="83">
        <f t="shared" si="52"/>
        <v>0</v>
      </c>
      <c r="M153" s="83">
        <f t="shared" si="52"/>
        <v>0</v>
      </c>
      <c r="N153" s="83">
        <f t="shared" si="52"/>
        <v>0</v>
      </c>
      <c r="O153" s="83">
        <f t="shared" si="52"/>
        <v>0</v>
      </c>
      <c r="P153" s="178">
        <v>717</v>
      </c>
    </row>
    <row r="154" spans="2:17" ht="17.25" customHeight="1" outlineLevel="1" x14ac:dyDescent="0.2">
      <c r="B154" s="118"/>
      <c r="C154" s="129"/>
      <c r="D154" s="151"/>
      <c r="E154" s="118"/>
      <c r="F154" s="118"/>
      <c r="G154" s="140"/>
      <c r="H154" s="84" t="s">
        <v>4</v>
      </c>
      <c r="I154" s="83"/>
      <c r="J154" s="83"/>
      <c r="K154" s="83"/>
      <c r="L154" s="75"/>
      <c r="M154" s="83"/>
      <c r="N154" s="83"/>
      <c r="O154" s="83"/>
      <c r="P154" s="178"/>
    </row>
    <row r="155" spans="2:17" ht="17.25" customHeight="1" outlineLevel="1" x14ac:dyDescent="0.2">
      <c r="B155" s="118"/>
      <c r="C155" s="129"/>
      <c r="D155" s="151"/>
      <c r="E155" s="118"/>
      <c r="F155" s="118"/>
      <c r="G155" s="140"/>
      <c r="H155" s="84" t="s">
        <v>6</v>
      </c>
      <c r="I155" s="83">
        <f>SUM(J155:O155)</f>
        <v>0.1</v>
      </c>
      <c r="J155" s="83"/>
      <c r="K155" s="83">
        <v>0.1</v>
      </c>
      <c r="L155" s="75"/>
      <c r="M155" s="83"/>
      <c r="N155" s="83"/>
      <c r="O155" s="83"/>
      <c r="P155" s="178"/>
    </row>
    <row r="156" spans="2:17" ht="17.25" customHeight="1" outlineLevel="1" x14ac:dyDescent="0.2">
      <c r="B156" s="119"/>
      <c r="C156" s="130"/>
      <c r="D156" s="152"/>
      <c r="E156" s="119"/>
      <c r="F156" s="119"/>
      <c r="G156" s="141"/>
      <c r="H156" s="84" t="s">
        <v>5</v>
      </c>
      <c r="I156" s="83"/>
      <c r="J156" s="75"/>
      <c r="K156" s="75"/>
      <c r="L156" s="75"/>
      <c r="M156" s="75"/>
      <c r="N156" s="75"/>
      <c r="O156" s="75"/>
      <c r="P156" s="178"/>
    </row>
    <row r="157" spans="2:17" ht="42.75" x14ac:dyDescent="0.2">
      <c r="B157" s="128" t="s">
        <v>349</v>
      </c>
      <c r="C157" s="128" t="s">
        <v>38</v>
      </c>
      <c r="D157" s="128" t="s">
        <v>38</v>
      </c>
      <c r="E157" s="128" t="s">
        <v>38</v>
      </c>
      <c r="F157" s="128" t="s">
        <v>38</v>
      </c>
      <c r="G157" s="128" t="s">
        <v>38</v>
      </c>
      <c r="H157" s="84" t="s">
        <v>3</v>
      </c>
      <c r="I157" s="14">
        <f>SUMIF($H$153:$H$156,"Объем*",I$153:I$156)</f>
        <v>0.1</v>
      </c>
      <c r="J157" s="14">
        <f t="shared" ref="J157:O157" si="53">SUMIF($H$153:$H$156,"Объем*",J$153:J$156)</f>
        <v>0</v>
      </c>
      <c r="K157" s="14">
        <f t="shared" si="53"/>
        <v>0.1</v>
      </c>
      <c r="L157" s="14">
        <f t="shared" si="53"/>
        <v>0</v>
      </c>
      <c r="M157" s="14">
        <f t="shared" si="53"/>
        <v>0</v>
      </c>
      <c r="N157" s="14">
        <f t="shared" si="53"/>
        <v>0</v>
      </c>
      <c r="O157" s="14">
        <f t="shared" si="53"/>
        <v>0</v>
      </c>
      <c r="P157" s="128"/>
      <c r="Q157" s="7"/>
    </row>
    <row r="158" spans="2:17" ht="15.75" x14ac:dyDescent="0.2">
      <c r="B158" s="129"/>
      <c r="C158" s="129"/>
      <c r="D158" s="129"/>
      <c r="E158" s="129"/>
      <c r="F158" s="129"/>
      <c r="G158" s="129"/>
      <c r="H158" s="84" t="s">
        <v>4</v>
      </c>
      <c r="I158" s="14">
        <f>SUMIF($H$153:$H$156,"фед*",I$153:I$156)</f>
        <v>0</v>
      </c>
      <c r="J158" s="14">
        <f t="shared" ref="J158:O158" si="54">SUMIF($H$153:$H$156,"фед*",J$153:J$156)</f>
        <v>0</v>
      </c>
      <c r="K158" s="14">
        <f t="shared" si="54"/>
        <v>0</v>
      </c>
      <c r="L158" s="14">
        <f t="shared" si="54"/>
        <v>0</v>
      </c>
      <c r="M158" s="14">
        <f t="shared" si="54"/>
        <v>0</v>
      </c>
      <c r="N158" s="14">
        <f t="shared" si="54"/>
        <v>0</v>
      </c>
      <c r="O158" s="14">
        <f t="shared" si="54"/>
        <v>0</v>
      </c>
      <c r="P158" s="129"/>
    </row>
    <row r="159" spans="2:17" ht="15.75" x14ac:dyDescent="0.2">
      <c r="B159" s="129"/>
      <c r="C159" s="129"/>
      <c r="D159" s="129"/>
      <c r="E159" s="129"/>
      <c r="F159" s="129"/>
      <c r="G159" s="129"/>
      <c r="H159" s="84" t="s">
        <v>6</v>
      </c>
      <c r="I159" s="14">
        <f>SUMIF($H$153:$H$156,"конс*",I$153:I$156)</f>
        <v>0.1</v>
      </c>
      <c r="J159" s="14">
        <f t="shared" ref="J159:O159" si="55">SUMIF($H$153:$H$156,"конс*",J$153:J$156)</f>
        <v>0</v>
      </c>
      <c r="K159" s="14">
        <f t="shared" si="55"/>
        <v>0.1</v>
      </c>
      <c r="L159" s="14">
        <f t="shared" si="55"/>
        <v>0</v>
      </c>
      <c r="M159" s="14">
        <f t="shared" si="55"/>
        <v>0</v>
      </c>
      <c r="N159" s="14">
        <f t="shared" si="55"/>
        <v>0</v>
      </c>
      <c r="O159" s="14">
        <f t="shared" si="55"/>
        <v>0</v>
      </c>
      <c r="P159" s="129"/>
    </row>
    <row r="160" spans="2:17" ht="15.75" x14ac:dyDescent="0.2">
      <c r="B160" s="130"/>
      <c r="C160" s="130"/>
      <c r="D160" s="130"/>
      <c r="E160" s="130"/>
      <c r="F160" s="130"/>
      <c r="G160" s="130"/>
      <c r="H160" s="84" t="s">
        <v>5</v>
      </c>
      <c r="I160" s="14">
        <f>SUMIF($H$153:$H$156,"вне*",I$153:I$156)</f>
        <v>0</v>
      </c>
      <c r="J160" s="14">
        <f t="shared" ref="J160:O160" si="56">SUMIF($H$153:$H$156,"вне*",J$153:J$156)</f>
        <v>0</v>
      </c>
      <c r="K160" s="14">
        <f t="shared" si="56"/>
        <v>0</v>
      </c>
      <c r="L160" s="14">
        <f t="shared" si="56"/>
        <v>0</v>
      </c>
      <c r="M160" s="14">
        <f t="shared" si="56"/>
        <v>0</v>
      </c>
      <c r="N160" s="14">
        <f t="shared" si="56"/>
        <v>0</v>
      </c>
      <c r="O160" s="14">
        <f t="shared" si="56"/>
        <v>0</v>
      </c>
      <c r="P160" s="130"/>
    </row>
    <row r="161" spans="2:17" ht="25.5" customHeight="1" x14ac:dyDescent="0.2">
      <c r="B161" s="111" t="s">
        <v>47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3"/>
    </row>
    <row r="162" spans="2:17" ht="42.75" outlineLevel="1" x14ac:dyDescent="0.2">
      <c r="B162" s="117" t="s">
        <v>1529</v>
      </c>
      <c r="C162" s="128"/>
      <c r="D162" s="150" t="s">
        <v>1530</v>
      </c>
      <c r="E162" s="117">
        <v>2021</v>
      </c>
      <c r="F162" s="117"/>
      <c r="G162" s="139" t="s">
        <v>566</v>
      </c>
      <c r="H162" s="84" t="s">
        <v>3</v>
      </c>
      <c r="I162" s="83">
        <f>SUM(J162:O162)</f>
        <v>0.5</v>
      </c>
      <c r="J162" s="83">
        <f t="shared" ref="J162:O162" si="57">J163+J164+J165</f>
        <v>0</v>
      </c>
      <c r="K162" s="83">
        <f t="shared" si="57"/>
        <v>0.5</v>
      </c>
      <c r="L162" s="83">
        <f t="shared" si="57"/>
        <v>0</v>
      </c>
      <c r="M162" s="83">
        <f t="shared" si="57"/>
        <v>0</v>
      </c>
      <c r="N162" s="83">
        <f t="shared" si="57"/>
        <v>0</v>
      </c>
      <c r="O162" s="83">
        <f t="shared" si="57"/>
        <v>0</v>
      </c>
      <c r="P162" s="178">
        <v>371</v>
      </c>
    </row>
    <row r="163" spans="2:17" ht="17.25" customHeight="1" outlineLevel="1" x14ac:dyDescent="0.2">
      <c r="B163" s="118"/>
      <c r="C163" s="129"/>
      <c r="D163" s="151"/>
      <c r="E163" s="118"/>
      <c r="F163" s="118"/>
      <c r="G163" s="140"/>
      <c r="H163" s="84" t="s">
        <v>4</v>
      </c>
      <c r="I163" s="83"/>
      <c r="J163" s="83"/>
      <c r="K163" s="83"/>
      <c r="L163" s="75"/>
      <c r="M163" s="83"/>
      <c r="N163" s="83"/>
      <c r="O163" s="83"/>
      <c r="P163" s="178"/>
    </row>
    <row r="164" spans="2:17" ht="17.25" customHeight="1" outlineLevel="1" x14ac:dyDescent="0.2">
      <c r="B164" s="118"/>
      <c r="C164" s="129"/>
      <c r="D164" s="151"/>
      <c r="E164" s="118"/>
      <c r="F164" s="118"/>
      <c r="G164" s="140"/>
      <c r="H164" s="84" t="s">
        <v>6</v>
      </c>
      <c r="I164" s="83">
        <f>SUM(J164:O164)</f>
        <v>0.5</v>
      </c>
      <c r="J164" s="83"/>
      <c r="K164" s="83">
        <v>0.5</v>
      </c>
      <c r="L164" s="75"/>
      <c r="M164" s="83"/>
      <c r="N164" s="83"/>
      <c r="O164" s="83"/>
      <c r="P164" s="178"/>
    </row>
    <row r="165" spans="2:17" ht="17.25" customHeight="1" outlineLevel="1" x14ac:dyDescent="0.2">
      <c r="B165" s="119"/>
      <c r="C165" s="130"/>
      <c r="D165" s="152"/>
      <c r="E165" s="119"/>
      <c r="F165" s="119"/>
      <c r="G165" s="141"/>
      <c r="H165" s="84" t="s">
        <v>5</v>
      </c>
      <c r="I165" s="83"/>
      <c r="J165" s="75"/>
      <c r="K165" s="75"/>
      <c r="L165" s="75"/>
      <c r="M165" s="75"/>
      <c r="N165" s="75"/>
      <c r="O165" s="75"/>
      <c r="P165" s="178"/>
    </row>
    <row r="166" spans="2:17" ht="42.75" x14ac:dyDescent="0.2">
      <c r="B166" s="128" t="s">
        <v>57</v>
      </c>
      <c r="C166" s="128" t="s">
        <v>38</v>
      </c>
      <c r="D166" s="128" t="s">
        <v>38</v>
      </c>
      <c r="E166" s="128" t="s">
        <v>38</v>
      </c>
      <c r="F166" s="128" t="s">
        <v>38</v>
      </c>
      <c r="G166" s="128" t="s">
        <v>38</v>
      </c>
      <c r="H166" s="84" t="s">
        <v>3</v>
      </c>
      <c r="I166" s="14">
        <f>SUMIF($H$162:$H$165,"Объем*",I$162:I$165)</f>
        <v>0.5</v>
      </c>
      <c r="J166" s="14">
        <f t="shared" ref="J166:O166" si="58">SUMIF($H$162:$H$165,"Объем*",J$162:J$165)</f>
        <v>0</v>
      </c>
      <c r="K166" s="14">
        <f t="shared" si="58"/>
        <v>0.5</v>
      </c>
      <c r="L166" s="14">
        <f t="shared" si="58"/>
        <v>0</v>
      </c>
      <c r="M166" s="14">
        <f t="shared" si="58"/>
        <v>0</v>
      </c>
      <c r="N166" s="14">
        <f t="shared" si="58"/>
        <v>0</v>
      </c>
      <c r="O166" s="14">
        <f t="shared" si="58"/>
        <v>0</v>
      </c>
      <c r="P166" s="128"/>
      <c r="Q166" s="7"/>
    </row>
    <row r="167" spans="2:17" ht="15.75" x14ac:dyDescent="0.2">
      <c r="B167" s="129"/>
      <c r="C167" s="129"/>
      <c r="D167" s="129"/>
      <c r="E167" s="129"/>
      <c r="F167" s="129"/>
      <c r="G167" s="129"/>
      <c r="H167" s="84" t="s">
        <v>4</v>
      </c>
      <c r="I167" s="14">
        <f>SUMIF($H$162:$H$165,"фед*",I$162:I$165)</f>
        <v>0</v>
      </c>
      <c r="J167" s="14">
        <f t="shared" ref="J167:O167" si="59">SUMIF($H$162:$H$165,"фед*",J$162:J$165)</f>
        <v>0</v>
      </c>
      <c r="K167" s="14">
        <f t="shared" si="59"/>
        <v>0</v>
      </c>
      <c r="L167" s="14">
        <f t="shared" si="59"/>
        <v>0</v>
      </c>
      <c r="M167" s="14">
        <f t="shared" si="59"/>
        <v>0</v>
      </c>
      <c r="N167" s="14">
        <f t="shared" si="59"/>
        <v>0</v>
      </c>
      <c r="O167" s="14">
        <f t="shared" si="59"/>
        <v>0</v>
      </c>
      <c r="P167" s="129"/>
    </row>
    <row r="168" spans="2:17" ht="15.75" x14ac:dyDescent="0.2">
      <c r="B168" s="129"/>
      <c r="C168" s="129"/>
      <c r="D168" s="129"/>
      <c r="E168" s="129"/>
      <c r="F168" s="129"/>
      <c r="G168" s="129"/>
      <c r="H168" s="84" t="s">
        <v>6</v>
      </c>
      <c r="I168" s="14">
        <f>SUMIF($H$162:$H$165,"конс*",I$162:I$165)</f>
        <v>0.5</v>
      </c>
      <c r="J168" s="14">
        <f t="shared" ref="J168:O168" si="60">SUMIF($H$162:$H$165,"конс*",J$162:J$165)</f>
        <v>0</v>
      </c>
      <c r="K168" s="14">
        <f t="shared" si="60"/>
        <v>0.5</v>
      </c>
      <c r="L168" s="14">
        <f t="shared" si="60"/>
        <v>0</v>
      </c>
      <c r="M168" s="14">
        <f t="shared" si="60"/>
        <v>0</v>
      </c>
      <c r="N168" s="14">
        <f t="shared" si="60"/>
        <v>0</v>
      </c>
      <c r="O168" s="14">
        <f t="shared" si="60"/>
        <v>0</v>
      </c>
      <c r="P168" s="129"/>
    </row>
    <row r="169" spans="2:17" ht="15.75" x14ac:dyDescent="0.2">
      <c r="B169" s="130"/>
      <c r="C169" s="130"/>
      <c r="D169" s="130"/>
      <c r="E169" s="130"/>
      <c r="F169" s="130"/>
      <c r="G169" s="130"/>
      <c r="H169" s="84" t="s">
        <v>5</v>
      </c>
      <c r="I169" s="14">
        <f>SUMIF($H$162:$H$165,"вне*",I$162:I$165)</f>
        <v>0</v>
      </c>
      <c r="J169" s="14">
        <f t="shared" ref="J169:O169" si="61">SUMIF($H$162:$H$165,"вне*",J$162:J$165)</f>
        <v>0</v>
      </c>
      <c r="K169" s="14">
        <f t="shared" si="61"/>
        <v>0</v>
      </c>
      <c r="L169" s="14">
        <f t="shared" si="61"/>
        <v>0</v>
      </c>
      <c r="M169" s="14">
        <f t="shared" si="61"/>
        <v>0</v>
      </c>
      <c r="N169" s="14">
        <f t="shared" si="61"/>
        <v>0</v>
      </c>
      <c r="O169" s="14">
        <f t="shared" si="61"/>
        <v>0</v>
      </c>
      <c r="P169" s="130"/>
    </row>
    <row r="170" spans="2:17" ht="25.5" customHeight="1" x14ac:dyDescent="0.2">
      <c r="B170" s="111" t="s">
        <v>58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3"/>
    </row>
    <row r="171" spans="2:17" ht="42.75" outlineLevel="1" x14ac:dyDescent="0.2">
      <c r="B171" s="117" t="s">
        <v>1482</v>
      </c>
      <c r="C171" s="128"/>
      <c r="D171" s="150" t="s">
        <v>1531</v>
      </c>
      <c r="E171" s="117">
        <v>2020</v>
      </c>
      <c r="F171" s="117"/>
      <c r="G171" s="139" t="s">
        <v>566</v>
      </c>
      <c r="H171" s="84" t="s">
        <v>3</v>
      </c>
      <c r="I171" s="83">
        <f>SUM(J171:O171)</f>
        <v>1.9</v>
      </c>
      <c r="J171" s="83">
        <f t="shared" ref="J171:O171" si="62">J172+J173+J174</f>
        <v>1.9</v>
      </c>
      <c r="K171" s="83">
        <f t="shared" si="62"/>
        <v>0</v>
      </c>
      <c r="L171" s="83">
        <f t="shared" si="62"/>
        <v>0</v>
      </c>
      <c r="M171" s="83">
        <f t="shared" si="62"/>
        <v>0</v>
      </c>
      <c r="N171" s="83">
        <f t="shared" si="62"/>
        <v>0</v>
      </c>
      <c r="O171" s="83">
        <f t="shared" si="62"/>
        <v>0</v>
      </c>
      <c r="P171" s="178">
        <v>63</v>
      </c>
    </row>
    <row r="172" spans="2:17" ht="17.25" customHeight="1" outlineLevel="1" x14ac:dyDescent="0.2">
      <c r="B172" s="118"/>
      <c r="C172" s="129"/>
      <c r="D172" s="151"/>
      <c r="E172" s="118"/>
      <c r="F172" s="118"/>
      <c r="G172" s="140"/>
      <c r="H172" s="84" t="s">
        <v>4</v>
      </c>
      <c r="I172" s="83"/>
      <c r="J172" s="83"/>
      <c r="K172" s="83"/>
      <c r="L172" s="75"/>
      <c r="M172" s="83"/>
      <c r="N172" s="83"/>
      <c r="O172" s="83"/>
      <c r="P172" s="178"/>
    </row>
    <row r="173" spans="2:17" ht="17.25" customHeight="1" outlineLevel="1" x14ac:dyDescent="0.2">
      <c r="B173" s="118"/>
      <c r="C173" s="129"/>
      <c r="D173" s="151"/>
      <c r="E173" s="118"/>
      <c r="F173" s="118"/>
      <c r="G173" s="140"/>
      <c r="H173" s="84" t="s">
        <v>6</v>
      </c>
      <c r="I173" s="83">
        <f>SUM(J173:O173)</f>
        <v>1.9</v>
      </c>
      <c r="J173" s="83">
        <v>1.9</v>
      </c>
      <c r="K173" s="83"/>
      <c r="L173" s="75"/>
      <c r="M173" s="83"/>
      <c r="N173" s="83"/>
      <c r="O173" s="83"/>
      <c r="P173" s="178"/>
    </row>
    <row r="174" spans="2:17" ht="17.25" customHeight="1" outlineLevel="1" x14ac:dyDescent="0.2">
      <c r="B174" s="119"/>
      <c r="C174" s="130"/>
      <c r="D174" s="152"/>
      <c r="E174" s="119"/>
      <c r="F174" s="119"/>
      <c r="G174" s="141"/>
      <c r="H174" s="84" t="s">
        <v>5</v>
      </c>
      <c r="I174" s="83"/>
      <c r="J174" s="75"/>
      <c r="K174" s="75"/>
      <c r="L174" s="75"/>
      <c r="M174" s="75"/>
      <c r="N174" s="75"/>
      <c r="O174" s="75"/>
      <c r="P174" s="178"/>
    </row>
    <row r="175" spans="2:17" ht="42.75" outlineLevel="1" x14ac:dyDescent="0.2">
      <c r="B175" s="117" t="s">
        <v>1532</v>
      </c>
      <c r="C175" s="128"/>
      <c r="D175" s="150" t="s">
        <v>1533</v>
      </c>
      <c r="E175" s="117">
        <v>2021</v>
      </c>
      <c r="F175" s="117"/>
      <c r="G175" s="117" t="s">
        <v>67</v>
      </c>
      <c r="H175" s="84" t="s">
        <v>3</v>
      </c>
      <c r="I175" s="83">
        <f>SUM(J175:O175)</f>
        <v>3</v>
      </c>
      <c r="J175" s="83">
        <f t="shared" ref="J175:O175" si="63">J176+J177+J178</f>
        <v>0</v>
      </c>
      <c r="K175" s="83">
        <f t="shared" si="63"/>
        <v>3</v>
      </c>
      <c r="L175" s="83">
        <f t="shared" si="63"/>
        <v>0</v>
      </c>
      <c r="M175" s="83">
        <f t="shared" si="63"/>
        <v>0</v>
      </c>
      <c r="N175" s="83">
        <f t="shared" si="63"/>
        <v>0</v>
      </c>
      <c r="O175" s="83">
        <f t="shared" si="63"/>
        <v>0</v>
      </c>
      <c r="P175" s="178">
        <v>245</v>
      </c>
    </row>
    <row r="176" spans="2:17" ht="17.25" customHeight="1" outlineLevel="1" x14ac:dyDescent="0.2">
      <c r="B176" s="118"/>
      <c r="C176" s="129"/>
      <c r="D176" s="151"/>
      <c r="E176" s="118"/>
      <c r="F176" s="118"/>
      <c r="G176" s="118"/>
      <c r="H176" s="84" t="s">
        <v>4</v>
      </c>
      <c r="I176" s="83"/>
      <c r="J176" s="83"/>
      <c r="K176" s="83"/>
      <c r="L176" s="75"/>
      <c r="M176" s="83"/>
      <c r="N176" s="83"/>
      <c r="O176" s="83"/>
      <c r="P176" s="178"/>
    </row>
    <row r="177" spans="2:17" ht="17.25" customHeight="1" outlineLevel="1" x14ac:dyDescent="0.2">
      <c r="B177" s="118"/>
      <c r="C177" s="129"/>
      <c r="D177" s="151"/>
      <c r="E177" s="118"/>
      <c r="F177" s="118"/>
      <c r="G177" s="118"/>
      <c r="H177" s="84" t="s">
        <v>6</v>
      </c>
      <c r="I177" s="83">
        <f>SUM(J177:O177)</f>
        <v>3</v>
      </c>
      <c r="J177" s="83"/>
      <c r="K177" s="83">
        <v>3</v>
      </c>
      <c r="L177" s="75"/>
      <c r="M177" s="83"/>
      <c r="N177" s="83"/>
      <c r="O177" s="83"/>
      <c r="P177" s="178"/>
    </row>
    <row r="178" spans="2:17" ht="17.25" customHeight="1" outlineLevel="1" x14ac:dyDescent="0.2">
      <c r="B178" s="119"/>
      <c r="C178" s="130"/>
      <c r="D178" s="152"/>
      <c r="E178" s="119"/>
      <c r="F178" s="119"/>
      <c r="G178" s="119"/>
      <c r="H178" s="84" t="s">
        <v>5</v>
      </c>
      <c r="I178" s="83"/>
      <c r="J178" s="75"/>
      <c r="K178" s="75"/>
      <c r="L178" s="75"/>
      <c r="M178" s="75"/>
      <c r="N178" s="75"/>
      <c r="O178" s="75"/>
      <c r="P178" s="178"/>
    </row>
    <row r="179" spans="2:17" ht="42.75" outlineLevel="1" x14ac:dyDescent="0.2">
      <c r="B179" s="117" t="s">
        <v>1534</v>
      </c>
      <c r="C179" s="128"/>
      <c r="D179" s="150" t="s">
        <v>1533</v>
      </c>
      <c r="E179" s="117">
        <v>2021</v>
      </c>
      <c r="F179" s="117"/>
      <c r="G179" s="139" t="s">
        <v>566</v>
      </c>
      <c r="H179" s="84" t="s">
        <v>3</v>
      </c>
      <c r="I179" s="83">
        <f>SUM(J179:O179)</f>
        <v>1</v>
      </c>
      <c r="J179" s="83">
        <f t="shared" ref="J179:O179" si="64">J180+J181+J182</f>
        <v>0</v>
      </c>
      <c r="K179" s="83">
        <f t="shared" si="64"/>
        <v>1</v>
      </c>
      <c r="L179" s="83">
        <f t="shared" si="64"/>
        <v>0</v>
      </c>
      <c r="M179" s="83">
        <f t="shared" si="64"/>
        <v>0</v>
      </c>
      <c r="N179" s="83">
        <f t="shared" si="64"/>
        <v>0</v>
      </c>
      <c r="O179" s="83">
        <f t="shared" si="64"/>
        <v>0</v>
      </c>
      <c r="P179" s="178">
        <v>43</v>
      </c>
    </row>
    <row r="180" spans="2:17" ht="17.25" customHeight="1" outlineLevel="1" x14ac:dyDescent="0.2">
      <c r="B180" s="118"/>
      <c r="C180" s="129"/>
      <c r="D180" s="151"/>
      <c r="E180" s="118"/>
      <c r="F180" s="118"/>
      <c r="G180" s="140"/>
      <c r="H180" s="84" t="s">
        <v>4</v>
      </c>
      <c r="I180" s="83"/>
      <c r="J180" s="83"/>
      <c r="K180" s="83"/>
      <c r="L180" s="75"/>
      <c r="M180" s="83"/>
      <c r="N180" s="83"/>
      <c r="O180" s="83"/>
      <c r="P180" s="178"/>
    </row>
    <row r="181" spans="2:17" ht="17.25" customHeight="1" outlineLevel="1" x14ac:dyDescent="0.2">
      <c r="B181" s="118"/>
      <c r="C181" s="129"/>
      <c r="D181" s="151"/>
      <c r="E181" s="118"/>
      <c r="F181" s="118"/>
      <c r="G181" s="140"/>
      <c r="H181" s="84" t="s">
        <v>6</v>
      </c>
      <c r="I181" s="83">
        <f>SUM(J181:O181)</f>
        <v>1</v>
      </c>
      <c r="J181" s="83"/>
      <c r="K181" s="83">
        <v>1</v>
      </c>
      <c r="L181" s="75"/>
      <c r="M181" s="83"/>
      <c r="N181" s="83"/>
      <c r="O181" s="83"/>
      <c r="P181" s="178"/>
    </row>
    <row r="182" spans="2:17" ht="17.25" customHeight="1" outlineLevel="1" x14ac:dyDescent="0.2">
      <c r="B182" s="119"/>
      <c r="C182" s="130"/>
      <c r="D182" s="152"/>
      <c r="E182" s="119"/>
      <c r="F182" s="119"/>
      <c r="G182" s="141"/>
      <c r="H182" s="84" t="s">
        <v>5</v>
      </c>
      <c r="I182" s="83"/>
      <c r="J182" s="75"/>
      <c r="K182" s="75"/>
      <c r="L182" s="75"/>
      <c r="M182" s="75"/>
      <c r="N182" s="75"/>
      <c r="O182" s="75"/>
      <c r="P182" s="178"/>
    </row>
    <row r="183" spans="2:17" ht="42.75" customHeight="1" outlineLevel="1" x14ac:dyDescent="0.2">
      <c r="B183" s="117" t="s">
        <v>1535</v>
      </c>
      <c r="C183" s="128"/>
      <c r="D183" s="150" t="s">
        <v>1536</v>
      </c>
      <c r="E183" s="117">
        <v>2021</v>
      </c>
      <c r="F183" s="117"/>
      <c r="G183" s="117" t="s">
        <v>67</v>
      </c>
      <c r="H183" s="84" t="s">
        <v>3</v>
      </c>
      <c r="I183" s="83">
        <f>SUM(J183:O183)</f>
        <v>1.8</v>
      </c>
      <c r="J183" s="83">
        <f t="shared" ref="J183:O183" si="65">J184+J185+J186</f>
        <v>0</v>
      </c>
      <c r="K183" s="83">
        <f t="shared" si="65"/>
        <v>1.8</v>
      </c>
      <c r="L183" s="83">
        <f t="shared" si="65"/>
        <v>0</v>
      </c>
      <c r="M183" s="83">
        <f t="shared" si="65"/>
        <v>0</v>
      </c>
      <c r="N183" s="83">
        <f t="shared" si="65"/>
        <v>0</v>
      </c>
      <c r="O183" s="83">
        <f t="shared" si="65"/>
        <v>0</v>
      </c>
      <c r="P183" s="178">
        <v>76</v>
      </c>
    </row>
    <row r="184" spans="2:17" ht="17.25" customHeight="1" outlineLevel="1" x14ac:dyDescent="0.2">
      <c r="B184" s="118"/>
      <c r="C184" s="129"/>
      <c r="D184" s="151"/>
      <c r="E184" s="118"/>
      <c r="F184" s="118"/>
      <c r="G184" s="118"/>
      <c r="H184" s="84" t="s">
        <v>4</v>
      </c>
      <c r="I184" s="83"/>
      <c r="J184" s="83"/>
      <c r="K184" s="83"/>
      <c r="L184" s="75"/>
      <c r="M184" s="83"/>
      <c r="N184" s="83"/>
      <c r="O184" s="83"/>
      <c r="P184" s="178"/>
    </row>
    <row r="185" spans="2:17" ht="17.25" customHeight="1" outlineLevel="1" x14ac:dyDescent="0.2">
      <c r="B185" s="118"/>
      <c r="C185" s="129"/>
      <c r="D185" s="151"/>
      <c r="E185" s="118"/>
      <c r="F185" s="118"/>
      <c r="G185" s="118"/>
      <c r="H185" s="84" t="s">
        <v>6</v>
      </c>
      <c r="I185" s="83">
        <f>SUM(J185:O185)</f>
        <v>1.8</v>
      </c>
      <c r="J185" s="83"/>
      <c r="K185" s="83">
        <v>1.8</v>
      </c>
      <c r="L185" s="75"/>
      <c r="M185" s="83"/>
      <c r="N185" s="83"/>
      <c r="O185" s="83"/>
      <c r="P185" s="178"/>
    </row>
    <row r="186" spans="2:17" ht="17.25" customHeight="1" outlineLevel="1" x14ac:dyDescent="0.2">
      <c r="B186" s="119"/>
      <c r="C186" s="130"/>
      <c r="D186" s="152"/>
      <c r="E186" s="119"/>
      <c r="F186" s="119"/>
      <c r="G186" s="119"/>
      <c r="H186" s="84" t="s">
        <v>5</v>
      </c>
      <c r="I186" s="83"/>
      <c r="J186" s="75"/>
      <c r="K186" s="75"/>
      <c r="L186" s="75"/>
      <c r="M186" s="75"/>
      <c r="N186" s="75"/>
      <c r="O186" s="75"/>
      <c r="P186" s="178"/>
    </row>
    <row r="187" spans="2:17" ht="42.75" x14ac:dyDescent="0.2">
      <c r="B187" s="128" t="s">
        <v>64</v>
      </c>
      <c r="C187" s="128" t="s">
        <v>38</v>
      </c>
      <c r="D187" s="128" t="s">
        <v>38</v>
      </c>
      <c r="E187" s="128" t="s">
        <v>38</v>
      </c>
      <c r="F187" s="128" t="s">
        <v>38</v>
      </c>
      <c r="G187" s="128" t="s">
        <v>38</v>
      </c>
      <c r="H187" s="84" t="s">
        <v>3</v>
      </c>
      <c r="I187" s="14">
        <f>SUMIF($H$171:$H$186,"Объем*",I$171:I$186)</f>
        <v>7.7</v>
      </c>
      <c r="J187" s="14">
        <f t="shared" ref="J187:O187" si="66">SUMIF($H$171:$H$186,"Объем*",J$171:J$186)</f>
        <v>1.9</v>
      </c>
      <c r="K187" s="14">
        <f t="shared" si="66"/>
        <v>5.8</v>
      </c>
      <c r="L187" s="14">
        <f t="shared" si="66"/>
        <v>0</v>
      </c>
      <c r="M187" s="14">
        <f t="shared" si="66"/>
        <v>0</v>
      </c>
      <c r="N187" s="14">
        <f t="shared" si="66"/>
        <v>0</v>
      </c>
      <c r="O187" s="14">
        <f t="shared" si="66"/>
        <v>0</v>
      </c>
      <c r="P187" s="128"/>
      <c r="Q187" s="7"/>
    </row>
    <row r="188" spans="2:17" ht="15.75" x14ac:dyDescent="0.2">
      <c r="B188" s="129"/>
      <c r="C188" s="129"/>
      <c r="D188" s="129"/>
      <c r="E188" s="129"/>
      <c r="F188" s="129"/>
      <c r="G188" s="129"/>
      <c r="H188" s="84" t="s">
        <v>4</v>
      </c>
      <c r="I188" s="14">
        <f>SUMIF($H$171:$H$186,"фед*",I$171:I$186)</f>
        <v>0</v>
      </c>
      <c r="J188" s="14">
        <f t="shared" ref="J188:O188" si="67">SUMIF($H$171:$H$186,"фед*",J$171:J$186)</f>
        <v>0</v>
      </c>
      <c r="K188" s="14">
        <f t="shared" si="67"/>
        <v>0</v>
      </c>
      <c r="L188" s="14">
        <f t="shared" si="67"/>
        <v>0</v>
      </c>
      <c r="M188" s="14">
        <f t="shared" si="67"/>
        <v>0</v>
      </c>
      <c r="N188" s="14">
        <f t="shared" si="67"/>
        <v>0</v>
      </c>
      <c r="O188" s="14">
        <f t="shared" si="67"/>
        <v>0</v>
      </c>
      <c r="P188" s="129"/>
    </row>
    <row r="189" spans="2:17" ht="15.75" x14ac:dyDescent="0.2">
      <c r="B189" s="129"/>
      <c r="C189" s="129"/>
      <c r="D189" s="129"/>
      <c r="E189" s="129"/>
      <c r="F189" s="129"/>
      <c r="G189" s="129"/>
      <c r="H189" s="84" t="s">
        <v>6</v>
      </c>
      <c r="I189" s="14">
        <f>SUMIF($H$171:$H$186,"конс*",I$171:I$186)</f>
        <v>7.7</v>
      </c>
      <c r="J189" s="14">
        <f t="shared" ref="J189:O189" si="68">SUMIF($H$171:$H$186,"конс*",J$171:J$186)</f>
        <v>1.9</v>
      </c>
      <c r="K189" s="14">
        <f t="shared" si="68"/>
        <v>5.8</v>
      </c>
      <c r="L189" s="14">
        <f t="shared" si="68"/>
        <v>0</v>
      </c>
      <c r="M189" s="14">
        <f t="shared" si="68"/>
        <v>0</v>
      </c>
      <c r="N189" s="14">
        <f t="shared" si="68"/>
        <v>0</v>
      </c>
      <c r="O189" s="14">
        <f t="shared" si="68"/>
        <v>0</v>
      </c>
      <c r="P189" s="129"/>
    </row>
    <row r="190" spans="2:17" ht="15.75" x14ac:dyDescent="0.2">
      <c r="B190" s="130"/>
      <c r="C190" s="130"/>
      <c r="D190" s="130"/>
      <c r="E190" s="130"/>
      <c r="F190" s="130"/>
      <c r="G190" s="130"/>
      <c r="H190" s="84" t="s">
        <v>5</v>
      </c>
      <c r="I190" s="14">
        <f>SUMIF($H$171:$H$186,"вне*",I$171:I$186)</f>
        <v>0</v>
      </c>
      <c r="J190" s="14">
        <f t="shared" ref="J190:O190" si="69">SUMIF($H$171:$H$186,"вне*",J$171:J$186)</f>
        <v>0</v>
      </c>
      <c r="K190" s="14">
        <f t="shared" si="69"/>
        <v>0</v>
      </c>
      <c r="L190" s="14">
        <f t="shared" si="69"/>
        <v>0</v>
      </c>
      <c r="M190" s="14">
        <f t="shared" si="69"/>
        <v>0</v>
      </c>
      <c r="N190" s="14">
        <f t="shared" si="69"/>
        <v>0</v>
      </c>
      <c r="O190" s="14">
        <f t="shared" si="69"/>
        <v>0</v>
      </c>
      <c r="P190" s="130"/>
    </row>
    <row r="191" spans="2:17" ht="25.5" customHeight="1" x14ac:dyDescent="0.2">
      <c r="B191" s="111" t="s">
        <v>430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3"/>
    </row>
    <row r="192" spans="2:17" ht="42.75" outlineLevel="1" x14ac:dyDescent="0.2">
      <c r="B192" s="117" t="s">
        <v>1482</v>
      </c>
      <c r="C192" s="128"/>
      <c r="D192" s="150" t="s">
        <v>1537</v>
      </c>
      <c r="E192" s="117">
        <v>2020</v>
      </c>
      <c r="F192" s="180"/>
      <c r="G192" s="139"/>
      <c r="H192" s="84" t="s">
        <v>3</v>
      </c>
      <c r="I192" s="83">
        <f>SUM(J192:O192)</f>
        <v>1.35</v>
      </c>
      <c r="J192" s="83">
        <f t="shared" ref="J192:O192" si="70">J193+J194+J195</f>
        <v>1.35</v>
      </c>
      <c r="K192" s="83">
        <f t="shared" si="70"/>
        <v>0</v>
      </c>
      <c r="L192" s="83">
        <f t="shared" si="70"/>
        <v>0</v>
      </c>
      <c r="M192" s="83">
        <f t="shared" si="70"/>
        <v>0</v>
      </c>
      <c r="N192" s="83">
        <f t="shared" si="70"/>
        <v>0</v>
      </c>
      <c r="O192" s="83">
        <f t="shared" si="70"/>
        <v>0</v>
      </c>
      <c r="P192" s="178">
        <v>200</v>
      </c>
    </row>
    <row r="193" spans="2:17" ht="17.25" customHeight="1" outlineLevel="1" x14ac:dyDescent="0.2">
      <c r="B193" s="118"/>
      <c r="C193" s="129"/>
      <c r="D193" s="151"/>
      <c r="E193" s="118"/>
      <c r="F193" s="181"/>
      <c r="G193" s="140"/>
      <c r="H193" s="84" t="s">
        <v>4</v>
      </c>
      <c r="I193" s="83"/>
      <c r="J193" s="83"/>
      <c r="K193" s="83"/>
      <c r="L193" s="75"/>
      <c r="M193" s="83"/>
      <c r="N193" s="83"/>
      <c r="O193" s="83"/>
      <c r="P193" s="178"/>
    </row>
    <row r="194" spans="2:17" ht="17.25" customHeight="1" outlineLevel="1" x14ac:dyDescent="0.2">
      <c r="B194" s="118"/>
      <c r="C194" s="129"/>
      <c r="D194" s="151"/>
      <c r="E194" s="118"/>
      <c r="F194" s="181"/>
      <c r="G194" s="140"/>
      <c r="H194" s="84" t="s">
        <v>6</v>
      </c>
      <c r="I194" s="83">
        <f>SUM(J194:O194)</f>
        <v>1.35</v>
      </c>
      <c r="J194" s="83">
        <v>1.35</v>
      </c>
      <c r="K194" s="83"/>
      <c r="L194" s="75"/>
      <c r="M194" s="83"/>
      <c r="N194" s="83"/>
      <c r="O194" s="83"/>
      <c r="P194" s="178"/>
    </row>
    <row r="195" spans="2:17" ht="17.25" customHeight="1" outlineLevel="1" x14ac:dyDescent="0.2">
      <c r="B195" s="119"/>
      <c r="C195" s="130"/>
      <c r="D195" s="152"/>
      <c r="E195" s="119"/>
      <c r="F195" s="182"/>
      <c r="G195" s="141"/>
      <c r="H195" s="84" t="s">
        <v>5</v>
      </c>
      <c r="I195" s="83"/>
      <c r="J195" s="75"/>
      <c r="K195" s="75"/>
      <c r="L195" s="75"/>
      <c r="M195" s="75"/>
      <c r="N195" s="75"/>
      <c r="O195" s="75"/>
      <c r="P195" s="178"/>
    </row>
    <row r="196" spans="2:17" ht="42.75" x14ac:dyDescent="0.2">
      <c r="B196" s="128" t="s">
        <v>448</v>
      </c>
      <c r="C196" s="128" t="s">
        <v>38</v>
      </c>
      <c r="D196" s="128" t="s">
        <v>38</v>
      </c>
      <c r="E196" s="128" t="s">
        <v>38</v>
      </c>
      <c r="F196" s="128" t="s">
        <v>38</v>
      </c>
      <c r="G196" s="128" t="s">
        <v>38</v>
      </c>
      <c r="H196" s="84" t="s">
        <v>3</v>
      </c>
      <c r="I196" s="14">
        <f>SUMIF($H$192:$H$195,"Объем*",I$192:I$195)</f>
        <v>1.35</v>
      </c>
      <c r="J196" s="14">
        <f t="shared" ref="J196:O196" si="71">SUMIF($H$192:$H$195,"Объем*",J$192:J$195)</f>
        <v>1.35</v>
      </c>
      <c r="K196" s="14">
        <f t="shared" si="71"/>
        <v>0</v>
      </c>
      <c r="L196" s="14">
        <f t="shared" si="71"/>
        <v>0</v>
      </c>
      <c r="M196" s="14">
        <f t="shared" si="71"/>
        <v>0</v>
      </c>
      <c r="N196" s="14">
        <f t="shared" si="71"/>
        <v>0</v>
      </c>
      <c r="O196" s="14">
        <f t="shared" si="71"/>
        <v>0</v>
      </c>
      <c r="P196" s="128"/>
      <c r="Q196" s="7"/>
    </row>
    <row r="197" spans="2:17" ht="15.75" x14ac:dyDescent="0.2">
      <c r="B197" s="129"/>
      <c r="C197" s="129"/>
      <c r="D197" s="129"/>
      <c r="E197" s="129"/>
      <c r="F197" s="129"/>
      <c r="G197" s="129"/>
      <c r="H197" s="84" t="s">
        <v>4</v>
      </c>
      <c r="I197" s="14">
        <f>SUMIF($H$192:$H$195,"фед*",I$192:I$195)</f>
        <v>0</v>
      </c>
      <c r="J197" s="14">
        <f t="shared" ref="J197:O197" si="72">SUMIF($H$192:$H$195,"фед*",J$192:J$195)</f>
        <v>0</v>
      </c>
      <c r="K197" s="14">
        <f t="shared" si="72"/>
        <v>0</v>
      </c>
      <c r="L197" s="14">
        <f t="shared" si="72"/>
        <v>0</v>
      </c>
      <c r="M197" s="14">
        <f t="shared" si="72"/>
        <v>0</v>
      </c>
      <c r="N197" s="14">
        <f t="shared" si="72"/>
        <v>0</v>
      </c>
      <c r="O197" s="14">
        <f t="shared" si="72"/>
        <v>0</v>
      </c>
      <c r="P197" s="129"/>
    </row>
    <row r="198" spans="2:17" ht="15.75" x14ac:dyDescent="0.2">
      <c r="B198" s="129"/>
      <c r="C198" s="129"/>
      <c r="D198" s="129"/>
      <c r="E198" s="129"/>
      <c r="F198" s="129"/>
      <c r="G198" s="129"/>
      <c r="H198" s="84" t="s">
        <v>6</v>
      </c>
      <c r="I198" s="14">
        <f>SUMIF($H$192:$H$195,"конс*",I$192:I$195)</f>
        <v>1.35</v>
      </c>
      <c r="J198" s="14">
        <f t="shared" ref="J198:O198" si="73">SUMIF($H$192:$H$195,"конс*",J$192:J$195)</f>
        <v>1.35</v>
      </c>
      <c r="K198" s="14">
        <f t="shared" si="73"/>
        <v>0</v>
      </c>
      <c r="L198" s="14">
        <f t="shared" si="73"/>
        <v>0</v>
      </c>
      <c r="M198" s="14">
        <f t="shared" si="73"/>
        <v>0</v>
      </c>
      <c r="N198" s="14">
        <f t="shared" si="73"/>
        <v>0</v>
      </c>
      <c r="O198" s="14">
        <f t="shared" si="73"/>
        <v>0</v>
      </c>
      <c r="P198" s="129"/>
    </row>
    <row r="199" spans="2:17" ht="15.75" x14ac:dyDescent="0.2">
      <c r="B199" s="130"/>
      <c r="C199" s="130"/>
      <c r="D199" s="130"/>
      <c r="E199" s="130"/>
      <c r="F199" s="130"/>
      <c r="G199" s="130"/>
      <c r="H199" s="84" t="s">
        <v>5</v>
      </c>
      <c r="I199" s="14">
        <f>SUMIF($H$192:$H$195,"вне*",I$192:I$195)</f>
        <v>0</v>
      </c>
      <c r="J199" s="14">
        <f t="shared" ref="J199:O199" si="74">SUMIF($H$192:$H$195,"вне*",J$192:J$195)</f>
        <v>0</v>
      </c>
      <c r="K199" s="14">
        <f t="shared" si="74"/>
        <v>0</v>
      </c>
      <c r="L199" s="14">
        <f t="shared" si="74"/>
        <v>0</v>
      </c>
      <c r="M199" s="14">
        <f t="shared" si="74"/>
        <v>0</v>
      </c>
      <c r="N199" s="14">
        <f t="shared" si="74"/>
        <v>0</v>
      </c>
      <c r="O199" s="14">
        <f t="shared" si="74"/>
        <v>0</v>
      </c>
      <c r="P199" s="130"/>
    </row>
    <row r="200" spans="2:17" ht="25.5" customHeight="1" x14ac:dyDescent="0.2">
      <c r="B200" s="111" t="s">
        <v>449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3"/>
    </row>
    <row r="201" spans="2:17" ht="42.75" outlineLevel="1" x14ac:dyDescent="0.2">
      <c r="B201" s="117" t="s">
        <v>1538</v>
      </c>
      <c r="C201" s="128"/>
      <c r="D201" s="150" t="s">
        <v>1539</v>
      </c>
      <c r="E201" s="117">
        <v>2020</v>
      </c>
      <c r="F201" s="117"/>
      <c r="G201" s="139" t="s">
        <v>566</v>
      </c>
      <c r="H201" s="84" t="s">
        <v>3</v>
      </c>
      <c r="I201" s="83">
        <f>SUM(J201:O201)</f>
        <v>0.15</v>
      </c>
      <c r="J201" s="83">
        <f t="shared" ref="J201:O201" si="75">J202+J203+J204</f>
        <v>0.15</v>
      </c>
      <c r="K201" s="83">
        <f t="shared" si="75"/>
        <v>0</v>
      </c>
      <c r="L201" s="83">
        <f t="shared" si="75"/>
        <v>0</v>
      </c>
      <c r="M201" s="83">
        <f t="shared" si="75"/>
        <v>0</v>
      </c>
      <c r="N201" s="83">
        <f t="shared" si="75"/>
        <v>0</v>
      </c>
      <c r="O201" s="83">
        <f t="shared" si="75"/>
        <v>0</v>
      </c>
      <c r="P201" s="178">
        <v>521</v>
      </c>
    </row>
    <row r="202" spans="2:17" ht="17.25" customHeight="1" outlineLevel="1" x14ac:dyDescent="0.2">
      <c r="B202" s="118"/>
      <c r="C202" s="129"/>
      <c r="D202" s="151"/>
      <c r="E202" s="118"/>
      <c r="F202" s="118"/>
      <c r="G202" s="140"/>
      <c r="H202" s="84" t="s">
        <v>4</v>
      </c>
      <c r="I202" s="83"/>
      <c r="J202" s="83"/>
      <c r="K202" s="83"/>
      <c r="L202" s="75"/>
      <c r="M202" s="83"/>
      <c r="N202" s="83"/>
      <c r="O202" s="83"/>
      <c r="P202" s="178"/>
    </row>
    <row r="203" spans="2:17" ht="17.25" customHeight="1" outlineLevel="1" x14ac:dyDescent="0.2">
      <c r="B203" s="118"/>
      <c r="C203" s="129"/>
      <c r="D203" s="151"/>
      <c r="E203" s="118"/>
      <c r="F203" s="118"/>
      <c r="G203" s="140"/>
      <c r="H203" s="84" t="s">
        <v>6</v>
      </c>
      <c r="I203" s="83">
        <f>SUM(J203:O203)</f>
        <v>0.15</v>
      </c>
      <c r="J203" s="83">
        <v>0.15</v>
      </c>
      <c r="K203" s="83"/>
      <c r="L203" s="75"/>
      <c r="M203" s="83"/>
      <c r="N203" s="83"/>
      <c r="O203" s="83"/>
      <c r="P203" s="178"/>
    </row>
    <row r="204" spans="2:17" ht="17.25" customHeight="1" outlineLevel="1" x14ac:dyDescent="0.2">
      <c r="B204" s="119"/>
      <c r="C204" s="130"/>
      <c r="D204" s="152"/>
      <c r="E204" s="119"/>
      <c r="F204" s="119"/>
      <c r="G204" s="141"/>
      <c r="H204" s="84" t="s">
        <v>5</v>
      </c>
      <c r="I204" s="83"/>
      <c r="J204" s="75"/>
      <c r="K204" s="75"/>
      <c r="L204" s="75"/>
      <c r="M204" s="75"/>
      <c r="N204" s="75"/>
      <c r="O204" s="75"/>
      <c r="P204" s="178"/>
    </row>
    <row r="205" spans="2:17" ht="42.75" customHeight="1" outlineLevel="1" x14ac:dyDescent="0.2">
      <c r="B205" s="117" t="s">
        <v>1540</v>
      </c>
      <c r="C205" s="128"/>
      <c r="D205" s="150" t="s">
        <v>1541</v>
      </c>
      <c r="E205" s="117">
        <v>2021</v>
      </c>
      <c r="F205" s="117"/>
      <c r="G205" s="139" t="s">
        <v>566</v>
      </c>
      <c r="H205" s="84" t="s">
        <v>3</v>
      </c>
      <c r="I205" s="83">
        <f>SUM(J205:O205)</f>
        <v>1.2</v>
      </c>
      <c r="J205" s="83">
        <f t="shared" ref="J205:O205" si="76">J206+J207+J208</f>
        <v>0</v>
      </c>
      <c r="K205" s="83">
        <f t="shared" si="76"/>
        <v>1.2</v>
      </c>
      <c r="L205" s="83">
        <f t="shared" si="76"/>
        <v>0</v>
      </c>
      <c r="M205" s="83">
        <f t="shared" si="76"/>
        <v>0</v>
      </c>
      <c r="N205" s="83">
        <f t="shared" si="76"/>
        <v>0</v>
      </c>
      <c r="O205" s="83">
        <f t="shared" si="76"/>
        <v>0</v>
      </c>
      <c r="P205" s="178">
        <v>320</v>
      </c>
    </row>
    <row r="206" spans="2:17" ht="17.25" customHeight="1" outlineLevel="1" x14ac:dyDescent="0.2">
      <c r="B206" s="118"/>
      <c r="C206" s="129"/>
      <c r="D206" s="151"/>
      <c r="E206" s="118"/>
      <c r="F206" s="118"/>
      <c r="G206" s="140"/>
      <c r="H206" s="84" t="s">
        <v>4</v>
      </c>
      <c r="I206" s="83"/>
      <c r="J206" s="83"/>
      <c r="K206" s="83"/>
      <c r="L206" s="75"/>
      <c r="M206" s="83"/>
      <c r="N206" s="83"/>
      <c r="O206" s="83"/>
      <c r="P206" s="178"/>
    </row>
    <row r="207" spans="2:17" ht="17.25" customHeight="1" outlineLevel="1" x14ac:dyDescent="0.2">
      <c r="B207" s="118"/>
      <c r="C207" s="129"/>
      <c r="D207" s="151"/>
      <c r="E207" s="118"/>
      <c r="F207" s="118"/>
      <c r="G207" s="140"/>
      <c r="H207" s="84" t="s">
        <v>6</v>
      </c>
      <c r="I207" s="83">
        <f>SUM(J207:O207)</f>
        <v>1.2</v>
      </c>
      <c r="J207" s="83"/>
      <c r="K207" s="83">
        <v>1.2</v>
      </c>
      <c r="L207" s="75"/>
      <c r="M207" s="83"/>
      <c r="N207" s="83"/>
      <c r="O207" s="83"/>
      <c r="P207" s="178"/>
    </row>
    <row r="208" spans="2:17" ht="17.25" customHeight="1" outlineLevel="1" x14ac:dyDescent="0.2">
      <c r="B208" s="119"/>
      <c r="C208" s="130"/>
      <c r="D208" s="152"/>
      <c r="E208" s="119"/>
      <c r="F208" s="119"/>
      <c r="G208" s="141"/>
      <c r="H208" s="84" t="s">
        <v>5</v>
      </c>
      <c r="I208" s="83"/>
      <c r="J208" s="75"/>
      <c r="K208" s="75"/>
      <c r="L208" s="75"/>
      <c r="M208" s="75"/>
      <c r="N208" s="75"/>
      <c r="O208" s="75"/>
      <c r="P208" s="178"/>
    </row>
    <row r="209" spans="2:17" ht="42.75" x14ac:dyDescent="0.2">
      <c r="B209" s="128" t="s">
        <v>452</v>
      </c>
      <c r="C209" s="128" t="s">
        <v>38</v>
      </c>
      <c r="D209" s="128" t="s">
        <v>38</v>
      </c>
      <c r="E209" s="128" t="s">
        <v>38</v>
      </c>
      <c r="F209" s="128" t="s">
        <v>38</v>
      </c>
      <c r="G209" s="128" t="s">
        <v>38</v>
      </c>
      <c r="H209" s="84" t="s">
        <v>3</v>
      </c>
      <c r="I209" s="14">
        <f>SUMIF($H$201:$H$208,"Объем*",I$201:I$208)</f>
        <v>1.3499999999999999</v>
      </c>
      <c r="J209" s="14">
        <f t="shared" ref="J209:O209" si="77">SUMIF($H$201:$H$208,"Объем*",J$201:J$208)</f>
        <v>0.15</v>
      </c>
      <c r="K209" s="14">
        <f t="shared" si="77"/>
        <v>1.2</v>
      </c>
      <c r="L209" s="14">
        <f t="shared" si="77"/>
        <v>0</v>
      </c>
      <c r="M209" s="14">
        <f t="shared" si="77"/>
        <v>0</v>
      </c>
      <c r="N209" s="14">
        <f t="shared" si="77"/>
        <v>0</v>
      </c>
      <c r="O209" s="14">
        <f t="shared" si="77"/>
        <v>0</v>
      </c>
      <c r="P209" s="128"/>
      <c r="Q209" s="7"/>
    </row>
    <row r="210" spans="2:17" ht="15.75" x14ac:dyDescent="0.2">
      <c r="B210" s="129"/>
      <c r="C210" s="129"/>
      <c r="D210" s="129"/>
      <c r="E210" s="129"/>
      <c r="F210" s="129"/>
      <c r="G210" s="129"/>
      <c r="H210" s="84" t="s">
        <v>4</v>
      </c>
      <c r="I210" s="14">
        <f>SUMIF($H$201:$H$208,"фед*",I$201:I$208)</f>
        <v>0</v>
      </c>
      <c r="J210" s="14">
        <f t="shared" ref="J210:O210" si="78">SUMIF($H$201:$H$208,"фед*",J$201:J$208)</f>
        <v>0</v>
      </c>
      <c r="K210" s="14">
        <f t="shared" si="78"/>
        <v>0</v>
      </c>
      <c r="L210" s="14">
        <f t="shared" si="78"/>
        <v>0</v>
      </c>
      <c r="M210" s="14">
        <f t="shared" si="78"/>
        <v>0</v>
      </c>
      <c r="N210" s="14">
        <f t="shared" si="78"/>
        <v>0</v>
      </c>
      <c r="O210" s="14">
        <f t="shared" si="78"/>
        <v>0</v>
      </c>
      <c r="P210" s="129"/>
    </row>
    <row r="211" spans="2:17" ht="15.75" x14ac:dyDescent="0.2">
      <c r="B211" s="129"/>
      <c r="C211" s="129"/>
      <c r="D211" s="129"/>
      <c r="E211" s="129"/>
      <c r="F211" s="129"/>
      <c r="G211" s="129"/>
      <c r="H211" s="84" t="s">
        <v>6</v>
      </c>
      <c r="I211" s="14">
        <f>SUMIF($H$201:$H$208,"конс*",I$201:I$208)</f>
        <v>1.3499999999999999</v>
      </c>
      <c r="J211" s="14">
        <f t="shared" ref="J211:O211" si="79">SUMIF($H$201:$H$208,"конс*",J$201:J$208)</f>
        <v>0.15</v>
      </c>
      <c r="K211" s="14">
        <f t="shared" si="79"/>
        <v>1.2</v>
      </c>
      <c r="L211" s="14">
        <f t="shared" si="79"/>
        <v>0</v>
      </c>
      <c r="M211" s="14">
        <f t="shared" si="79"/>
        <v>0</v>
      </c>
      <c r="N211" s="14">
        <f t="shared" si="79"/>
        <v>0</v>
      </c>
      <c r="O211" s="14">
        <f t="shared" si="79"/>
        <v>0</v>
      </c>
      <c r="P211" s="129"/>
    </row>
    <row r="212" spans="2:17" ht="15.75" x14ac:dyDescent="0.2">
      <c r="B212" s="130"/>
      <c r="C212" s="130"/>
      <c r="D212" s="130"/>
      <c r="E212" s="130"/>
      <c r="F212" s="130"/>
      <c r="G212" s="130"/>
      <c r="H212" s="84" t="s">
        <v>5</v>
      </c>
      <c r="I212" s="14">
        <f>SUMIF($H$201:$H$208,"вне*",I$201:I$208)</f>
        <v>0</v>
      </c>
      <c r="J212" s="14">
        <f t="shared" ref="J212:O212" si="80">SUMIF($H$201:$H$208,"вне*",J$201:J$208)</f>
        <v>0</v>
      </c>
      <c r="K212" s="14">
        <f t="shared" si="80"/>
        <v>0</v>
      </c>
      <c r="L212" s="14">
        <f t="shared" si="80"/>
        <v>0</v>
      </c>
      <c r="M212" s="14">
        <f t="shared" si="80"/>
        <v>0</v>
      </c>
      <c r="N212" s="14">
        <f t="shared" si="80"/>
        <v>0</v>
      </c>
      <c r="O212" s="14">
        <f t="shared" si="80"/>
        <v>0</v>
      </c>
      <c r="P212" s="130"/>
    </row>
    <row r="213" spans="2:17" ht="42.75" x14ac:dyDescent="0.2">
      <c r="B213" s="128" t="s">
        <v>77</v>
      </c>
      <c r="C213" s="128" t="s">
        <v>38</v>
      </c>
      <c r="D213" s="128" t="s">
        <v>38</v>
      </c>
      <c r="E213" s="128" t="s">
        <v>38</v>
      </c>
      <c r="F213" s="128" t="s">
        <v>38</v>
      </c>
      <c r="G213" s="128" t="s">
        <v>38</v>
      </c>
      <c r="H213" s="84" t="s">
        <v>3</v>
      </c>
      <c r="I213" s="14">
        <f t="shared" ref="I213:O216" si="81">I26+I51+I88+I101+I114+I148+I131+I157+I166+I187+I196+I209</f>
        <v>71.039119999999983</v>
      </c>
      <c r="J213" s="14">
        <f t="shared" si="81"/>
        <v>14.054120000000001</v>
      </c>
      <c r="K213" s="14">
        <f t="shared" si="81"/>
        <v>19.584999999999997</v>
      </c>
      <c r="L213" s="14">
        <f t="shared" si="81"/>
        <v>10.5</v>
      </c>
      <c r="M213" s="14">
        <f t="shared" si="81"/>
        <v>9.3000000000000007</v>
      </c>
      <c r="N213" s="14">
        <f t="shared" si="81"/>
        <v>9.8000000000000007</v>
      </c>
      <c r="O213" s="14">
        <f t="shared" si="81"/>
        <v>7.8</v>
      </c>
      <c r="P213" s="128"/>
      <c r="Q213" s="7"/>
    </row>
    <row r="214" spans="2:17" ht="15.75" x14ac:dyDescent="0.2">
      <c r="B214" s="129"/>
      <c r="C214" s="129"/>
      <c r="D214" s="129"/>
      <c r="E214" s="129"/>
      <c r="F214" s="129"/>
      <c r="G214" s="129"/>
      <c r="H214" s="84" t="s">
        <v>4</v>
      </c>
      <c r="I214" s="14">
        <f t="shared" si="81"/>
        <v>0</v>
      </c>
      <c r="J214" s="14">
        <f t="shared" si="81"/>
        <v>0</v>
      </c>
      <c r="K214" s="14">
        <f t="shared" si="81"/>
        <v>0</v>
      </c>
      <c r="L214" s="14">
        <f t="shared" si="81"/>
        <v>0</v>
      </c>
      <c r="M214" s="14">
        <f t="shared" si="81"/>
        <v>0</v>
      </c>
      <c r="N214" s="14">
        <f t="shared" si="81"/>
        <v>0</v>
      </c>
      <c r="O214" s="14">
        <f t="shared" si="81"/>
        <v>0</v>
      </c>
      <c r="P214" s="129"/>
      <c r="Q214" s="7"/>
    </row>
    <row r="215" spans="2:17" ht="15.75" x14ac:dyDescent="0.2">
      <c r="B215" s="129"/>
      <c r="C215" s="129"/>
      <c r="D215" s="129"/>
      <c r="E215" s="129"/>
      <c r="F215" s="129"/>
      <c r="G215" s="129"/>
      <c r="H215" s="84" t="s">
        <v>6</v>
      </c>
      <c r="I215" s="14">
        <f t="shared" si="81"/>
        <v>71.039119999999983</v>
      </c>
      <c r="J215" s="14">
        <f t="shared" si="81"/>
        <v>14.054120000000001</v>
      </c>
      <c r="K215" s="14">
        <f t="shared" si="81"/>
        <v>19.584999999999997</v>
      </c>
      <c r="L215" s="14">
        <f t="shared" si="81"/>
        <v>10.5</v>
      </c>
      <c r="M215" s="14">
        <f t="shared" si="81"/>
        <v>9.3000000000000007</v>
      </c>
      <c r="N215" s="14">
        <f t="shared" si="81"/>
        <v>9.8000000000000007</v>
      </c>
      <c r="O215" s="14">
        <f t="shared" si="81"/>
        <v>7.8</v>
      </c>
      <c r="P215" s="129"/>
      <c r="Q215" s="7"/>
    </row>
    <row r="216" spans="2:17" ht="15.75" x14ac:dyDescent="0.2">
      <c r="B216" s="130"/>
      <c r="C216" s="130"/>
      <c r="D216" s="130"/>
      <c r="E216" s="130"/>
      <c r="F216" s="130"/>
      <c r="G216" s="130"/>
      <c r="H216" s="84" t="s">
        <v>5</v>
      </c>
      <c r="I216" s="14">
        <f t="shared" si="81"/>
        <v>0</v>
      </c>
      <c r="J216" s="14">
        <f t="shared" si="81"/>
        <v>0</v>
      </c>
      <c r="K216" s="14">
        <f t="shared" si="81"/>
        <v>0</v>
      </c>
      <c r="L216" s="14">
        <f t="shared" si="81"/>
        <v>0</v>
      </c>
      <c r="M216" s="14">
        <f t="shared" si="81"/>
        <v>0</v>
      </c>
      <c r="N216" s="14">
        <f t="shared" si="81"/>
        <v>0</v>
      </c>
      <c r="O216" s="14">
        <f t="shared" si="81"/>
        <v>0</v>
      </c>
      <c r="P216" s="130"/>
      <c r="Q216" s="7"/>
    </row>
    <row r="217" spans="2:17" x14ac:dyDescent="0.2">
      <c r="Q217" s="7"/>
    </row>
  </sheetData>
  <mergeCells count="371">
    <mergeCell ref="P213:P216"/>
    <mergeCell ref="B213:B216"/>
    <mergeCell ref="C213:C216"/>
    <mergeCell ref="D213:D216"/>
    <mergeCell ref="E213:E216"/>
    <mergeCell ref="F213:F216"/>
    <mergeCell ref="G213:G216"/>
    <mergeCell ref="P205:P208"/>
    <mergeCell ref="B209:B212"/>
    <mergeCell ref="C209:C212"/>
    <mergeCell ref="D209:D212"/>
    <mergeCell ref="E209:E212"/>
    <mergeCell ref="F209:F212"/>
    <mergeCell ref="G209:G212"/>
    <mergeCell ref="P209:P212"/>
    <mergeCell ref="B205:B208"/>
    <mergeCell ref="C205:C208"/>
    <mergeCell ref="D205:D208"/>
    <mergeCell ref="E205:E208"/>
    <mergeCell ref="F205:F208"/>
    <mergeCell ref="G205:G208"/>
    <mergeCell ref="P196:P199"/>
    <mergeCell ref="B200:P200"/>
    <mergeCell ref="B201:B204"/>
    <mergeCell ref="C201:C204"/>
    <mergeCell ref="D201:D204"/>
    <mergeCell ref="E201:E204"/>
    <mergeCell ref="F201:F204"/>
    <mergeCell ref="G201:G204"/>
    <mergeCell ref="P201:P204"/>
    <mergeCell ref="B196:B199"/>
    <mergeCell ref="C196:C199"/>
    <mergeCell ref="D196:D199"/>
    <mergeCell ref="E196:E199"/>
    <mergeCell ref="F196:F199"/>
    <mergeCell ref="G196:G199"/>
    <mergeCell ref="B191:P191"/>
    <mergeCell ref="B192:B195"/>
    <mergeCell ref="C192:C195"/>
    <mergeCell ref="D192:D195"/>
    <mergeCell ref="E192:E195"/>
    <mergeCell ref="F192:F195"/>
    <mergeCell ref="G192:G195"/>
    <mergeCell ref="P192:P195"/>
    <mergeCell ref="P183:P186"/>
    <mergeCell ref="B187:B190"/>
    <mergeCell ref="C187:C190"/>
    <mergeCell ref="D187:D190"/>
    <mergeCell ref="E187:E190"/>
    <mergeCell ref="F187:F190"/>
    <mergeCell ref="G187:G190"/>
    <mergeCell ref="P187:P190"/>
    <mergeCell ref="B183:B186"/>
    <mergeCell ref="C183:C186"/>
    <mergeCell ref="D183:D186"/>
    <mergeCell ref="E183:E186"/>
    <mergeCell ref="F183:F186"/>
    <mergeCell ref="G183:G186"/>
    <mergeCell ref="P175:P178"/>
    <mergeCell ref="B179:B182"/>
    <mergeCell ref="C179:C182"/>
    <mergeCell ref="D179:D182"/>
    <mergeCell ref="E179:E182"/>
    <mergeCell ref="F179:F182"/>
    <mergeCell ref="G179:G182"/>
    <mergeCell ref="P179:P182"/>
    <mergeCell ref="B175:B178"/>
    <mergeCell ref="C175:C178"/>
    <mergeCell ref="D175:D178"/>
    <mergeCell ref="E175:E178"/>
    <mergeCell ref="F175:F178"/>
    <mergeCell ref="G175:G178"/>
    <mergeCell ref="P166:P169"/>
    <mergeCell ref="B170:P170"/>
    <mergeCell ref="B171:B174"/>
    <mergeCell ref="C171:C174"/>
    <mergeCell ref="D171:D174"/>
    <mergeCell ref="E171:E174"/>
    <mergeCell ref="F171:F174"/>
    <mergeCell ref="G171:G174"/>
    <mergeCell ref="P171:P174"/>
    <mergeCell ref="B166:B169"/>
    <mergeCell ref="C166:C169"/>
    <mergeCell ref="D166:D169"/>
    <mergeCell ref="E166:E169"/>
    <mergeCell ref="F166:F169"/>
    <mergeCell ref="G166:G169"/>
    <mergeCell ref="P157:P160"/>
    <mergeCell ref="B161:P161"/>
    <mergeCell ref="B162:B165"/>
    <mergeCell ref="C162:C165"/>
    <mergeCell ref="D162:D165"/>
    <mergeCell ref="E162:E165"/>
    <mergeCell ref="F162:F165"/>
    <mergeCell ref="G162:G165"/>
    <mergeCell ref="P162:P165"/>
    <mergeCell ref="B157:B160"/>
    <mergeCell ref="C157:C160"/>
    <mergeCell ref="D157:D160"/>
    <mergeCell ref="E157:E160"/>
    <mergeCell ref="F157:F160"/>
    <mergeCell ref="G157:G160"/>
    <mergeCell ref="P148:P151"/>
    <mergeCell ref="B152:P152"/>
    <mergeCell ref="B153:B156"/>
    <mergeCell ref="C153:C156"/>
    <mergeCell ref="D153:D156"/>
    <mergeCell ref="E153:E156"/>
    <mergeCell ref="F153:F156"/>
    <mergeCell ref="G153:G156"/>
    <mergeCell ref="P153:P156"/>
    <mergeCell ref="B148:B151"/>
    <mergeCell ref="C148:C151"/>
    <mergeCell ref="D148:D151"/>
    <mergeCell ref="E148:E151"/>
    <mergeCell ref="F148:F151"/>
    <mergeCell ref="G148:G151"/>
    <mergeCell ref="P140:P143"/>
    <mergeCell ref="B144:B147"/>
    <mergeCell ref="C144:C147"/>
    <mergeCell ref="D144:D147"/>
    <mergeCell ref="E144:E147"/>
    <mergeCell ref="F144:F147"/>
    <mergeCell ref="G144:G147"/>
    <mergeCell ref="P144:P147"/>
    <mergeCell ref="B140:B143"/>
    <mergeCell ref="C140:C143"/>
    <mergeCell ref="D140:D143"/>
    <mergeCell ref="E140:E143"/>
    <mergeCell ref="F140:F143"/>
    <mergeCell ref="G140:G143"/>
    <mergeCell ref="P131:P134"/>
    <mergeCell ref="B135:P135"/>
    <mergeCell ref="B136:B139"/>
    <mergeCell ref="C136:C139"/>
    <mergeCell ref="D136:D139"/>
    <mergeCell ref="E136:E139"/>
    <mergeCell ref="F136:F139"/>
    <mergeCell ref="G136:G139"/>
    <mergeCell ref="P136:P139"/>
    <mergeCell ref="B131:B134"/>
    <mergeCell ref="C131:C134"/>
    <mergeCell ref="D131:D134"/>
    <mergeCell ref="E131:E134"/>
    <mergeCell ref="F131:F134"/>
    <mergeCell ref="G131:G134"/>
    <mergeCell ref="P123:P126"/>
    <mergeCell ref="B127:B130"/>
    <mergeCell ref="C127:C130"/>
    <mergeCell ref="D127:D130"/>
    <mergeCell ref="E127:E130"/>
    <mergeCell ref="F127:F130"/>
    <mergeCell ref="G127:G130"/>
    <mergeCell ref="P127:P130"/>
    <mergeCell ref="B123:B126"/>
    <mergeCell ref="C123:C126"/>
    <mergeCell ref="D123:D126"/>
    <mergeCell ref="E123:E126"/>
    <mergeCell ref="F123:F126"/>
    <mergeCell ref="G123:G126"/>
    <mergeCell ref="B118:P118"/>
    <mergeCell ref="B119:B122"/>
    <mergeCell ref="C119:C122"/>
    <mergeCell ref="D119:D122"/>
    <mergeCell ref="E119:E122"/>
    <mergeCell ref="F119:F122"/>
    <mergeCell ref="G119:G122"/>
    <mergeCell ref="P119:P122"/>
    <mergeCell ref="P110:P113"/>
    <mergeCell ref="B114:B117"/>
    <mergeCell ref="C114:C117"/>
    <mergeCell ref="D114:D117"/>
    <mergeCell ref="E114:E117"/>
    <mergeCell ref="F114:F117"/>
    <mergeCell ref="G114:G117"/>
    <mergeCell ref="P114:P117"/>
    <mergeCell ref="B110:B113"/>
    <mergeCell ref="C110:C113"/>
    <mergeCell ref="D110:D113"/>
    <mergeCell ref="E110:E113"/>
    <mergeCell ref="F110:F113"/>
    <mergeCell ref="G110:G113"/>
    <mergeCell ref="B105:P105"/>
    <mergeCell ref="B106:B109"/>
    <mergeCell ref="C106:C109"/>
    <mergeCell ref="D106:D109"/>
    <mergeCell ref="E106:E109"/>
    <mergeCell ref="F106:F109"/>
    <mergeCell ref="G106:G109"/>
    <mergeCell ref="P106:P109"/>
    <mergeCell ref="P97:P100"/>
    <mergeCell ref="B101:B104"/>
    <mergeCell ref="C101:C104"/>
    <mergeCell ref="D101:D104"/>
    <mergeCell ref="E101:E104"/>
    <mergeCell ref="F101:F104"/>
    <mergeCell ref="G101:G104"/>
    <mergeCell ref="P101:P104"/>
    <mergeCell ref="B97:B100"/>
    <mergeCell ref="C97:C100"/>
    <mergeCell ref="D97:D100"/>
    <mergeCell ref="E97:E100"/>
    <mergeCell ref="F97:F100"/>
    <mergeCell ref="G97:G100"/>
    <mergeCell ref="B92:P92"/>
    <mergeCell ref="B93:B96"/>
    <mergeCell ref="C93:C96"/>
    <mergeCell ref="D93:D96"/>
    <mergeCell ref="E93:E96"/>
    <mergeCell ref="F93:F96"/>
    <mergeCell ref="G93:G96"/>
    <mergeCell ref="P93:P96"/>
    <mergeCell ref="P84:P87"/>
    <mergeCell ref="B88:B91"/>
    <mergeCell ref="C88:C91"/>
    <mergeCell ref="D88:D91"/>
    <mergeCell ref="E88:E91"/>
    <mergeCell ref="F88:F91"/>
    <mergeCell ref="G88:G91"/>
    <mergeCell ref="P88:P91"/>
    <mergeCell ref="B84:B87"/>
    <mergeCell ref="C84:C87"/>
    <mergeCell ref="D84:D87"/>
    <mergeCell ref="E84:E87"/>
    <mergeCell ref="F84:F87"/>
    <mergeCell ref="G84:G87"/>
    <mergeCell ref="P76:P79"/>
    <mergeCell ref="B80:B83"/>
    <mergeCell ref="C80:C83"/>
    <mergeCell ref="D80:D83"/>
    <mergeCell ref="E80:E83"/>
    <mergeCell ref="F80:F83"/>
    <mergeCell ref="G80:G83"/>
    <mergeCell ref="P80:P83"/>
    <mergeCell ref="B76:B79"/>
    <mergeCell ref="C76:C79"/>
    <mergeCell ref="D76:D79"/>
    <mergeCell ref="E76:E79"/>
    <mergeCell ref="F76:F79"/>
    <mergeCell ref="G76:G79"/>
    <mergeCell ref="P68:P71"/>
    <mergeCell ref="B72:B75"/>
    <mergeCell ref="C72:C75"/>
    <mergeCell ref="D72:D75"/>
    <mergeCell ref="E72:E75"/>
    <mergeCell ref="F72:F75"/>
    <mergeCell ref="G72:G75"/>
    <mergeCell ref="P72:P75"/>
    <mergeCell ref="B68:B71"/>
    <mergeCell ref="C68:C71"/>
    <mergeCell ref="D68:D71"/>
    <mergeCell ref="E68:E71"/>
    <mergeCell ref="F68:F71"/>
    <mergeCell ref="G68:G71"/>
    <mergeCell ref="P60:P63"/>
    <mergeCell ref="B64:B67"/>
    <mergeCell ref="C64:C67"/>
    <mergeCell ref="D64:D67"/>
    <mergeCell ref="E64:E67"/>
    <mergeCell ref="F64:F67"/>
    <mergeCell ref="G64:G67"/>
    <mergeCell ref="P64:P67"/>
    <mergeCell ref="B60:B63"/>
    <mergeCell ref="C60:C63"/>
    <mergeCell ref="D60:D63"/>
    <mergeCell ref="E60:E63"/>
    <mergeCell ref="F60:F63"/>
    <mergeCell ref="G60:G63"/>
    <mergeCell ref="P51:P54"/>
    <mergeCell ref="B55:P55"/>
    <mergeCell ref="B56:B59"/>
    <mergeCell ref="C56:C59"/>
    <mergeCell ref="D56:D59"/>
    <mergeCell ref="E56:E59"/>
    <mergeCell ref="F56:F59"/>
    <mergeCell ref="G56:G59"/>
    <mergeCell ref="P56:P59"/>
    <mergeCell ref="B51:B54"/>
    <mergeCell ref="C51:C54"/>
    <mergeCell ref="D51:D54"/>
    <mergeCell ref="E51:E54"/>
    <mergeCell ref="F51:F54"/>
    <mergeCell ref="G51:G54"/>
    <mergeCell ref="P43:P46"/>
    <mergeCell ref="B47:B50"/>
    <mergeCell ref="C47:C50"/>
    <mergeCell ref="D47:D50"/>
    <mergeCell ref="E47:E50"/>
    <mergeCell ref="F47:F50"/>
    <mergeCell ref="G47:G50"/>
    <mergeCell ref="P47:P50"/>
    <mergeCell ref="B43:B46"/>
    <mergeCell ref="C43:C46"/>
    <mergeCell ref="D43:D46"/>
    <mergeCell ref="E43:E46"/>
    <mergeCell ref="F43:F46"/>
    <mergeCell ref="G43:G46"/>
    <mergeCell ref="P35:P38"/>
    <mergeCell ref="B39:B42"/>
    <mergeCell ref="C39:C42"/>
    <mergeCell ref="D39:D42"/>
    <mergeCell ref="E39:E42"/>
    <mergeCell ref="F39:F42"/>
    <mergeCell ref="G39:G42"/>
    <mergeCell ref="P39:P42"/>
    <mergeCell ref="B35:B38"/>
    <mergeCell ref="C35:C38"/>
    <mergeCell ref="D35:D38"/>
    <mergeCell ref="E35:E38"/>
    <mergeCell ref="F35:F38"/>
    <mergeCell ref="G35:G38"/>
    <mergeCell ref="P26:P29"/>
    <mergeCell ref="B30:P30"/>
    <mergeCell ref="B31:B34"/>
    <mergeCell ref="C31:C34"/>
    <mergeCell ref="D31:D34"/>
    <mergeCell ref="E31:E34"/>
    <mergeCell ref="F31:F34"/>
    <mergeCell ref="G31:G34"/>
    <mergeCell ref="P31:P34"/>
    <mergeCell ref="B26:B29"/>
    <mergeCell ref="C26:C29"/>
    <mergeCell ref="D26:D29"/>
    <mergeCell ref="E26:E29"/>
    <mergeCell ref="F26:F29"/>
    <mergeCell ref="G26:G29"/>
    <mergeCell ref="P18:P21"/>
    <mergeCell ref="B22:B25"/>
    <mergeCell ref="C22:C25"/>
    <mergeCell ref="D22:D25"/>
    <mergeCell ref="E22:E25"/>
    <mergeCell ref="F22:F25"/>
    <mergeCell ref="G22:G25"/>
    <mergeCell ref="P22:P25"/>
    <mergeCell ref="B18:B21"/>
    <mergeCell ref="C18:C21"/>
    <mergeCell ref="D18:D21"/>
    <mergeCell ref="E18:E21"/>
    <mergeCell ref="F18:F21"/>
    <mergeCell ref="G18:G21"/>
    <mergeCell ref="P10:P13"/>
    <mergeCell ref="B14:B17"/>
    <mergeCell ref="C14:C17"/>
    <mergeCell ref="D14:D17"/>
    <mergeCell ref="E14:E17"/>
    <mergeCell ref="F14:F17"/>
    <mergeCell ref="G14:G17"/>
    <mergeCell ref="P14:P17"/>
    <mergeCell ref="B10:B13"/>
    <mergeCell ref="C10:C13"/>
    <mergeCell ref="D10:D13"/>
    <mergeCell ref="E10:E13"/>
    <mergeCell ref="F10:F13"/>
    <mergeCell ref="G10:G13"/>
    <mergeCell ref="B5:P5"/>
    <mergeCell ref="B6:B9"/>
    <mergeCell ref="C6:C9"/>
    <mergeCell ref="D6:D9"/>
    <mergeCell ref="E6:E9"/>
    <mergeCell ref="F6:F9"/>
    <mergeCell ref="G6:G9"/>
    <mergeCell ref="P6:P9"/>
    <mergeCell ref="B1:P1"/>
    <mergeCell ref="B3:B4"/>
    <mergeCell ref="C3:C4"/>
    <mergeCell ref="D3:D4"/>
    <mergeCell ref="E3:E4"/>
    <mergeCell ref="F3:F4"/>
    <mergeCell ref="G3:G4"/>
    <mergeCell ref="H3:O3"/>
    <mergeCell ref="P3:P4"/>
  </mergeCells>
  <conditionalFormatting sqref="A217:XFD1048576 I209:O216 I26:O29 I88:O91 I101:O104 I114:O117 I131:O151 I157:O160 I166:O169 I187:O190 I196:O199 I51:O54 A3:C4 E3:G4 I4:XFD4 P3:XFD3 A1:XFD2">
    <cfRule type="cellIs" dxfId="38" priority="4" operator="equal">
      <formula>0</formula>
    </cfRule>
  </conditionalFormatting>
  <conditionalFormatting sqref="D3:D4">
    <cfRule type="cellIs" dxfId="37" priority="3" operator="equal">
      <formula>0</formula>
    </cfRule>
  </conditionalFormatting>
  <conditionalFormatting sqref="H4">
    <cfRule type="cellIs" dxfId="36" priority="2" operator="equal">
      <formula>0</formula>
    </cfRule>
  </conditionalFormatting>
  <conditionalFormatting sqref="H3:O3">
    <cfRule type="cellIs" dxfId="35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T V u 7 U C M k q d y m A A A A + A A A A B I A H A B D b 2 5 m a W c v U G F j a 2 F n Z S 5 4 b W w g o h g A K K A U A A A A A A A A A A A A A A A A A A A A A A A A A A A A h Y 8 x D o I w G E a v Q r r T F o g J k p 8 y u E p i N B r X p l R o h G J K a 7 m b g 0 f y C p I o 6 u b 4 v b z h f Y / b H Y q x a 4 O r N I P q d Y 4 i T F E g t e g r p e s c O X s K U 1 Q w 2 H B x 5 r U M J l k P 2 T h U O W q s v W S E e O + x T 3 B v a h J T G p F j u d 6 J R n Y c f W T 1 X w 6 V H i z X Q i I G h 1 c M i 3 F K 8 S K l C V 7 S C M i M o V T 6 q 8 R T M a Z A f i C s X G u d k c y 4 c L s H M k 8 g 7 x f s C V B L A w Q U A A I A C A B N W 7 t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V u 7 U C i K R 7 g O A A A A E Q A A A B M A H A B G b 3 J t d W x h c y 9 T Z W N 0 a W 9 u M S 5 t I K I Y A C i g F A A A A A A A A A A A A A A A A A A A A A A A A A A A A C t O T S 7 J z M 9 T C I b Q h t Y A U E s B A i 0 A F A A C A A g A T V u 7 U C M k q d y m A A A A + A A A A B I A A A A A A A A A A A A A A A A A A A A A A E N v b m Z p Z y 9 Q Y W N r Y W d l L n h t b F B L A Q I t A B Q A A g A I A E 1 b u 1 A P y u m r p A A A A O k A A A A T A A A A A A A A A A A A A A A A A P I A A A B b Q 2 9 u d G V u d F 9 U e X B l c 1 0 u e G 1 s U E s B A i 0 A F A A C A A g A T V u 7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j N r g + F B B 5 A q U + 4 M y S 8 s 3 k A A A A A A g A A A A A A E G Y A A A A B A A A g A A A A F p Y 6 O p Z M 6 d a i T z 7 P / l m n n i L W 8 g y z V t 8 n h u O I X o 3 o E t U A A A A A D o A A A A A C A A A g A A A A o c u v U e v B 0 d 9 1 9 + t Y / N N U D 7 P p T j T 7 5 F V o 5 7 S o f n v I J M 1 Q A A A A I 1 j b / j H O L E 2 k D M E v z r j o R l I d R R 5 3 9 9 s R P e X a C W c x A 7 k + 0 + o X W g 5 2 a 5 S A d 0 5 h P N G g u Q H w E C u Q M j m T a b + Z H J h 4 y 8 Z U t P M 1 H E K z F K + + 0 B j W v W N A A A A A V 8 T T y 7 5 B h R 3 f x C Z B f c h 3 N 7 k r a B f p f h 1 N + A G i q j r b h J e 0 D h X J r 5 9 l w R j M j m q r p x T f e + / 2 F S q k d g I 5 M 4 P E k K W 8 g A = = < / D a t a M a s h u p > 
</file>

<file path=customXml/itemProps1.xml><?xml version="1.0" encoding="utf-8"?>
<ds:datastoreItem xmlns:ds="http://schemas.openxmlformats.org/officeDocument/2006/customXml" ds:itemID="{728D28B0-BB3E-4676-989A-D199C08944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</vt:lpstr>
      <vt:lpstr>Благоустройство</vt:lpstr>
      <vt:lpstr>Дорожное хозяйство</vt:lpstr>
      <vt:lpstr>ЖКХ</vt:lpstr>
      <vt:lpstr>Здравоохранение</vt:lpstr>
      <vt:lpstr>Культура</vt:lpstr>
      <vt:lpstr>Образование</vt:lpstr>
      <vt:lpstr>Общественная безопасность</vt:lpstr>
      <vt:lpstr>Пожарная безопасность</vt:lpstr>
      <vt:lpstr>Туризм</vt:lpstr>
      <vt:lpstr>Физическая культура и спорт</vt:lpstr>
      <vt:lpstr>Экология</vt:lpstr>
      <vt:lpstr>Энергетика</vt:lpstr>
      <vt:lpstr>Прочие</vt:lpstr>
      <vt:lpstr>Благоустройство!Заголовки_для_печати</vt:lpstr>
      <vt:lpstr>'Дорожное хозяйство'!Заголовки_для_печати</vt:lpstr>
      <vt:lpstr>ЖКХ!Заголовки_для_печати</vt:lpstr>
      <vt:lpstr>Здравоохранение!Заголовки_для_печати</vt:lpstr>
      <vt:lpstr>Культура!Заголовки_для_печати</vt:lpstr>
      <vt:lpstr>Образование!Заголовки_для_печати</vt:lpstr>
      <vt:lpstr>'Общественная безопасность'!Заголовки_для_печати</vt:lpstr>
      <vt:lpstr>'Пожарная безопасность'!Заголовки_для_печати</vt:lpstr>
      <vt:lpstr>Прочие!Заголовки_для_печати</vt:lpstr>
      <vt:lpstr>Свод!Заголовки_для_печати</vt:lpstr>
      <vt:lpstr>Туризм!Заголовки_для_печати</vt:lpstr>
      <vt:lpstr>'Физическая культура и спорт'!Заголовки_для_печати</vt:lpstr>
      <vt:lpstr>Экология!Заголовки_для_печати</vt:lpstr>
      <vt:lpstr>Энергетика!Заголовки_для_печати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economy9 (Старостина)</dc:creator>
  <cp:lastModifiedBy>Пользователь Windows</cp:lastModifiedBy>
  <cp:lastPrinted>2020-08-03T13:30:38Z</cp:lastPrinted>
  <dcterms:created xsi:type="dcterms:W3CDTF">2020-03-17T06:46:10Z</dcterms:created>
  <dcterms:modified xsi:type="dcterms:W3CDTF">2020-08-03T13:33:12Z</dcterms:modified>
</cp:coreProperties>
</file>