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'Лист1'!$A$1:$J$142</definedName>
  </definedNames>
  <calcPr fullCalcOnLoad="1"/>
</workbook>
</file>

<file path=xl/sharedStrings.xml><?xml version="1.0" encoding="utf-8"?>
<sst xmlns="http://schemas.openxmlformats.org/spreadsheetml/2006/main" count="1387" uniqueCount="353">
  <si>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</si>
  <si>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</si>
  <si>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</si>
  <si>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</si>
  <si>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</si>
  <si>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</si>
  <si>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</si>
  <si>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</si>
  <si>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</si>
  <si>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</si>
  <si>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</si>
  <si>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</si>
  <si>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</si>
  <si>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</si>
  <si>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</si>
  <si>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</si>
  <si>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</si>
  <si>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</si>
  <si>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</si>
  <si>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</si>
  <si>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</si>
  <si>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</si>
  <si>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</si>
  <si>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</si>
  <si>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</si>
  <si>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</si>
  <si>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</si>
  <si>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</si>
  <si>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</si>
  <si>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</si>
  <si>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</si>
  <si>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</si>
  <si>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</si>
  <si>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</si>
  <si>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</si>
  <si>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</si>
  <si>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</si>
  <si>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</si>
  <si>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</si>
  <si>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</si>
  <si>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</si>
  <si>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</si>
  <si>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</si>
  <si>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</si>
  <si>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</si>
  <si>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</si>
  <si>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</si>
  <si>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</si>
  <si>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</si>
  <si>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</si>
  <si>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</si>
  <si>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</si>
  <si>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</si>
  <si>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</si>
  <si>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</si>
  <si>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</si>
  <si>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</si>
  <si>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</si>
  <si>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</si>
  <si>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</si>
  <si>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</si>
  <si>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</si>
  <si>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</si>
  <si>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</si>
  <si>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</si>
  <si>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</si>
  <si>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</si>
  <si>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</si>
  <si>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</si>
  <si>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</si>
  <si>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</si>
  <si>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</si>
  <si>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</si>
  <si>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</si>
  <si>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</si>
  <si>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</si>
  <si>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</si>
  <si>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</si>
  <si>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</si>
  <si>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</si>
  <si>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</si>
  <si>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</si>
  <si>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</si>
  <si>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</si>
  <si>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в  том  числе :Жилищное хозяйство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</si>
  <si>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</si>
  <si>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</si>
  <si>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</si>
  <si>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</si>
  <si>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</si>
  <si>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</si>
  <si>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>Резервные фонды</t>
  </si>
  <si>
    <t xml:space="preserve">В том числе:Содержание аварийно-спасательного  звена 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</si>
  <si>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</si>
  <si>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</si>
  <si>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</si>
  <si>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</si>
  <si>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</si>
  <si>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</si>
  <si>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</si>
  <si>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</si>
  <si>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</si>
  <si>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</si>
  <si>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</si>
  <si>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</si>
  <si>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</si>
  <si>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</si>
  <si>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</si>
  <si>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</si>
  <si>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</si>
  <si>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</si>
  <si>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</si>
  <si>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</si>
  <si>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</si>
  <si>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</si>
  <si>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</si>
  <si>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</si>
  <si>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</si>
  <si>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</si>
  <si>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</si>
  <si>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>доходы от реализации имущества</t>
  </si>
  <si>
    <t>невыясненные поступления, зачисляемые в бюджеты поселений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</si>
  <si>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</si>
  <si>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</si>
  <si>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</si>
  <si>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</si>
  <si>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</si>
  <si>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</si>
  <si>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</si>
  <si>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</si>
  <si>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</si>
  <si>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</si>
  <si>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</si>
  <si>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</si>
  <si>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</si>
  <si>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</si>
  <si>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</si>
  <si>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</si>
  <si>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</si>
  <si>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</si>
  <si>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</si>
  <si>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</si>
  <si>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</si>
  <si>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</si>
  <si>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</si>
  <si>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</si>
  <si>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</si>
  <si>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</si>
  <si>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</si>
  <si>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</si>
  <si>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</si>
  <si>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</si>
  <si>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</si>
  <si>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</si>
  <si>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</si>
  <si>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</si>
  <si>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</si>
  <si>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</si>
  <si>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</si>
  <si>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</si>
  <si>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</si>
  <si>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</si>
  <si>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</si>
  <si>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</si>
  <si>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</si>
  <si>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</si>
  <si>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</si>
  <si>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</si>
  <si>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</si>
  <si>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</si>
  <si>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</si>
  <si>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</si>
  <si>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</si>
  <si>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</si>
  <si>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</si>
  <si>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</si>
  <si>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</si>
  <si>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</si>
  <si>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</si>
  <si>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</si>
  <si>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</si>
  <si>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</si>
  <si>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</si>
  <si>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</si>
  <si>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</si>
  <si>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</si>
  <si>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</si>
  <si>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</si>
  <si>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</si>
  <si>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</si>
  <si>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</si>
  <si>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</si>
  <si>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</si>
  <si>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</si>
  <si>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</si>
  <si>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</si>
  <si>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</si>
  <si>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</si>
  <si>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</si>
  <si>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</si>
  <si>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</si>
  <si>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</si>
  <si>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</si>
  <si>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</si>
  <si>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</si>
  <si>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</si>
  <si>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</si>
  <si>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</si>
  <si>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</si>
  <si>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</si>
  <si>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</si>
  <si>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</si>
  <si>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</si>
  <si>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</si>
  <si>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в  том числе :   резервные  средства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</si>
  <si>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</si>
  <si>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</si>
  <si>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</si>
  <si>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</si>
  <si>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</si>
  <si>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</si>
  <si>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</si>
  <si>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</si>
  <si>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</si>
  <si>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</si>
  <si>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</si>
  <si>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</si>
  <si>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</si>
  <si>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</si>
  <si>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</si>
  <si>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</si>
  <si>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</si>
  <si>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</si>
  <si>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</si>
  <si>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софинансирование  из местного бюджета  на капремонт и ремонт дворовых территорий многоквартирных домов (софин.местн.)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</si>
  <si>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</si>
  <si>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</si>
  <si>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</si>
  <si>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</si>
  <si>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</si>
  <si>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</si>
  <si>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</si>
  <si>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</si>
  <si>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</si>
  <si>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</si>
  <si>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</si>
  <si>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</si>
  <si>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СУБСИДИИ БЮДЖЕТАМ ГОРОДСКИХ ПОСЕЛЕНИЙ НА ПОДГОТОВКУ И ПРОВЕДЕНИЕ  ПРАЗДНОВАНИЯ НА ФЕДЕРАЛЬНОМ УРОВНЕ ПАМЯТНЫХ ДАТ СУБЪЕКТОВ РОССИЙСКОЙ  ФЕДЕРАЦИИ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</si>
  <si>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</si>
  <si>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</si>
  <si>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</si>
  <si>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</si>
  <si>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</si>
  <si>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</si>
  <si>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</si>
  <si>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</si>
  <si>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</si>
  <si>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</si>
  <si>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</si>
  <si>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</si>
  <si>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</si>
  <si>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>в том числе субсидии на реализацию проектов развития общественной инфраструктуры, основанных на местных инициативах (р. 0409)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</si>
  <si>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</si>
  <si>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</si>
  <si>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</si>
  <si>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</si>
  <si>
    <t>из них: капитальный и текущий ремонт объектов водоснабжения</t>
  </si>
  <si>
    <t xml:space="preserve">    из них:        на реализацию проектов развития общественной инфраструктуры, основанных на местных инициативах - всего       </t>
  </si>
  <si>
    <t>в  том числе : реконструкция (реставрация) объектов культурного населедия (ПСД по реконстр. Музея)</t>
  </si>
  <si>
    <t xml:space="preserve">    Организация и проведение официальных физкультурных мероприятий</t>
  </si>
  <si>
    <t>в том числе субсидии на капитальный ремонт источников водоснабжения</t>
  </si>
  <si>
    <t>ПРОЧИЕ МЕЖБЮДЖЕТНЫЕ ТРАНСФЕРТЫ, ПЕРЕДАВАЕМЫЕ БЮДЖЕТАМ ПОСЕЛЕНИЙ(На поощрение победителей регион. Конкурса "Лучшая муниц. практика"</t>
  </si>
  <si>
    <t>в том числе субсидии на капитальный ремонт источников водоснабжения ( раздел  "ЖКХ")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</si>
  <si>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</si>
  <si>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</si>
  <si>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</si>
  <si>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 xml:space="preserve">из них: капитальный  ремонт  источников водоснабжения (ср-ва посел.)             </t>
  </si>
  <si>
    <t xml:space="preserve">из  них:  прочие выплаты по обязательствам   муниципального образования </t>
  </si>
  <si>
    <t>доходы от продажи земельных участков, находящихся в собственности сельских поселений</t>
  </si>
  <si>
    <t>доходы от продажи земельных участков, находящиеся в  собственности  сельских поселений</t>
  </si>
  <si>
    <t xml:space="preserve">В т. ч. на  строительство (реконструкция) зданий муниципальных учреждений культуры </t>
  </si>
  <si>
    <t xml:space="preserve">из них: капитальный  ремонт  источников водоснабжения (ср-ва мест. бюдж.)             </t>
  </si>
  <si>
    <t xml:space="preserve">из них: капитальный  ремонт  источников водоснабжения (ср-ва местн. бюдж.)             </t>
  </si>
  <si>
    <t>СУБСИДИИ БЮДЖЕТАМ  СЕЛЬСКИХ ПОСЕЛЕНИЙ  НА СОФИНАНСИРОВАНИЕ КАПИТАЛЬНЫХ ВЛОЖЕНИЙ В ОБЪЕКТЫ МУНИЦИПАЛЬНОЙ СОБСТВЕННОСТИ</t>
  </si>
  <si>
    <t>в том числе субсидии на реализацию мероприятий по благоустройству дворовых территорий и тротуаров</t>
  </si>
  <si>
    <t>в том числе субсидии на реализацию  мероприятий по благоустройству дворовых территорий и тротуаров( раздел  "ЖКХ")</t>
  </si>
  <si>
    <t>В т. ч. на  строительство СДК на 100 мест в д. Илебары (ср-ва респ. бюдж..)</t>
  </si>
  <si>
    <t>В т. ч. на  строительство СДК на 100 мест в д. Илебары (ср-ва местн. бюдж..)</t>
  </si>
  <si>
    <t>В т. ч. на  строительство (реконструкция) зданий муниципальных учреждений культуры- местн. ср-ва (ПСД на СДК)</t>
  </si>
  <si>
    <t xml:space="preserve">Реализация  мероприятий  по благоустройству  дворовых территрий и тротуаров (ср-ва респ. бюдж.)         </t>
  </si>
  <si>
    <t>ШТРАФЫ, САНКЦИИ, ВОЗМЕЩЕНИЕ УЩЕРБА</t>
  </si>
  <si>
    <t>И. о. начальника   финансового отдела</t>
  </si>
  <si>
    <t>Т.Н.Манюкова</t>
  </si>
  <si>
    <t>Уточненный план на 2021 год</t>
  </si>
  <si>
    <t>% исполне-ния к  годовому плану  на 2021 г.</t>
  </si>
  <si>
    <t>Отклонение от годового плана 2021 г ( +, - )</t>
  </si>
  <si>
    <t>% исполнения к  годовому плану  на 2021 г.</t>
  </si>
  <si>
    <t xml:space="preserve">Отклонение от годового плана 2021 г ( +, - )         </t>
  </si>
  <si>
    <t>% исполне-ния к  годовому плану  на  2021 г.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</si>
  <si>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</si>
  <si>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</si>
  <si>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</si>
  <si>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>в том числе субсидии на укрепление материально- технич. базы  музеев</t>
  </si>
  <si>
    <t>в том числе субсидии на перевод многокварт. домов с централизов. на индивид. Отопление</t>
  </si>
  <si>
    <t>в  том  числе:  перевод многоквартирных домов с централизованного на индивидуальное отопление (респ. Бюдж.)</t>
  </si>
  <si>
    <t xml:space="preserve">в  том  числе:  перевод многоквартирных домов с централизованного на индивидуальное отопление (ср-ва местн. бюдж.)               </t>
  </si>
  <si>
    <t>На  укрепление материально-технической базы муниципальных музеев - всего</t>
  </si>
  <si>
    <t xml:space="preserve">                     в том числе:  ср-ва республиканского бюджета</t>
  </si>
  <si>
    <t xml:space="preserve">                                            ср-ва поселений  (софинансирование)</t>
  </si>
  <si>
    <t xml:space="preserve">из них: реконструкция инженерно-коммуникационных сетей муниципального образования (ср-ва местн. бюдж.)                   </t>
  </si>
  <si>
    <t xml:space="preserve">доходы от  продажи  земельных участков , государственная собственность  на  которые  разграничена </t>
  </si>
  <si>
    <t>в том числе: Другие вопросы в области жилищно-коммунального хозяйства</t>
  </si>
  <si>
    <t xml:space="preserve">           капитальный  ремонт  источников водоснабжения (ср-ва посел.)    </t>
  </si>
  <si>
    <t xml:space="preserve">Реализация  мероприятий  по благоустройству  дворовых территрий и тротуаров- всего                 </t>
  </si>
  <si>
    <t xml:space="preserve">Реализация  мероприятий  по благоустройству  дворовых территрий и тротуаров (ср-ва  респ. бюдж.)                     </t>
  </si>
  <si>
    <t xml:space="preserve">Реализация  мероприятий  по благоустройству  дворовых территрий и тротуаров (ср-ва  посел.)                     </t>
  </si>
  <si>
    <t xml:space="preserve">Реализация  мероприятий  по благоустройству  дворовых территрий и тротуаров (ср-ва  насел.)                     </t>
  </si>
  <si>
    <t>доходы от сдачи в аренду имущества, составляющего  казну  городских поселений (за исключением земельных участков)</t>
  </si>
  <si>
    <t>Отклонение от годового плана 2021 г (+, - )</t>
  </si>
  <si>
    <t>Инициативные платежи, зачисляемые в бюджеты городских поселений</t>
  </si>
  <si>
    <t>в  том  числе:  стр-во  (реконструкция)  объектов водоотведения  (очистных сооружений и др.) муниципальных образований (ср-ва посел.)</t>
  </si>
  <si>
    <t>в  том  числе:  расходы на обеспечение доступности  для населения бытовых услуг</t>
  </si>
  <si>
    <t xml:space="preserve">           на  реализацию мероприятий  по развитию общественной инфраструктуры населенных пунктов (ср-ва  посел.)       </t>
  </si>
  <si>
    <t>Инициативные платежи, зачисляемые в бюджеты  сельских  поселений</t>
  </si>
  <si>
    <t>Инициативные платежи</t>
  </si>
  <si>
    <t>Защита населения и территории от чрезвычайных ситуаций природного и техногенного характера, пожарная безопасность</t>
  </si>
  <si>
    <t>из них: эксплуатация, техническое содержание и обслуживание сетей водопровода</t>
  </si>
  <si>
    <t xml:space="preserve">В том числе: мероприятия по обеспечению пожарной безопасности муниципальных объектов </t>
  </si>
  <si>
    <t xml:space="preserve">  из них: реализация отдельных полномочий в области обращения с твердыми коммунальными отходами</t>
  </si>
  <si>
    <t xml:space="preserve">  из них: капитальный и текущий ремонт объектов водоотведения (очистных сооружений и др. ) муниципальных образований</t>
  </si>
  <si>
    <t xml:space="preserve">            организация в населенных пунктах и коллективных садах сбора, в том числе раздельного, и вывоза твердых коммунальных отходов</t>
  </si>
  <si>
    <t xml:space="preserve">из них: капитальный  ремонт  источников водоснабжения- софинансирование  (ср-ва посел.)             </t>
  </si>
  <si>
    <t>ПРОЧИЕ МЕЖБЮДЖЕТНЫЕ ТРАНСФЕРТЫ, ПЕРЕДАВАЕМЫЕ БЮДЖЕТАМ ПОСЕЛЕНИЙ (На поощрение муниципальных управленческих команд)</t>
  </si>
  <si>
    <t>ПРОЧИЕ МЕЖБЮДЖЕТНЫЕ ТРАНСФЕРТЫ, ПЕРЕДАВАЕМЫЕ БЮДЖЕТАМ ПОСЕЛЕНИЙ   (На поощрение муниципальных управленческих команд)</t>
  </si>
  <si>
    <t>из них: поощрение муниципальных управленческих команд (ср-ва респ. бюдж.)</t>
  </si>
  <si>
    <t>в том числе:  за счет направления остатков на 01.01.2021 г.</t>
  </si>
  <si>
    <t>в том числе:  за счет направления собственных доходов</t>
  </si>
  <si>
    <t>Анализ  исполнения бюджета Андреево-Базарского сельского поселения за  август  2021 года</t>
  </si>
  <si>
    <t>Фактическое исполнение за  август  2021 года</t>
  </si>
  <si>
    <t>Анализ исполнения бюджета Аттиковского сельского поселения за август  2021 года</t>
  </si>
  <si>
    <t>Анализ исполнения бюджета  Байгуловского сельского поселения за  август  2021 года</t>
  </si>
  <si>
    <t>Фактическое исполнение за   август  2021 года</t>
  </si>
  <si>
    <t>Анализ исполнения бюджета  Еметкинского сельского поселения за  август 2021 года</t>
  </si>
  <si>
    <t>Анализ исполнения бюджета  Карамышевского сельского поселения за август  2021 года</t>
  </si>
  <si>
    <t>Анализ исполнения бюджета  Карачевского сельского поселения за  август  2021 года</t>
  </si>
  <si>
    <t>Анализ исполнения бюджета  Козловского  городского  поселения  за  август   2021 года</t>
  </si>
  <si>
    <t>Анализ исполнения бюджета  Солдыбаевского сельского поселения за   август  2021 года</t>
  </si>
  <si>
    <t>Анализ исполнения бюджета  Тюрлеминского сельского поселения за   август   2021 года</t>
  </si>
  <si>
    <t>Фактическое исполнение за август   2021 года</t>
  </si>
  <si>
    <t>Анализ исполнения бюджета  Янгильдинского сельского поселения за   август 2021 года</t>
  </si>
  <si>
    <t>Анализ   исполнения   бюджетов   поселений   за август 2021 года.</t>
  </si>
  <si>
    <t>Фактическое исполнение за  август   2021 года</t>
  </si>
  <si>
    <t xml:space="preserve">           на поощрение победителей конкурса "Лучшая муниципальная практика" (ср-ва респ. бюдж.)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</si>
</sst>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9" fillId="20" borderId="1">
      <alignment horizontal="right" vertical="top" shrinkToFit="1"/>
      <protection/>
    </xf>
    <xf numFmtId="4" fontId="9" fillId="0" borderId="1">
      <alignment horizontal="right" vertical="top" shrinkToFi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6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0" fontId="8" fillId="0" borderId="1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/>
    </xf>
    <xf numFmtId="41" fontId="8" fillId="0" borderId="0" xfId="61" applyFont="1" applyFill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1" fontId="11" fillId="0" borderId="15" xfId="61" applyFont="1" applyFill="1" applyBorder="1" applyAlignment="1">
      <alignment horizontal="center" vertical="center" wrapText="1"/>
    </xf>
    <xf numFmtId="41" fontId="11" fillId="0" borderId="16" xfId="6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" fontId="8" fillId="0" borderId="17" xfId="61" applyNumberFormat="1" applyFont="1" applyFill="1" applyBorder="1" applyAlignment="1">
      <alignment horizontal="center" wrapText="1"/>
    </xf>
    <xf numFmtId="1" fontId="8" fillId="0" borderId="17" xfId="0" applyNumberFormat="1" applyFont="1" applyFill="1" applyBorder="1" applyAlignment="1">
      <alignment horizontal="center" wrapText="1"/>
    </xf>
    <xf numFmtId="1" fontId="8" fillId="0" borderId="18" xfId="61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right" wrapText="1"/>
    </xf>
    <xf numFmtId="0" fontId="13" fillId="0" borderId="17" xfId="0" applyFont="1" applyFill="1" applyBorder="1" applyAlignment="1">
      <alignment horizontal="right" wrapText="1"/>
    </xf>
    <xf numFmtId="41" fontId="8" fillId="0" borderId="17" xfId="61" applyFont="1" applyFill="1" applyBorder="1" applyAlignment="1">
      <alignment wrapText="1"/>
    </xf>
    <xf numFmtId="2" fontId="8" fillId="0" borderId="17" xfId="0" applyNumberFormat="1" applyFont="1" applyFill="1" applyBorder="1" applyAlignment="1">
      <alignment wrapText="1"/>
    </xf>
    <xf numFmtId="41" fontId="8" fillId="0" borderId="18" xfId="6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left" wrapText="1"/>
    </xf>
    <xf numFmtId="4" fontId="8" fillId="0" borderId="17" xfId="0" applyNumberFormat="1" applyFont="1" applyFill="1" applyBorder="1" applyAlignment="1">
      <alignment horizontal="right" wrapText="1"/>
    </xf>
    <xf numFmtId="2" fontId="8" fillId="0" borderId="17" xfId="57" applyNumberFormat="1" applyFont="1" applyFill="1" applyBorder="1" applyAlignment="1">
      <alignment wrapText="1"/>
    </xf>
    <xf numFmtId="2" fontId="8" fillId="0" borderId="18" xfId="61" applyNumberFormat="1" applyFont="1" applyFill="1" applyBorder="1" applyAlignment="1">
      <alignment horizontal="right" wrapText="1"/>
    </xf>
    <xf numFmtId="4" fontId="8" fillId="0" borderId="17" xfId="0" applyNumberFormat="1" applyFont="1" applyFill="1" applyBorder="1" applyAlignment="1">
      <alignment wrapText="1"/>
    </xf>
    <xf numFmtId="4" fontId="8" fillId="0" borderId="17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4" fontId="11" fillId="0" borderId="17" xfId="0" applyNumberFormat="1" applyFont="1" applyFill="1" applyBorder="1" applyAlignment="1">
      <alignment horizontal="right" wrapText="1"/>
    </xf>
    <xf numFmtId="2" fontId="11" fillId="0" borderId="17" xfId="57" applyNumberFormat="1" applyFont="1" applyFill="1" applyBorder="1" applyAlignment="1">
      <alignment wrapText="1"/>
    </xf>
    <xf numFmtId="2" fontId="11" fillId="0" borderId="18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center" wrapText="1"/>
    </xf>
    <xf numFmtId="4" fontId="8" fillId="34" borderId="17" xfId="0" applyNumberFormat="1" applyFont="1" applyFill="1" applyBorder="1" applyAlignment="1">
      <alignment wrapText="1"/>
    </xf>
    <xf numFmtId="164" fontId="8" fillId="0" borderId="17" xfId="57" applyNumberFormat="1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4" fontId="14" fillId="0" borderId="17" xfId="0" applyNumberFormat="1" applyFont="1" applyFill="1" applyBorder="1" applyAlignment="1">
      <alignment wrapText="1"/>
    </xf>
    <xf numFmtId="2" fontId="14" fillId="0" borderId="17" xfId="57" applyNumberFormat="1" applyFont="1" applyFill="1" applyBorder="1" applyAlignment="1">
      <alignment wrapText="1"/>
    </xf>
    <xf numFmtId="2" fontId="14" fillId="0" borderId="18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 wrapText="1"/>
    </xf>
    <xf numFmtId="4" fontId="16" fillId="0" borderId="17" xfId="61" applyNumberFormat="1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4" fontId="11" fillId="0" borderId="17" xfId="0" applyNumberFormat="1" applyFont="1" applyFill="1" applyBorder="1" applyAlignment="1">
      <alignment wrapText="1"/>
    </xf>
    <xf numFmtId="2" fontId="11" fillId="0" borderId="17" xfId="61" applyNumberFormat="1" applyFont="1" applyFill="1" applyBorder="1" applyAlignment="1">
      <alignment wrapText="1"/>
    </xf>
    <xf numFmtId="41" fontId="11" fillId="0" borderId="17" xfId="61" applyFont="1" applyFill="1" applyBorder="1" applyAlignment="1">
      <alignment horizontal="right" wrapText="1"/>
    </xf>
    <xf numFmtId="0" fontId="8" fillId="0" borderId="20" xfId="0" applyFont="1" applyFill="1" applyBorder="1" applyAlignment="1">
      <alignment wrapText="1"/>
    </xf>
    <xf numFmtId="41" fontId="8" fillId="0" borderId="17" xfId="6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2" fontId="8" fillId="0" borderId="0" xfId="61" applyNumberFormat="1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2" fontId="8" fillId="0" borderId="0" xfId="61" applyNumberFormat="1" applyFont="1" applyFill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8" fillId="0" borderId="21" xfId="61" applyNumberFormat="1" applyFont="1" applyFill="1" applyBorder="1" applyAlignment="1">
      <alignment horizontal="center" wrapText="1"/>
    </xf>
    <xf numFmtId="2" fontId="8" fillId="0" borderId="17" xfId="0" applyNumberFormat="1" applyFont="1" applyFill="1" applyBorder="1" applyAlignment="1">
      <alignment horizontal="right" vertical="center" wrapText="1"/>
    </xf>
    <xf numFmtId="2" fontId="8" fillId="0" borderId="17" xfId="0" applyNumberFormat="1" applyFont="1" applyFill="1" applyBorder="1" applyAlignment="1">
      <alignment vertical="center" wrapText="1"/>
    </xf>
    <xf numFmtId="4" fontId="18" fillId="0" borderId="1" xfId="33" applyFont="1" applyFill="1" applyAlignment="1" applyProtection="1">
      <alignment horizontal="right" vertical="center" shrinkToFit="1"/>
      <protection/>
    </xf>
    <xf numFmtId="2" fontId="8" fillId="0" borderId="17" xfId="61" applyNumberFormat="1" applyFont="1" applyFill="1" applyBorder="1" applyAlignment="1">
      <alignment horizontal="right" vertical="center" wrapText="1"/>
    </xf>
    <xf numFmtId="2" fontId="11" fillId="0" borderId="17" xfId="0" applyNumberFormat="1" applyFont="1" applyFill="1" applyBorder="1" applyAlignment="1">
      <alignment horizontal="right" vertical="center" wrapText="1"/>
    </xf>
    <xf numFmtId="2" fontId="11" fillId="0" borderId="21" xfId="0" applyNumberFormat="1" applyFont="1" applyFill="1" applyBorder="1" applyAlignment="1">
      <alignment horizontal="right" vertical="center" wrapText="1"/>
    </xf>
    <xf numFmtId="2" fontId="14" fillId="0" borderId="17" xfId="0" applyNumberFormat="1" applyFont="1" applyFill="1" applyBorder="1" applyAlignment="1">
      <alignment wrapText="1"/>
    </xf>
    <xf numFmtId="4" fontId="18" fillId="0" borderId="1" xfId="33" applyFont="1" applyFill="1" applyAlignment="1" applyProtection="1">
      <alignment horizontal="right" shrinkToFit="1"/>
      <protection/>
    </xf>
    <xf numFmtId="0" fontId="12" fillId="0" borderId="11" xfId="0" applyFont="1" applyFill="1" applyBorder="1" applyAlignment="1">
      <alignment horizontal="right" wrapText="1"/>
    </xf>
    <xf numFmtId="2" fontId="13" fillId="0" borderId="22" xfId="0" applyNumberFormat="1" applyFont="1" applyFill="1" applyBorder="1" applyAlignment="1">
      <alignment horizontal="right" vertical="center" wrapText="1"/>
    </xf>
    <xf numFmtId="2" fontId="16" fillId="0" borderId="22" xfId="61" applyNumberFormat="1" applyFont="1" applyFill="1" applyBorder="1" applyAlignment="1">
      <alignment vertical="center" wrapText="1"/>
    </xf>
    <xf numFmtId="2" fontId="8" fillId="0" borderId="22" xfId="57" applyNumberFormat="1" applyFont="1" applyFill="1" applyBorder="1" applyAlignment="1">
      <alignment wrapText="1"/>
    </xf>
    <xf numFmtId="2" fontId="8" fillId="0" borderId="23" xfId="61" applyNumberFormat="1" applyFont="1" applyFill="1" applyBorder="1" applyAlignment="1">
      <alignment horizontal="right" wrapText="1"/>
    </xf>
    <xf numFmtId="0" fontId="8" fillId="0" borderId="24" xfId="0" applyFont="1" applyFill="1" applyBorder="1" applyAlignment="1">
      <alignment wrapText="1"/>
    </xf>
    <xf numFmtId="2" fontId="8" fillId="0" borderId="25" xfId="0" applyNumberFormat="1" applyFont="1" applyFill="1" applyBorder="1" applyAlignment="1">
      <alignment wrapText="1"/>
    </xf>
    <xf numFmtId="2" fontId="8" fillId="0" borderId="25" xfId="57" applyNumberFormat="1" applyFont="1" applyFill="1" applyBorder="1" applyAlignment="1">
      <alignment wrapText="1"/>
    </xf>
    <xf numFmtId="2" fontId="8" fillId="0" borderId="26" xfId="61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wrapText="1"/>
    </xf>
    <xf numFmtId="2" fontId="8" fillId="0" borderId="21" xfId="57" applyNumberFormat="1" applyFont="1" applyFill="1" applyBorder="1" applyAlignment="1">
      <alignment wrapText="1"/>
    </xf>
    <xf numFmtId="2" fontId="8" fillId="0" borderId="27" xfId="61" applyNumberFormat="1" applyFont="1" applyFill="1" applyBorder="1" applyAlignment="1">
      <alignment horizontal="right" wrapText="1"/>
    </xf>
    <xf numFmtId="2" fontId="8" fillId="0" borderId="17" xfId="61" applyNumberFormat="1" applyFont="1" applyFill="1" applyBorder="1" applyAlignment="1">
      <alignment wrapText="1"/>
    </xf>
    <xf numFmtId="2" fontId="8" fillId="0" borderId="28" xfId="0" applyNumberFormat="1" applyFont="1" applyFill="1" applyBorder="1" applyAlignment="1">
      <alignment wrapText="1"/>
    </xf>
    <xf numFmtId="2" fontId="8" fillId="0" borderId="28" xfId="61" applyNumberFormat="1" applyFont="1" applyFill="1" applyBorder="1" applyAlignment="1">
      <alignment horizontal="right" wrapText="1"/>
    </xf>
    <xf numFmtId="2" fontId="8" fillId="0" borderId="25" xfId="61" applyNumberFormat="1" applyFont="1" applyFill="1" applyBorder="1" applyAlignment="1">
      <alignment horizontal="right" wrapText="1"/>
    </xf>
    <xf numFmtId="2" fontId="8" fillId="0" borderId="28" xfId="57" applyNumberFormat="1" applyFont="1" applyFill="1" applyBorder="1" applyAlignment="1">
      <alignment wrapText="1"/>
    </xf>
    <xf numFmtId="2" fontId="8" fillId="0" borderId="29" xfId="61" applyNumberFormat="1" applyFont="1" applyFill="1" applyBorder="1" applyAlignment="1">
      <alignment horizontal="right" wrapText="1"/>
    </xf>
    <xf numFmtId="2" fontId="8" fillId="0" borderId="14" xfId="0" applyNumberFormat="1" applyFont="1" applyFill="1" applyBorder="1" applyAlignment="1">
      <alignment wrapText="1"/>
    </xf>
    <xf numFmtId="2" fontId="8" fillId="0" borderId="30" xfId="0" applyNumberFormat="1" applyFont="1" applyFill="1" applyBorder="1" applyAlignment="1">
      <alignment wrapText="1"/>
    </xf>
    <xf numFmtId="2" fontId="8" fillId="0" borderId="17" xfId="61" applyNumberFormat="1" applyFont="1" applyFill="1" applyBorder="1" applyAlignment="1">
      <alignment horizontal="right" wrapText="1"/>
    </xf>
    <xf numFmtId="2" fontId="8" fillId="0" borderId="22" xfId="0" applyNumberFormat="1" applyFont="1" applyFill="1" applyBorder="1" applyAlignment="1">
      <alignment wrapText="1"/>
    </xf>
    <xf numFmtId="2" fontId="8" fillId="0" borderId="31" xfId="0" applyNumberFormat="1" applyFont="1" applyFill="1" applyBorder="1" applyAlignment="1">
      <alignment wrapText="1"/>
    </xf>
    <xf numFmtId="2" fontId="8" fillId="0" borderId="30" xfId="57" applyNumberFormat="1" applyFont="1" applyFill="1" applyBorder="1" applyAlignment="1">
      <alignment wrapText="1"/>
    </xf>
    <xf numFmtId="2" fontId="8" fillId="0" borderId="25" xfId="0" applyNumberFormat="1" applyFont="1" applyFill="1" applyBorder="1" applyAlignment="1">
      <alignment horizontal="right" wrapText="1"/>
    </xf>
    <xf numFmtId="0" fontId="8" fillId="0" borderId="32" xfId="0" applyFont="1" applyFill="1" applyBorder="1" applyAlignment="1">
      <alignment wrapText="1"/>
    </xf>
    <xf numFmtId="2" fontId="8" fillId="0" borderId="33" xfId="61" applyNumberFormat="1" applyFont="1" applyFill="1" applyBorder="1" applyAlignment="1">
      <alignment horizontal="right" wrapText="1"/>
    </xf>
    <xf numFmtId="2" fontId="8" fillId="0" borderId="21" xfId="61" applyNumberFormat="1" applyFont="1" applyFill="1" applyBorder="1" applyAlignment="1">
      <alignment horizontal="right" wrapText="1"/>
    </xf>
    <xf numFmtId="2" fontId="8" fillId="0" borderId="28" xfId="61" applyNumberFormat="1" applyFont="1" applyFill="1" applyBorder="1" applyAlignment="1">
      <alignment wrapText="1"/>
    </xf>
    <xf numFmtId="2" fontId="11" fillId="0" borderId="17" xfId="0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wrapText="1"/>
    </xf>
    <xf numFmtId="41" fontId="8" fillId="0" borderId="0" xfId="61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41" fontId="6" fillId="0" borderId="0" xfId="61" applyFont="1" applyFill="1" applyAlignment="1">
      <alignment wrapText="1"/>
    </xf>
    <xf numFmtId="41" fontId="6" fillId="0" borderId="0" xfId="6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17" xfId="0" applyFont="1" applyFill="1" applyBorder="1" applyAlignment="1">
      <alignment horizontal="center" wrapText="1"/>
    </xf>
    <xf numFmtId="165" fontId="11" fillId="0" borderId="18" xfId="61" applyNumberFormat="1" applyFont="1" applyFill="1" applyBorder="1" applyAlignment="1">
      <alignment horizontal="right" wrapText="1"/>
    </xf>
    <xf numFmtId="2" fontId="18" fillId="0" borderId="1" xfId="33" applyNumberFormat="1" applyFont="1" applyFill="1" applyAlignment="1" applyProtection="1">
      <alignment horizontal="right" vertical="center" shrinkToFit="1"/>
      <protection/>
    </xf>
    <xf numFmtId="2" fontId="18" fillId="0" borderId="1" xfId="33" applyNumberFormat="1" applyFont="1" applyFill="1" applyAlignment="1" applyProtection="1">
      <alignment horizontal="right" shrinkToFit="1"/>
      <protection/>
    </xf>
    <xf numFmtId="2" fontId="8" fillId="0" borderId="17" xfId="0" applyNumberFormat="1" applyFont="1" applyFill="1" applyBorder="1" applyAlignment="1">
      <alignment horizontal="right" vertical="center" shrinkToFit="1"/>
    </xf>
    <xf numFmtId="0" fontId="17" fillId="0" borderId="12" xfId="0" applyFont="1" applyFill="1" applyBorder="1" applyAlignment="1">
      <alignment wrapText="1"/>
    </xf>
    <xf numFmtId="2" fontId="8" fillId="0" borderId="17" xfId="61" applyNumberFormat="1" applyFont="1" applyFill="1" applyBorder="1" applyAlignment="1">
      <alignment vertical="center" wrapText="1"/>
    </xf>
    <xf numFmtId="2" fontId="11" fillId="0" borderId="17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wrapText="1"/>
    </xf>
    <xf numFmtId="2" fontId="8" fillId="0" borderId="22" xfId="0" applyNumberFormat="1" applyFont="1" applyFill="1" applyBorder="1" applyAlignment="1">
      <alignment vertical="center" wrapText="1"/>
    </xf>
    <xf numFmtId="2" fontId="11" fillId="0" borderId="22" xfId="0" applyNumberFormat="1" applyFont="1" applyFill="1" applyBorder="1" applyAlignment="1">
      <alignment horizontal="right" vertical="center" wrapText="1"/>
    </xf>
    <xf numFmtId="2" fontId="11" fillId="0" borderId="17" xfId="61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left" wrapText="1"/>
    </xf>
    <xf numFmtId="2" fontId="13" fillId="0" borderId="22" xfId="0" applyNumberFormat="1" applyFont="1" applyFill="1" applyBorder="1" applyAlignment="1">
      <alignment horizontal="right" wrapText="1"/>
    </xf>
    <xf numFmtId="2" fontId="16" fillId="0" borderId="22" xfId="61" applyNumberFormat="1" applyFont="1" applyFill="1" applyBorder="1" applyAlignment="1">
      <alignment wrapText="1"/>
    </xf>
    <xf numFmtId="2" fontId="8" fillId="0" borderId="22" xfId="61" applyNumberFormat="1" applyFont="1" applyFill="1" applyBorder="1" applyAlignment="1">
      <alignment horizontal="right" wrapText="1"/>
    </xf>
    <xf numFmtId="0" fontId="8" fillId="0" borderId="28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2" fontId="8" fillId="0" borderId="22" xfId="61" applyNumberFormat="1" applyFont="1" applyFill="1" applyBorder="1" applyAlignment="1">
      <alignment wrapText="1"/>
    </xf>
    <xf numFmtId="2" fontId="8" fillId="0" borderId="17" xfId="0" applyNumberFormat="1" applyFont="1" applyFill="1" applyBorder="1" applyAlignment="1">
      <alignment horizontal="right" wrapText="1"/>
    </xf>
    <xf numFmtId="4" fontId="18" fillId="0" borderId="1" xfId="33" applyFont="1" applyFill="1" applyProtection="1">
      <alignment horizontal="right" vertical="top" shrinkToFit="1"/>
      <protection/>
    </xf>
    <xf numFmtId="2" fontId="11" fillId="0" borderId="21" xfId="0" applyNumberFormat="1" applyFont="1" applyFill="1" applyBorder="1" applyAlignment="1">
      <alignment horizontal="right" wrapText="1"/>
    </xf>
    <xf numFmtId="2" fontId="8" fillId="0" borderId="30" xfId="61" applyNumberFormat="1" applyFont="1" applyFill="1" applyBorder="1" applyAlignment="1">
      <alignment horizontal="right" wrapText="1"/>
    </xf>
    <xf numFmtId="2" fontId="8" fillId="0" borderId="34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2" fontId="8" fillId="0" borderId="0" xfId="0" applyNumberFormat="1" applyFont="1" applyFill="1" applyBorder="1" applyAlignment="1">
      <alignment vertical="center" wrapText="1"/>
    </xf>
    <xf numFmtId="4" fontId="18" fillId="0" borderId="1" xfId="34" applyFont="1" applyFill="1" applyAlignment="1" applyProtection="1">
      <alignment horizontal="right" vertical="center" shrinkToFit="1"/>
      <protection/>
    </xf>
    <xf numFmtId="2" fontId="14" fillId="0" borderId="17" xfId="0" applyNumberFormat="1" applyFont="1" applyFill="1" applyBorder="1" applyAlignment="1">
      <alignment vertical="center" wrapText="1"/>
    </xf>
    <xf numFmtId="2" fontId="14" fillId="0" borderId="17" xfId="61" applyNumberFormat="1" applyFont="1" applyFill="1" applyBorder="1" applyAlignment="1">
      <alignment horizontal="right" vertical="center" wrapText="1"/>
    </xf>
    <xf numFmtId="2" fontId="14" fillId="0" borderId="17" xfId="61" applyNumberFormat="1" applyFont="1" applyFill="1" applyBorder="1" applyAlignment="1">
      <alignment horizontal="right" wrapText="1"/>
    </xf>
    <xf numFmtId="2" fontId="13" fillId="0" borderId="17" xfId="0" applyNumberFormat="1" applyFont="1" applyFill="1" applyBorder="1" applyAlignment="1">
      <alignment horizontal="right" wrapText="1"/>
    </xf>
    <xf numFmtId="2" fontId="16" fillId="0" borderId="17" xfId="61" applyNumberFormat="1" applyFont="1" applyFill="1" applyBorder="1" applyAlignment="1">
      <alignment wrapText="1"/>
    </xf>
    <xf numFmtId="2" fontId="11" fillId="0" borderId="17" xfId="0" applyNumberFormat="1" applyFont="1" applyFill="1" applyBorder="1" applyAlignment="1">
      <alignment wrapText="1"/>
    </xf>
    <xf numFmtId="2" fontId="8" fillId="34" borderId="17" xfId="0" applyNumberFormat="1" applyFont="1" applyFill="1" applyBorder="1" applyAlignment="1">
      <alignment wrapText="1"/>
    </xf>
    <xf numFmtId="2" fontId="17" fillId="0" borderId="17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4" fontId="18" fillId="0" borderId="1" xfId="34" applyFont="1" applyAlignment="1" applyProtection="1">
      <alignment horizontal="right" shrinkToFit="1"/>
      <protection/>
    </xf>
    <xf numFmtId="0" fontId="6" fillId="0" borderId="17" xfId="0" applyFont="1" applyBorder="1" applyAlignment="1">
      <alignment/>
    </xf>
    <xf numFmtId="0" fontId="8" fillId="0" borderId="17" xfId="0" applyFont="1" applyBorder="1" applyAlignment="1">
      <alignment/>
    </xf>
    <xf numFmtId="2" fontId="8" fillId="0" borderId="0" xfId="61" applyNumberFormat="1" applyFont="1" applyFill="1" applyBorder="1" applyAlignment="1">
      <alignment horizontal="right" wrapText="1"/>
    </xf>
    <xf numFmtId="2" fontId="8" fillId="0" borderId="0" xfId="0" applyNumberFormat="1" applyFont="1" applyFill="1" applyAlignment="1">
      <alignment horizontal="center" wrapText="1"/>
    </xf>
    <xf numFmtId="41" fontId="11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zoomScaleSheetLayoutView="100" workbookViewId="0" topLeftCell="A46">
      <selection activeCell="C19" sqref="C19"/>
    </sheetView>
  </sheetViews>
  <sheetFormatPr defaultColWidth="9.125" defaultRowHeight="12.75"/>
  <cols>
    <col min="1" max="1" width="116.375" style="3" customWidth="1"/>
    <col min="2" max="2" width="12.50390625" style="3" customWidth="1"/>
    <col min="3" max="3" width="16.875" style="4" customWidth="1"/>
    <col min="4" max="4" width="13.50390625" style="3" customWidth="1"/>
    <col min="5" max="5" width="14.50390625" style="1" customWidth="1"/>
    <col min="6" max="6" width="14.00390625" style="3" customWidth="1"/>
    <col min="7" max="9" width="9.125" style="3" customWidth="1"/>
    <col min="10" max="10" width="2.125" style="3" customWidth="1"/>
    <col min="11" max="16384" width="9.125" style="3" customWidth="1"/>
  </cols>
  <sheetData>
    <row r="1" spans="1:10" s="10" customFormat="1" ht="17.25">
      <c r="A1" s="166" t="s">
        <v>337</v>
      </c>
      <c r="B1" s="166"/>
      <c r="C1" s="166"/>
      <c r="D1" s="166"/>
      <c r="E1" s="166"/>
      <c r="F1" s="9"/>
      <c r="G1" s="9"/>
      <c r="H1" s="9"/>
      <c r="I1" s="9"/>
      <c r="J1" s="9"/>
    </row>
    <row r="2" spans="1:5" ht="14.25" thickBot="1">
      <c r="A2" s="22"/>
      <c r="B2" s="22"/>
      <c r="C2" s="23"/>
      <c r="D2" s="22"/>
      <c r="E2" s="22" t="s">
        <v>0</v>
      </c>
    </row>
    <row r="3" spans="1:5" s="11" customFormat="1" ht="94.5" customHeight="1">
      <c r="A3" s="24" t="s">
        <v>1</v>
      </c>
      <c r="B3" s="25" t="s">
        <v>293</v>
      </c>
      <c r="C3" s="26" t="s">
        <v>338</v>
      </c>
      <c r="D3" s="25" t="s">
        <v>294</v>
      </c>
      <c r="E3" s="27" t="s">
        <v>295</v>
      </c>
    </row>
    <row r="4" spans="1:5" s="12" customFormat="1" ht="10.5" customHeight="1">
      <c r="A4" s="28">
        <v>1</v>
      </c>
      <c r="B4" s="123">
        <v>2</v>
      </c>
      <c r="C4" s="30">
        <v>3</v>
      </c>
      <c r="D4" s="31">
        <v>4</v>
      </c>
      <c r="E4" s="32">
        <v>5</v>
      </c>
    </row>
    <row r="5" spans="1:5" s="13" customFormat="1" ht="14.25">
      <c r="A5" s="33" t="s">
        <v>2</v>
      </c>
      <c r="B5" s="34"/>
      <c r="C5" s="35"/>
      <c r="D5" s="36"/>
      <c r="E5" s="37"/>
    </row>
    <row r="6" spans="1:5" s="8" customFormat="1" ht="12.75" customHeight="1" hidden="1">
      <c r="A6" s="44" t="s">
        <v>25</v>
      </c>
      <c r="B6" s="67"/>
      <c r="C6" s="67" t="e">
        <f>SUM(C7,C11,C16,C19,#REF!,#REF!,C10,)</f>
        <v>#REF!</v>
      </c>
      <c r="D6" s="46" t="e">
        <f>IF(#REF!=0,"   ",C6/#REF!)</f>
        <v>#REF!</v>
      </c>
      <c r="E6" s="124" t="e">
        <f>C6-#REF!</f>
        <v>#REF!</v>
      </c>
    </row>
    <row r="7" spans="1:5" s="14" customFormat="1" ht="13.5">
      <c r="A7" s="38" t="s">
        <v>45</v>
      </c>
      <c r="B7" s="79">
        <f>SUM(B9)</f>
        <v>140500</v>
      </c>
      <c r="C7" s="79">
        <f>C9</f>
        <v>149838.1</v>
      </c>
      <c r="D7" s="40">
        <f>IF(B7=0,"   ",C7/B7*100)</f>
        <v>106.64633451957295</v>
      </c>
      <c r="E7" s="41">
        <f>C7-B7</f>
        <v>9338.100000000006</v>
      </c>
    </row>
    <row r="8" spans="1:5" s="13" customFormat="1" ht="12.75" customHeight="1" hidden="1">
      <c r="A8" s="21" t="s">
        <v>3</v>
      </c>
      <c r="B8" s="80">
        <v>387940</v>
      </c>
      <c r="C8" s="82">
        <v>217766</v>
      </c>
      <c r="D8" s="40" t="e">
        <f>IF(#REF!=0,"   ",C8/#REF!)</f>
        <v>#REF!</v>
      </c>
      <c r="E8" s="41" t="e">
        <f>C8-#REF!</f>
        <v>#REF!</v>
      </c>
    </row>
    <row r="9" spans="1:5" s="13" customFormat="1" ht="13.5">
      <c r="A9" s="21" t="s">
        <v>107</v>
      </c>
      <c r="B9" s="80">
        <v>140500</v>
      </c>
      <c r="C9" s="125">
        <v>149838.1</v>
      </c>
      <c r="D9" s="40">
        <f>IF(B9=0,"   ",C9/B9*100)</f>
        <v>106.64633451957295</v>
      </c>
      <c r="E9" s="41">
        <f>C9-B9</f>
        <v>9338.100000000006</v>
      </c>
    </row>
    <row r="10" spans="1:5" s="13" customFormat="1" ht="12.75" customHeight="1" hidden="1">
      <c r="A10" s="21" t="s">
        <v>24</v>
      </c>
      <c r="B10" s="80"/>
      <c r="C10" s="82">
        <v>175</v>
      </c>
      <c r="D10" s="40"/>
      <c r="E10" s="41"/>
    </row>
    <row r="11" spans="1:5" s="14" customFormat="1" ht="12.75" customHeight="1" hidden="1">
      <c r="A11" s="21" t="s">
        <v>4</v>
      </c>
      <c r="B11" s="80">
        <f>SUM(B12:B13)</f>
        <v>1848003</v>
      </c>
      <c r="C11" s="80">
        <f>SUM(C12:C13)</f>
        <v>1704024</v>
      </c>
      <c r="D11" s="40" t="e">
        <f>IF(#REF!=0,"   ",C11/#REF!)</f>
        <v>#REF!</v>
      </c>
      <c r="E11" s="41" t="e">
        <f>C11-#REF!</f>
        <v>#REF!</v>
      </c>
    </row>
    <row r="12" spans="1:5" s="13" customFormat="1" ht="12.75" customHeight="1" hidden="1">
      <c r="A12" s="21" t="s">
        <v>5</v>
      </c>
      <c r="B12" s="80">
        <v>17853</v>
      </c>
      <c r="C12" s="82">
        <v>13730</v>
      </c>
      <c r="D12" s="40" t="e">
        <f>IF(#REF!=0,"   ",C12/#REF!)</f>
        <v>#REF!</v>
      </c>
      <c r="E12" s="41" t="e">
        <f>C12-#REF!</f>
        <v>#REF!</v>
      </c>
    </row>
    <row r="13" spans="1:5" s="13" customFormat="1" ht="12.75" customHeight="1" hidden="1">
      <c r="A13" s="21" t="s">
        <v>6</v>
      </c>
      <c r="B13" s="80">
        <v>1830150</v>
      </c>
      <c r="C13" s="82">
        <v>1690294</v>
      </c>
      <c r="D13" s="40" t="e">
        <f>IF(#REF!=0,"   ",C13/#REF!)</f>
        <v>#REF!</v>
      </c>
      <c r="E13" s="41" t="e">
        <f>C13-#REF!</f>
        <v>#REF!</v>
      </c>
    </row>
    <row r="14" spans="1:5" s="13" customFormat="1" ht="12.75" customHeight="1">
      <c r="A14" s="38" t="s">
        <v>129</v>
      </c>
      <c r="B14" s="79">
        <f>SUM(B15)</f>
        <v>608800</v>
      </c>
      <c r="C14" s="79">
        <f>SUM(C15)</f>
        <v>410955.81</v>
      </c>
      <c r="D14" s="40">
        <f>IF(B14=0,"   ",C14/B14*100)</f>
        <v>67.50259691195795</v>
      </c>
      <c r="E14" s="41">
        <f>C14-B14</f>
        <v>-197844.19</v>
      </c>
    </row>
    <row r="15" spans="1:5" s="13" customFormat="1" ht="15.75" customHeight="1">
      <c r="A15" s="21" t="s">
        <v>130</v>
      </c>
      <c r="B15" s="80">
        <v>608800</v>
      </c>
      <c r="C15" s="125">
        <v>410955.81</v>
      </c>
      <c r="D15" s="40">
        <f>IF(B15=0,"   ",C15/B15*100)</f>
        <v>67.50259691195795</v>
      </c>
      <c r="E15" s="41">
        <f>C15-B15</f>
        <v>-197844.19</v>
      </c>
    </row>
    <row r="16" spans="1:5" s="14" customFormat="1" ht="17.25" customHeight="1">
      <c r="A16" s="21" t="s">
        <v>7</v>
      </c>
      <c r="B16" s="79">
        <f>SUM(B18)</f>
        <v>40800</v>
      </c>
      <c r="C16" s="80">
        <f>SUM(C18:C18)</f>
        <v>31739.82</v>
      </c>
      <c r="D16" s="40">
        <f>IF(B16=0,"   ",C16/B16*100)</f>
        <v>77.79367647058824</v>
      </c>
      <c r="E16" s="41">
        <f>C16-B16</f>
        <v>-9060.18</v>
      </c>
    </row>
    <row r="17" spans="1:5" s="13" customFormat="1" ht="12.75" customHeight="1" hidden="1">
      <c r="A17" s="21" t="s">
        <v>8</v>
      </c>
      <c r="B17" s="80">
        <v>103725</v>
      </c>
      <c r="C17" s="82">
        <v>92515</v>
      </c>
      <c r="D17" s="40" t="e">
        <f>IF(#REF!=0,"   ",C17/#REF!)</f>
        <v>#REF!</v>
      </c>
      <c r="E17" s="41" t="e">
        <f>C17-#REF!</f>
        <v>#REF!</v>
      </c>
    </row>
    <row r="18" spans="1:5" s="13" customFormat="1" ht="17.25" customHeight="1">
      <c r="A18" s="21" t="s">
        <v>108</v>
      </c>
      <c r="B18" s="80">
        <v>40800</v>
      </c>
      <c r="C18" s="125">
        <v>31739.82</v>
      </c>
      <c r="D18" s="40">
        <f aca="true" t="shared" si="0" ref="D18:D36">IF(B18=0,"   ",C18/B18*100)</f>
        <v>77.79367647058824</v>
      </c>
      <c r="E18" s="41">
        <f aca="true" t="shared" si="1" ref="E18:E36">C18-B18</f>
        <v>-9060.18</v>
      </c>
    </row>
    <row r="19" spans="1:5" s="13" customFormat="1" ht="18" customHeight="1">
      <c r="A19" s="21" t="s">
        <v>9</v>
      </c>
      <c r="B19" s="80">
        <f>SUM(B20:B21)</f>
        <v>755000</v>
      </c>
      <c r="C19" s="80">
        <f>SUM(C20:C21)</f>
        <v>440721.7</v>
      </c>
      <c r="D19" s="40">
        <f t="shared" si="0"/>
        <v>58.37373509933775</v>
      </c>
      <c r="E19" s="41">
        <f t="shared" si="1"/>
        <v>-314278.3</v>
      </c>
    </row>
    <row r="20" spans="1:5" s="13" customFormat="1" ht="13.5">
      <c r="A20" s="21" t="s">
        <v>109</v>
      </c>
      <c r="B20" s="80">
        <v>260000</v>
      </c>
      <c r="C20" s="125">
        <v>111382.33</v>
      </c>
      <c r="D20" s="40">
        <f t="shared" si="0"/>
        <v>42.83935769230769</v>
      </c>
      <c r="E20" s="41">
        <f t="shared" si="1"/>
        <v>-148617.66999999998</v>
      </c>
    </row>
    <row r="21" spans="1:5" s="13" customFormat="1" ht="16.5" customHeight="1">
      <c r="A21" s="21" t="s">
        <v>152</v>
      </c>
      <c r="B21" s="80">
        <f>SUM(B22:B23)</f>
        <v>495000</v>
      </c>
      <c r="C21" s="80">
        <f>SUM(C22:C23)</f>
        <v>329339.37</v>
      </c>
      <c r="D21" s="40">
        <f t="shared" si="0"/>
        <v>66.53320606060606</v>
      </c>
      <c r="E21" s="41">
        <f t="shared" si="1"/>
        <v>-165660.63</v>
      </c>
    </row>
    <row r="22" spans="1:5" s="13" customFormat="1" ht="13.5">
      <c r="A22" s="21" t="s">
        <v>153</v>
      </c>
      <c r="B22" s="80">
        <v>238600</v>
      </c>
      <c r="C22" s="125">
        <v>192460.16</v>
      </c>
      <c r="D22" s="40">
        <f t="shared" si="0"/>
        <v>80.66226320201174</v>
      </c>
      <c r="E22" s="41">
        <f t="shared" si="1"/>
        <v>-46139.84</v>
      </c>
    </row>
    <row r="23" spans="1:5" s="13" customFormat="1" ht="13.5">
      <c r="A23" s="21" t="s">
        <v>154</v>
      </c>
      <c r="B23" s="80">
        <v>256400</v>
      </c>
      <c r="C23" s="125">
        <v>136879.21</v>
      </c>
      <c r="D23" s="40">
        <f t="shared" si="0"/>
        <v>53.38502730109204</v>
      </c>
      <c r="E23" s="41">
        <f t="shared" si="1"/>
        <v>-119520.79000000001</v>
      </c>
    </row>
    <row r="24" spans="1:5" s="13" customFormat="1" ht="13.5">
      <c r="A24" s="21" t="s">
        <v>187</v>
      </c>
      <c r="B24" s="80">
        <v>0</v>
      </c>
      <c r="C24" s="125">
        <v>0</v>
      </c>
      <c r="D24" s="40" t="str">
        <f t="shared" si="0"/>
        <v>   </v>
      </c>
      <c r="E24" s="41">
        <f t="shared" si="1"/>
        <v>0</v>
      </c>
    </row>
    <row r="25" spans="1:5" s="13" customFormat="1" ht="19.5" customHeight="1">
      <c r="A25" s="21" t="s">
        <v>85</v>
      </c>
      <c r="B25" s="80">
        <v>0</v>
      </c>
      <c r="C25" s="80">
        <v>0</v>
      </c>
      <c r="D25" s="40" t="str">
        <f t="shared" si="0"/>
        <v>   </v>
      </c>
      <c r="E25" s="41">
        <f t="shared" si="1"/>
        <v>0</v>
      </c>
    </row>
    <row r="26" spans="1:5" s="13" customFormat="1" ht="24.75" customHeight="1">
      <c r="A26" s="21" t="s">
        <v>28</v>
      </c>
      <c r="B26" s="36">
        <f>SUM(B27:B30)</f>
        <v>463600</v>
      </c>
      <c r="C26" s="36">
        <f>SUM(C27:C30)</f>
        <v>495739.03</v>
      </c>
      <c r="D26" s="40">
        <f t="shared" si="0"/>
        <v>106.9324913718723</v>
      </c>
      <c r="E26" s="41">
        <f t="shared" si="1"/>
        <v>32139.030000000028</v>
      </c>
    </row>
    <row r="27" spans="1:5" s="13" customFormat="1" ht="13.5">
      <c r="A27" s="21" t="s">
        <v>144</v>
      </c>
      <c r="B27" s="80">
        <v>453600</v>
      </c>
      <c r="C27" s="125">
        <v>453809.55</v>
      </c>
      <c r="D27" s="40">
        <f t="shared" si="0"/>
        <v>100.04619708994709</v>
      </c>
      <c r="E27" s="41">
        <f t="shared" si="1"/>
        <v>209.54999999998836</v>
      </c>
    </row>
    <row r="28" spans="1:5" s="13" customFormat="1" ht="15.75" customHeight="1">
      <c r="A28" s="21" t="s">
        <v>30</v>
      </c>
      <c r="B28" s="80">
        <v>0</v>
      </c>
      <c r="C28" s="82">
        <v>0</v>
      </c>
      <c r="D28" s="40" t="str">
        <f t="shared" si="0"/>
        <v>   </v>
      </c>
      <c r="E28" s="41">
        <f t="shared" si="1"/>
        <v>0</v>
      </c>
    </row>
    <row r="29" spans="1:5" s="13" customFormat="1" ht="24.75" customHeight="1">
      <c r="A29" s="21" t="s">
        <v>251</v>
      </c>
      <c r="B29" s="36">
        <v>0</v>
      </c>
      <c r="C29" s="164">
        <v>30619.7</v>
      </c>
      <c r="D29" s="40" t="str">
        <f>IF(B29=0,"   ",C29/B29*100)</f>
        <v>   </v>
      </c>
      <c r="E29" s="41">
        <f>C29-B29</f>
        <v>30619.7</v>
      </c>
    </row>
    <row r="30" spans="1:5" s="13" customFormat="1" ht="44.25" customHeight="1">
      <c r="A30" s="21" t="s">
        <v>215</v>
      </c>
      <c r="B30" s="36">
        <v>10000</v>
      </c>
      <c r="C30" s="126">
        <v>11309.78</v>
      </c>
      <c r="D30" s="40">
        <f t="shared" si="0"/>
        <v>113.0978</v>
      </c>
      <c r="E30" s="41">
        <f t="shared" si="1"/>
        <v>1309.7800000000007</v>
      </c>
    </row>
    <row r="31" spans="1:5" s="13" customFormat="1" ht="18.75" customHeight="1">
      <c r="A31" s="21" t="s">
        <v>88</v>
      </c>
      <c r="B31" s="79">
        <v>0</v>
      </c>
      <c r="C31" s="82">
        <v>29287.33</v>
      </c>
      <c r="D31" s="40" t="str">
        <f t="shared" si="0"/>
        <v>   </v>
      </c>
      <c r="E31" s="41">
        <f t="shared" si="1"/>
        <v>29287.33</v>
      </c>
    </row>
    <row r="32" spans="1:5" s="13" customFormat="1" ht="16.5" customHeight="1">
      <c r="A32" s="21" t="s">
        <v>78</v>
      </c>
      <c r="B32" s="79">
        <f>B33+B34</f>
        <v>0</v>
      </c>
      <c r="C32" s="79">
        <f>C33+C34</f>
        <v>0</v>
      </c>
      <c r="D32" s="40" t="str">
        <f t="shared" si="0"/>
        <v>   </v>
      </c>
      <c r="E32" s="41">
        <f t="shared" si="1"/>
        <v>0</v>
      </c>
    </row>
    <row r="33" spans="1:5" s="13" customFormat="1" ht="16.5" customHeight="1">
      <c r="A33" s="21" t="s">
        <v>127</v>
      </c>
      <c r="B33" s="79">
        <v>0</v>
      </c>
      <c r="C33" s="125">
        <v>0</v>
      </c>
      <c r="D33" s="40" t="str">
        <f t="shared" si="0"/>
        <v>   </v>
      </c>
      <c r="E33" s="41">
        <f t="shared" si="1"/>
        <v>0</v>
      </c>
    </row>
    <row r="34" spans="1:5" s="13" customFormat="1" ht="27.75" customHeight="1">
      <c r="A34" s="21" t="s">
        <v>195</v>
      </c>
      <c r="B34" s="80">
        <v>0</v>
      </c>
      <c r="C34" s="127">
        <v>0</v>
      </c>
      <c r="D34" s="40" t="str">
        <f t="shared" si="0"/>
        <v>   </v>
      </c>
      <c r="E34" s="41">
        <f t="shared" si="1"/>
        <v>0</v>
      </c>
    </row>
    <row r="35" spans="1:5" s="13" customFormat="1" ht="15.75" customHeight="1">
      <c r="A35" s="21" t="s">
        <v>31</v>
      </c>
      <c r="B35" s="80">
        <v>0</v>
      </c>
      <c r="C35" s="127">
        <v>0</v>
      </c>
      <c r="D35" s="40" t="str">
        <f t="shared" si="0"/>
        <v>   </v>
      </c>
      <c r="E35" s="41">
        <f t="shared" si="1"/>
        <v>0</v>
      </c>
    </row>
    <row r="36" spans="1:5" s="13" customFormat="1" ht="15" customHeight="1">
      <c r="A36" s="21" t="s">
        <v>32</v>
      </c>
      <c r="B36" s="80">
        <f>B39+B40</f>
        <v>0</v>
      </c>
      <c r="C36" s="80">
        <f>SUM(C39:C40)</f>
        <v>0</v>
      </c>
      <c r="D36" s="40" t="str">
        <f t="shared" si="0"/>
        <v>   </v>
      </c>
      <c r="E36" s="41">
        <f t="shared" si="1"/>
        <v>0</v>
      </c>
    </row>
    <row r="37" spans="1:5" s="13" customFormat="1" ht="12.75" customHeight="1" hidden="1">
      <c r="A37" s="128" t="s">
        <v>33</v>
      </c>
      <c r="B37" s="80"/>
      <c r="C37" s="129"/>
      <c r="D37" s="40" t="e">
        <f>IF(#REF!=0,"   ",C37/#REF!)</f>
        <v>#REF!</v>
      </c>
      <c r="E37" s="41" t="e">
        <f>C37-#REF!</f>
        <v>#REF!</v>
      </c>
    </row>
    <row r="38" spans="1:5" s="8" customFormat="1" ht="12.75" customHeight="1" hidden="1">
      <c r="A38" s="128" t="s">
        <v>16</v>
      </c>
      <c r="B38" s="130" t="e">
        <f>SUM(B45,#REF!,#REF!,#REF!)</f>
        <v>#REF!</v>
      </c>
      <c r="C38" s="83" t="e">
        <f>SUM(C45,#REF!,#REF!,#REF!)</f>
        <v>#REF!</v>
      </c>
      <c r="D38" s="40" t="e">
        <f>IF(#REF!=0,"   ",C38/#REF!)</f>
        <v>#REF!</v>
      </c>
      <c r="E38" s="41" t="e">
        <f>C38-#REF!</f>
        <v>#REF!</v>
      </c>
    </row>
    <row r="39" spans="1:5" s="8" customFormat="1" ht="13.5">
      <c r="A39" s="21" t="s">
        <v>126</v>
      </c>
      <c r="B39" s="80">
        <v>0</v>
      </c>
      <c r="C39" s="79">
        <v>0</v>
      </c>
      <c r="D39" s="40" t="str">
        <f>IF(B39=0,"   ",C39/B39*100)</f>
        <v>   </v>
      </c>
      <c r="E39" s="41">
        <f>C39-B39</f>
        <v>0</v>
      </c>
    </row>
    <row r="40" spans="1:5" s="8" customFormat="1" ht="15" customHeight="1">
      <c r="A40" s="21" t="s">
        <v>103</v>
      </c>
      <c r="B40" s="80">
        <v>0</v>
      </c>
      <c r="C40" s="79">
        <v>0</v>
      </c>
      <c r="D40" s="40" t="str">
        <f>IF(B40=0,"   ",C40/B40*100)</f>
        <v>   </v>
      </c>
      <c r="E40" s="41">
        <f>C40-B40</f>
        <v>0</v>
      </c>
    </row>
    <row r="41" spans="1:5" s="8" customFormat="1" ht="12.75" customHeight="1" hidden="1">
      <c r="A41" s="21" t="s">
        <v>46</v>
      </c>
      <c r="B41" s="130"/>
      <c r="C41" s="79">
        <v>0</v>
      </c>
      <c r="D41" s="40" t="e">
        <f>IF(#REF!=0,"   ",C41/#REF!)</f>
        <v>#REF!</v>
      </c>
      <c r="E41" s="41" t="e">
        <f>C41-#REF!</f>
        <v>#REF!</v>
      </c>
    </row>
    <row r="42" spans="1:5" s="8" customFormat="1" ht="0.75" customHeight="1" hidden="1">
      <c r="A42" s="131" t="s">
        <v>47</v>
      </c>
      <c r="B42" s="132">
        <v>1250</v>
      </c>
      <c r="C42" s="133"/>
      <c r="D42" s="90" t="e">
        <f>IF(#REF!=0,"   ",C42/#REF!)</f>
        <v>#REF!</v>
      </c>
      <c r="E42" s="91" t="e">
        <f>C42-#REF!</f>
        <v>#REF!</v>
      </c>
    </row>
    <row r="43" spans="1:5" s="8" customFormat="1" ht="22.5" customHeight="1">
      <c r="A43" s="64" t="s">
        <v>10</v>
      </c>
      <c r="B43" s="116">
        <f>B7+B16+B19+B25+B26+B31+B32+B36+B14+B35+B24</f>
        <v>2008700</v>
      </c>
      <c r="C43" s="116">
        <f>C7+C16+C19+C25+C26+C31+C32+C36+C14+C35+C24</f>
        <v>1558281.79</v>
      </c>
      <c r="D43" s="46">
        <f aca="true" t="shared" si="2" ref="D43:D60">IF(B43=0,"   ",C43/B43*100)</f>
        <v>77.57663115447802</v>
      </c>
      <c r="E43" s="134">
        <f aca="true" t="shared" si="3" ref="E43:E60">C43-B43</f>
        <v>-450418.20999999996</v>
      </c>
    </row>
    <row r="44" spans="1:5" s="8" customFormat="1" ht="18.75" customHeight="1">
      <c r="A44" s="62" t="s">
        <v>132</v>
      </c>
      <c r="B44" s="135">
        <f>SUM(B45:B48,B51:B54,B60)</f>
        <v>2793500</v>
      </c>
      <c r="C44" s="135">
        <f>SUM(C45:C48,C51:C54,C60)</f>
        <v>2002502</v>
      </c>
      <c r="D44" s="40">
        <f t="shared" si="2"/>
        <v>71.68433864327905</v>
      </c>
      <c r="E44" s="107">
        <f t="shared" si="3"/>
        <v>-790998</v>
      </c>
    </row>
    <row r="45" spans="1:5" s="13" customFormat="1" ht="19.5" customHeight="1">
      <c r="A45" s="136" t="s">
        <v>34</v>
      </c>
      <c r="B45" s="135">
        <v>1561800</v>
      </c>
      <c r="C45" s="125">
        <v>1042370</v>
      </c>
      <c r="D45" s="97">
        <f t="shared" si="2"/>
        <v>66.74158022794212</v>
      </c>
      <c r="E45" s="98">
        <f t="shared" si="3"/>
        <v>-519430</v>
      </c>
    </row>
    <row r="46" spans="1:5" s="13" customFormat="1" ht="19.5" customHeight="1">
      <c r="A46" s="38" t="s">
        <v>218</v>
      </c>
      <c r="B46" s="135">
        <v>0</v>
      </c>
      <c r="C46" s="125">
        <v>0</v>
      </c>
      <c r="D46" s="97" t="str">
        <f>IF(B46=0,"   ",C46/B46*100)</f>
        <v>   </v>
      </c>
      <c r="E46" s="98">
        <f>C46-B46</f>
        <v>0</v>
      </c>
    </row>
    <row r="47" spans="1:5" s="13" customFormat="1" ht="30" customHeight="1">
      <c r="A47" s="52" t="s">
        <v>51</v>
      </c>
      <c r="B47" s="85">
        <v>103700</v>
      </c>
      <c r="C47" s="126">
        <v>65200</v>
      </c>
      <c r="D47" s="54">
        <f t="shared" si="2"/>
        <v>62.87367405978785</v>
      </c>
      <c r="E47" s="55">
        <f t="shared" si="3"/>
        <v>-38500</v>
      </c>
    </row>
    <row r="48" spans="1:5" s="13" customFormat="1" ht="30" customHeight="1">
      <c r="A48" s="52" t="s">
        <v>140</v>
      </c>
      <c r="B48" s="85">
        <f>SUM(B49:B50)</f>
        <v>100</v>
      </c>
      <c r="C48" s="85">
        <f>SUM(C49:C50)</f>
        <v>100</v>
      </c>
      <c r="D48" s="54">
        <f t="shared" si="2"/>
        <v>100</v>
      </c>
      <c r="E48" s="55">
        <f t="shared" si="3"/>
        <v>0</v>
      </c>
    </row>
    <row r="49" spans="1:5" s="13" customFormat="1" ht="18" customHeight="1">
      <c r="A49" s="52" t="s">
        <v>155</v>
      </c>
      <c r="B49" s="85">
        <v>100</v>
      </c>
      <c r="C49" s="85">
        <v>100</v>
      </c>
      <c r="D49" s="54">
        <f t="shared" si="2"/>
        <v>100</v>
      </c>
      <c r="E49" s="55">
        <f t="shared" si="3"/>
        <v>0</v>
      </c>
    </row>
    <row r="50" spans="1:5" s="13" customFormat="1" ht="30" customHeight="1">
      <c r="A50" s="52" t="s">
        <v>156</v>
      </c>
      <c r="B50" s="85">
        <v>0</v>
      </c>
      <c r="C50" s="85">
        <v>0</v>
      </c>
      <c r="D50" s="54" t="str">
        <f t="shared" si="2"/>
        <v>   </v>
      </c>
      <c r="E50" s="55">
        <f t="shared" si="3"/>
        <v>0</v>
      </c>
    </row>
    <row r="51" spans="1:5" s="13" customFormat="1" ht="31.5" customHeight="1">
      <c r="A51" s="21" t="s">
        <v>98</v>
      </c>
      <c r="B51" s="85">
        <v>0</v>
      </c>
      <c r="C51" s="85">
        <v>0</v>
      </c>
      <c r="D51" s="54" t="str">
        <f t="shared" si="2"/>
        <v>   </v>
      </c>
      <c r="E51" s="55">
        <f t="shared" si="3"/>
        <v>0</v>
      </c>
    </row>
    <row r="52" spans="1:5" s="13" customFormat="1" ht="30" customHeight="1">
      <c r="A52" s="21" t="s">
        <v>332</v>
      </c>
      <c r="B52" s="85">
        <v>48900</v>
      </c>
      <c r="C52" s="85">
        <v>48900</v>
      </c>
      <c r="D52" s="54">
        <f t="shared" si="2"/>
        <v>100</v>
      </c>
      <c r="E52" s="55">
        <f t="shared" si="3"/>
        <v>0</v>
      </c>
    </row>
    <row r="53" spans="1:5" s="13" customFormat="1" ht="41.25" customHeight="1">
      <c r="A53" s="21" t="s">
        <v>227</v>
      </c>
      <c r="B53" s="85">
        <v>570600</v>
      </c>
      <c r="C53" s="85">
        <v>570600</v>
      </c>
      <c r="D53" s="54">
        <f t="shared" si="2"/>
        <v>100</v>
      </c>
      <c r="E53" s="55">
        <f t="shared" si="3"/>
        <v>0</v>
      </c>
    </row>
    <row r="54" spans="1:5" s="13" customFormat="1" ht="18" customHeight="1">
      <c r="A54" s="21" t="s">
        <v>54</v>
      </c>
      <c r="B54" s="36">
        <f>SUM(B55:B59)</f>
        <v>508400</v>
      </c>
      <c r="C54" s="36">
        <f>SUM(C55:C59)</f>
        <v>275332</v>
      </c>
      <c r="D54" s="40">
        <f t="shared" si="2"/>
        <v>54.15656963021244</v>
      </c>
      <c r="E54" s="41">
        <f t="shared" si="3"/>
        <v>-233068</v>
      </c>
    </row>
    <row r="55" spans="1:5" s="13" customFormat="1" ht="18" customHeight="1">
      <c r="A55" s="21" t="s">
        <v>179</v>
      </c>
      <c r="B55" s="36">
        <v>71300</v>
      </c>
      <c r="C55" s="36">
        <v>0</v>
      </c>
      <c r="D55" s="40">
        <f t="shared" si="2"/>
        <v>0</v>
      </c>
      <c r="E55" s="41">
        <f t="shared" si="3"/>
        <v>-71300</v>
      </c>
    </row>
    <row r="56" spans="1:5" s="13" customFormat="1" ht="27" customHeight="1">
      <c r="A56" s="21" t="s">
        <v>261</v>
      </c>
      <c r="B56" s="36">
        <v>0</v>
      </c>
      <c r="C56" s="36">
        <v>0</v>
      </c>
      <c r="D56" s="40" t="str">
        <f>IF(B56=0,"   ",C56/B56*100)</f>
        <v>   </v>
      </c>
      <c r="E56" s="41">
        <f>C56-B56</f>
        <v>0</v>
      </c>
    </row>
    <row r="57" spans="1:5" s="13" customFormat="1" ht="18" customHeight="1">
      <c r="A57" s="21" t="s">
        <v>299</v>
      </c>
      <c r="B57" s="36">
        <v>70300</v>
      </c>
      <c r="C57" s="36">
        <v>0</v>
      </c>
      <c r="D57" s="40">
        <f>IF(B57=0,"   ",C57/B57*100)</f>
        <v>0</v>
      </c>
      <c r="E57" s="41">
        <f>C57-B57</f>
        <v>-70300</v>
      </c>
    </row>
    <row r="58" spans="1:5" s="13" customFormat="1" ht="18" customHeight="1">
      <c r="A58" s="21" t="s">
        <v>270</v>
      </c>
      <c r="B58" s="36">
        <v>0</v>
      </c>
      <c r="C58" s="36">
        <v>0</v>
      </c>
      <c r="D58" s="40" t="str">
        <f>IF(B58=0,"   ",C58/B58*100)</f>
        <v>   </v>
      </c>
      <c r="E58" s="41">
        <f>C58-B58</f>
        <v>0</v>
      </c>
    </row>
    <row r="59" spans="1:5" s="13" customFormat="1" ht="20.25" customHeight="1">
      <c r="A59" s="21" t="s">
        <v>104</v>
      </c>
      <c r="B59" s="36">
        <v>366800</v>
      </c>
      <c r="C59" s="36">
        <v>275332</v>
      </c>
      <c r="D59" s="40">
        <f t="shared" si="2"/>
        <v>75.06324972737187</v>
      </c>
      <c r="E59" s="41">
        <f t="shared" si="3"/>
        <v>-91468</v>
      </c>
    </row>
    <row r="60" spans="1:5" s="13" customFormat="1" ht="24.75" customHeight="1">
      <c r="A60" s="21" t="s">
        <v>189</v>
      </c>
      <c r="B60" s="36">
        <v>0</v>
      </c>
      <c r="C60" s="36">
        <v>0</v>
      </c>
      <c r="D60" s="40" t="str">
        <f t="shared" si="2"/>
        <v>   </v>
      </c>
      <c r="E60" s="41">
        <f t="shared" si="3"/>
        <v>0</v>
      </c>
    </row>
    <row r="61" spans="1:5" s="13" customFormat="1" ht="27" customHeight="1">
      <c r="A61" s="44" t="s">
        <v>11</v>
      </c>
      <c r="B61" s="116">
        <f>B43+B44</f>
        <v>4802200</v>
      </c>
      <c r="C61" s="116">
        <f>C43+C44</f>
        <v>3560783.79</v>
      </c>
      <c r="D61" s="46">
        <f aca="true" t="shared" si="4" ref="D61:D94">IF(B61=0,"   ",C61/B61*100)</f>
        <v>74.14901066178003</v>
      </c>
      <c r="E61" s="47">
        <f aca="true" t="shared" si="5" ref="E61:E94">C61-B61</f>
        <v>-1241416.21</v>
      </c>
    </row>
    <row r="62" spans="1:5" s="7" customFormat="1" ht="15" thickBot="1">
      <c r="A62" s="87" t="s">
        <v>12</v>
      </c>
      <c r="B62" s="137"/>
      <c r="C62" s="138"/>
      <c r="D62" s="90"/>
      <c r="E62" s="91"/>
    </row>
    <row r="63" spans="1:5" s="13" customFormat="1" ht="18.75" customHeight="1" thickBot="1">
      <c r="A63" s="92" t="s">
        <v>35</v>
      </c>
      <c r="B63" s="93">
        <f>SUM(B64,B67:B68)</f>
        <v>1270118.83</v>
      </c>
      <c r="C63" s="93">
        <f>SUM(C64,C67:C68)</f>
        <v>772981.78</v>
      </c>
      <c r="D63" s="94">
        <f t="shared" si="4"/>
        <v>60.85901269568612</v>
      </c>
      <c r="E63" s="95">
        <f t="shared" si="5"/>
        <v>-497137.05000000005</v>
      </c>
    </row>
    <row r="64" spans="1:5" s="13" customFormat="1" ht="17.25" customHeight="1" thickBot="1">
      <c r="A64" s="68" t="s">
        <v>36</v>
      </c>
      <c r="B64" s="96">
        <v>1254618.83</v>
      </c>
      <c r="C64" s="93">
        <v>767981.78</v>
      </c>
      <c r="D64" s="97">
        <f t="shared" si="4"/>
        <v>61.21235881658177</v>
      </c>
      <c r="E64" s="98">
        <f t="shared" si="5"/>
        <v>-486637.05000000005</v>
      </c>
    </row>
    <row r="65" spans="1:5" s="13" customFormat="1" ht="18" customHeight="1">
      <c r="A65" s="21" t="s">
        <v>115</v>
      </c>
      <c r="B65" s="36">
        <v>818755</v>
      </c>
      <c r="C65" s="99">
        <v>480475.06</v>
      </c>
      <c r="D65" s="40">
        <f t="shared" si="4"/>
        <v>58.68361842065086</v>
      </c>
      <c r="E65" s="41">
        <f t="shared" si="5"/>
        <v>-338279.94</v>
      </c>
    </row>
    <row r="66" spans="1:5" s="13" customFormat="1" ht="18" customHeight="1">
      <c r="A66" s="21" t="s">
        <v>334</v>
      </c>
      <c r="B66" s="36">
        <v>48900</v>
      </c>
      <c r="C66" s="99">
        <v>48900</v>
      </c>
      <c r="D66" s="40">
        <f>IF(B66=0,"   ",C66/B66*100)</f>
        <v>100</v>
      </c>
      <c r="E66" s="41">
        <f>C66-B66</f>
        <v>0</v>
      </c>
    </row>
    <row r="67" spans="1:5" s="13" customFormat="1" ht="15.75" customHeight="1">
      <c r="A67" s="21" t="s">
        <v>91</v>
      </c>
      <c r="B67" s="36">
        <v>500</v>
      </c>
      <c r="C67" s="99">
        <v>0</v>
      </c>
      <c r="D67" s="40">
        <f t="shared" si="4"/>
        <v>0</v>
      </c>
      <c r="E67" s="41">
        <f t="shared" si="5"/>
        <v>-500</v>
      </c>
    </row>
    <row r="68" spans="1:5" s="13" customFormat="1" ht="13.5">
      <c r="A68" s="21" t="s">
        <v>52</v>
      </c>
      <c r="B68" s="36">
        <f>SUM(B69:B70)</f>
        <v>15000</v>
      </c>
      <c r="C68" s="36">
        <f>SUM(C69:C70)</f>
        <v>5000</v>
      </c>
      <c r="D68" s="40">
        <f t="shared" si="4"/>
        <v>33.33333333333333</v>
      </c>
      <c r="E68" s="41">
        <f t="shared" si="5"/>
        <v>-10000</v>
      </c>
    </row>
    <row r="69" spans="1:5" s="13" customFormat="1" ht="28.5" customHeight="1">
      <c r="A69" s="17" t="s">
        <v>235</v>
      </c>
      <c r="B69" s="36">
        <v>15000</v>
      </c>
      <c r="C69" s="107">
        <v>5000</v>
      </c>
      <c r="D69" s="40">
        <f t="shared" si="4"/>
        <v>33.33333333333333</v>
      </c>
      <c r="E69" s="107">
        <f t="shared" si="5"/>
        <v>-10000</v>
      </c>
    </row>
    <row r="70" spans="1:5" s="13" customFormat="1" ht="17.25" customHeight="1" thickBot="1">
      <c r="A70" s="17" t="s">
        <v>212</v>
      </c>
      <c r="B70" s="36">
        <v>0</v>
      </c>
      <c r="C70" s="107">
        <v>0</v>
      </c>
      <c r="D70" s="40" t="str">
        <f t="shared" si="4"/>
        <v>   </v>
      </c>
      <c r="E70" s="107">
        <f t="shared" si="5"/>
        <v>0</v>
      </c>
    </row>
    <row r="71" spans="1:5" s="13" customFormat="1" ht="14.25" thickBot="1">
      <c r="A71" s="92" t="s">
        <v>49</v>
      </c>
      <c r="B71" s="106">
        <f>SUM(B72)</f>
        <v>103700</v>
      </c>
      <c r="C71" s="106">
        <f>SUM(C72)</f>
        <v>58351.48</v>
      </c>
      <c r="D71" s="110">
        <f t="shared" si="4"/>
        <v>56.26950819672132</v>
      </c>
      <c r="E71" s="113">
        <f t="shared" si="5"/>
        <v>-45348.52</v>
      </c>
    </row>
    <row r="72" spans="1:5" s="13" customFormat="1" ht="20.25" customHeight="1" thickBot="1">
      <c r="A72" s="60" t="s">
        <v>102</v>
      </c>
      <c r="B72" s="100">
        <v>103700</v>
      </c>
      <c r="C72" s="101">
        <v>58351.48</v>
      </c>
      <c r="D72" s="103">
        <f t="shared" si="4"/>
        <v>56.26950819672132</v>
      </c>
      <c r="E72" s="104">
        <f t="shared" si="5"/>
        <v>-45348.52</v>
      </c>
    </row>
    <row r="73" spans="1:5" s="13" customFormat="1" ht="14.25" thickBot="1">
      <c r="A73" s="92" t="s">
        <v>37</v>
      </c>
      <c r="B73" s="93">
        <f>SUM(B74)</f>
        <v>1000</v>
      </c>
      <c r="C73" s="93">
        <f>SUM(C74)</f>
        <v>0</v>
      </c>
      <c r="D73" s="94">
        <f t="shared" si="4"/>
        <v>0</v>
      </c>
      <c r="E73" s="95">
        <f t="shared" si="5"/>
        <v>-1000</v>
      </c>
    </row>
    <row r="74" spans="1:5" s="13" customFormat="1" ht="14.25" thickBot="1">
      <c r="A74" s="60" t="s">
        <v>325</v>
      </c>
      <c r="B74" s="100">
        <v>1000</v>
      </c>
      <c r="C74" s="101">
        <v>0</v>
      </c>
      <c r="D74" s="103">
        <f t="shared" si="4"/>
        <v>0</v>
      </c>
      <c r="E74" s="104">
        <f t="shared" si="5"/>
        <v>-1000</v>
      </c>
    </row>
    <row r="75" spans="1:5" s="13" customFormat="1" ht="14.25" thickBot="1">
      <c r="A75" s="92" t="s">
        <v>38</v>
      </c>
      <c r="B75" s="93">
        <f>B76+B83+B95+B81</f>
        <v>1685573.66</v>
      </c>
      <c r="C75" s="93">
        <f>C76+C83+C95+C81</f>
        <v>1016399.08</v>
      </c>
      <c r="D75" s="94">
        <f t="shared" si="4"/>
        <v>60.299891017518625</v>
      </c>
      <c r="E75" s="95">
        <f t="shared" si="5"/>
        <v>-669174.58</v>
      </c>
    </row>
    <row r="76" spans="1:5" s="13" customFormat="1" ht="19.5" customHeight="1" thickBot="1">
      <c r="A76" s="60" t="s">
        <v>157</v>
      </c>
      <c r="B76" s="93">
        <f>SUM(B77:B80)</f>
        <v>74800</v>
      </c>
      <c r="C76" s="93">
        <f>SUM(C77:C80)</f>
        <v>0</v>
      </c>
      <c r="D76" s="94">
        <f aca="true" t="shared" si="6" ref="D76:D82">IF(B76=0,"   ",C76/B76*100)</f>
        <v>0</v>
      </c>
      <c r="E76" s="95">
        <f aca="true" t="shared" si="7" ref="E76:E82">C76-B76</f>
        <v>-74800</v>
      </c>
    </row>
    <row r="77" spans="1:5" s="13" customFormat="1" ht="17.25" customHeight="1" thickBot="1">
      <c r="A77" s="62" t="s">
        <v>158</v>
      </c>
      <c r="B77" s="105">
        <v>0</v>
      </c>
      <c r="C77" s="93">
        <v>0</v>
      </c>
      <c r="D77" s="94" t="str">
        <f t="shared" si="6"/>
        <v>   </v>
      </c>
      <c r="E77" s="95">
        <f t="shared" si="7"/>
        <v>0</v>
      </c>
    </row>
    <row r="78" spans="1:5" s="13" customFormat="1" ht="17.25" customHeight="1">
      <c r="A78" s="62" t="s">
        <v>180</v>
      </c>
      <c r="B78" s="100">
        <v>0</v>
      </c>
      <c r="C78" s="109">
        <v>0</v>
      </c>
      <c r="D78" s="97" t="str">
        <f t="shared" si="6"/>
        <v>   </v>
      </c>
      <c r="E78" s="107">
        <f t="shared" si="7"/>
        <v>0</v>
      </c>
    </row>
    <row r="79" spans="1:5" s="13" customFormat="1" ht="17.25" customHeight="1">
      <c r="A79" s="62" t="s">
        <v>300</v>
      </c>
      <c r="B79" s="36">
        <v>70300</v>
      </c>
      <c r="C79" s="36">
        <v>0</v>
      </c>
      <c r="D79" s="97">
        <f t="shared" si="6"/>
        <v>0</v>
      </c>
      <c r="E79" s="107">
        <f t="shared" si="7"/>
        <v>-70300</v>
      </c>
    </row>
    <row r="80" spans="1:5" s="13" customFormat="1" ht="17.25" customHeight="1">
      <c r="A80" s="62" t="s">
        <v>301</v>
      </c>
      <c r="B80" s="36">
        <v>4500</v>
      </c>
      <c r="C80" s="36">
        <v>0</v>
      </c>
      <c r="D80" s="97">
        <f t="shared" si="6"/>
        <v>0</v>
      </c>
      <c r="E80" s="107">
        <f t="shared" si="7"/>
        <v>-4500</v>
      </c>
    </row>
    <row r="81" spans="1:5" s="13" customFormat="1" ht="17.25" customHeight="1" thickBot="1">
      <c r="A81" s="62" t="s">
        <v>220</v>
      </c>
      <c r="B81" s="106">
        <f>SUM(B82)</f>
        <v>0</v>
      </c>
      <c r="C81" s="106">
        <f>SUM(C82)</f>
        <v>0</v>
      </c>
      <c r="D81" s="97" t="str">
        <f t="shared" si="6"/>
        <v>   </v>
      </c>
      <c r="E81" s="98">
        <f t="shared" si="7"/>
        <v>0</v>
      </c>
    </row>
    <row r="82" spans="1:5" s="13" customFormat="1" ht="17.25" customHeight="1">
      <c r="A82" s="62" t="s">
        <v>221</v>
      </c>
      <c r="B82" s="100">
        <v>0</v>
      </c>
      <c r="C82" s="100">
        <v>0</v>
      </c>
      <c r="D82" s="97" t="str">
        <f t="shared" si="6"/>
        <v>   </v>
      </c>
      <c r="E82" s="98">
        <f t="shared" si="7"/>
        <v>0</v>
      </c>
    </row>
    <row r="83" spans="1:5" s="13" customFormat="1" ht="18.75" customHeight="1">
      <c r="A83" s="62" t="s">
        <v>124</v>
      </c>
      <c r="B83" s="96">
        <f>SUM(B84:B85,B89:B94)</f>
        <v>1592600</v>
      </c>
      <c r="C83" s="96">
        <f>SUM(C84:C85,C89:C94)</f>
        <v>1016399.08</v>
      </c>
      <c r="D83" s="97">
        <f t="shared" si="4"/>
        <v>63.8201105111139</v>
      </c>
      <c r="E83" s="98">
        <f t="shared" si="5"/>
        <v>-576200.92</v>
      </c>
    </row>
    <row r="84" spans="1:5" s="13" customFormat="1" ht="19.5" customHeight="1">
      <c r="A84" s="60" t="s">
        <v>141</v>
      </c>
      <c r="B84" s="36">
        <v>50000</v>
      </c>
      <c r="C84" s="36"/>
      <c r="D84" s="97">
        <f t="shared" si="4"/>
        <v>0</v>
      </c>
      <c r="E84" s="107">
        <f t="shared" si="5"/>
        <v>-50000</v>
      </c>
    </row>
    <row r="85" spans="1:5" s="13" customFormat="1" ht="19.5" customHeight="1">
      <c r="A85" s="17" t="s">
        <v>196</v>
      </c>
      <c r="B85" s="36">
        <f>SUM(B86:B88)</f>
        <v>0</v>
      </c>
      <c r="C85" s="36">
        <f>SUM(C86:C88)</f>
        <v>0</v>
      </c>
      <c r="D85" s="97" t="str">
        <f>IF(B85=0,"   ",C85/B85*100)</f>
        <v>   </v>
      </c>
      <c r="E85" s="107">
        <f>C85-B85</f>
        <v>0</v>
      </c>
    </row>
    <row r="86" spans="1:5" s="13" customFormat="1" ht="29.25" customHeight="1">
      <c r="A86" s="17" t="s">
        <v>206</v>
      </c>
      <c r="B86" s="36">
        <v>0</v>
      </c>
      <c r="C86" s="36">
        <v>0</v>
      </c>
      <c r="D86" s="97" t="str">
        <f>IF(B86=0,"   ",C86/B86*100)</f>
        <v>   </v>
      </c>
      <c r="E86" s="107">
        <f>C86-B86</f>
        <v>0</v>
      </c>
    </row>
    <row r="87" spans="1:5" s="13" customFormat="1" ht="27" customHeight="1">
      <c r="A87" s="17" t="s">
        <v>197</v>
      </c>
      <c r="B87" s="36">
        <v>0</v>
      </c>
      <c r="C87" s="36">
        <v>0</v>
      </c>
      <c r="D87" s="97" t="str">
        <f>IF(B87=0,"   ",C87/B87*100)</f>
        <v>   </v>
      </c>
      <c r="E87" s="107">
        <f>C87-B87</f>
        <v>0</v>
      </c>
    </row>
    <row r="88" spans="1:5" s="13" customFormat="1" ht="26.25" customHeight="1">
      <c r="A88" s="17" t="s">
        <v>207</v>
      </c>
      <c r="B88" s="36">
        <v>0</v>
      </c>
      <c r="C88" s="36">
        <v>0</v>
      </c>
      <c r="D88" s="97" t="str">
        <f>IF(B88=0,"   ",C88/B88*100)</f>
        <v>   </v>
      </c>
      <c r="E88" s="107">
        <f>C88-B88</f>
        <v>0</v>
      </c>
    </row>
    <row r="89" spans="1:5" s="13" customFormat="1" ht="33.75" customHeight="1">
      <c r="A89" s="17" t="s">
        <v>238</v>
      </c>
      <c r="B89" s="36">
        <v>446400</v>
      </c>
      <c r="C89" s="36">
        <v>76474.08</v>
      </c>
      <c r="D89" s="97">
        <f t="shared" si="4"/>
        <v>17.131290322580643</v>
      </c>
      <c r="E89" s="114">
        <f t="shared" si="5"/>
        <v>-369925.92</v>
      </c>
    </row>
    <row r="90" spans="1:5" s="13" customFormat="1" ht="27" customHeight="1">
      <c r="A90" s="17" t="s">
        <v>239</v>
      </c>
      <c r="B90" s="36">
        <v>54600</v>
      </c>
      <c r="C90" s="36">
        <v>0</v>
      </c>
      <c r="D90" s="97">
        <f t="shared" si="4"/>
        <v>0</v>
      </c>
      <c r="E90" s="114">
        <f t="shared" si="5"/>
        <v>-54600</v>
      </c>
    </row>
    <row r="91" spans="1:5" s="13" customFormat="1" ht="27" customHeight="1">
      <c r="A91" s="17" t="s">
        <v>240</v>
      </c>
      <c r="B91" s="36">
        <v>570600</v>
      </c>
      <c r="C91" s="36">
        <v>570600</v>
      </c>
      <c r="D91" s="97">
        <f t="shared" si="4"/>
        <v>100</v>
      </c>
      <c r="E91" s="114">
        <f t="shared" si="5"/>
        <v>0</v>
      </c>
    </row>
    <row r="92" spans="1:5" s="13" customFormat="1" ht="27" customHeight="1">
      <c r="A92" s="17" t="s">
        <v>241</v>
      </c>
      <c r="B92" s="36">
        <v>63400</v>
      </c>
      <c r="C92" s="36">
        <v>63400</v>
      </c>
      <c r="D92" s="97">
        <f t="shared" si="4"/>
        <v>100</v>
      </c>
      <c r="E92" s="114">
        <f t="shared" si="5"/>
        <v>0</v>
      </c>
    </row>
    <row r="93" spans="1:5" s="13" customFormat="1" ht="27" customHeight="1">
      <c r="A93" s="17" t="s">
        <v>242</v>
      </c>
      <c r="B93" s="36">
        <v>366800</v>
      </c>
      <c r="C93" s="36">
        <v>275332</v>
      </c>
      <c r="D93" s="97">
        <f t="shared" si="4"/>
        <v>75.06324972737187</v>
      </c>
      <c r="E93" s="114">
        <f t="shared" si="5"/>
        <v>-91468</v>
      </c>
    </row>
    <row r="94" spans="1:5" s="13" customFormat="1" ht="27">
      <c r="A94" s="17" t="s">
        <v>243</v>
      </c>
      <c r="B94" s="36">
        <v>40800</v>
      </c>
      <c r="C94" s="36">
        <v>30593</v>
      </c>
      <c r="D94" s="40">
        <f t="shared" si="4"/>
        <v>74.9828431372549</v>
      </c>
      <c r="E94" s="107">
        <f t="shared" si="5"/>
        <v>-10207</v>
      </c>
    </row>
    <row r="95" spans="1:5" s="13" customFormat="1" ht="13.5">
      <c r="A95" s="68" t="s">
        <v>168</v>
      </c>
      <c r="B95" s="36">
        <f>SUM(B96+B97)</f>
        <v>18173.66</v>
      </c>
      <c r="C95" s="36">
        <f>SUM(C96+C97)</f>
        <v>0</v>
      </c>
      <c r="D95" s="40">
        <f>IF(B95=0,"   ",C95/B95*100)</f>
        <v>0</v>
      </c>
      <c r="E95" s="107">
        <f>C95-B95</f>
        <v>-18173.66</v>
      </c>
    </row>
    <row r="96" spans="1:5" s="13" customFormat="1" ht="27">
      <c r="A96" s="17" t="s">
        <v>147</v>
      </c>
      <c r="B96" s="36">
        <v>0</v>
      </c>
      <c r="C96" s="36">
        <v>0</v>
      </c>
      <c r="D96" s="40" t="str">
        <f>IF(B96=0,"   ",C96/B96*100)</f>
        <v>   </v>
      </c>
      <c r="E96" s="107">
        <f>C96-B96</f>
        <v>0</v>
      </c>
    </row>
    <row r="97" spans="1:5" s="13" customFormat="1" ht="27.75" thickBot="1">
      <c r="A97" s="60" t="s">
        <v>169</v>
      </c>
      <c r="B97" s="36">
        <v>18173.66</v>
      </c>
      <c r="C97" s="36">
        <v>0</v>
      </c>
      <c r="D97" s="40">
        <f>IF(B97=0,"   ",C97/B97*100)</f>
        <v>0</v>
      </c>
      <c r="E97" s="107">
        <f>C97-B97</f>
        <v>-18173.66</v>
      </c>
    </row>
    <row r="98" spans="1:5" s="13" customFormat="1" ht="14.25" thickBot="1">
      <c r="A98" s="92" t="s">
        <v>13</v>
      </c>
      <c r="B98" s="36">
        <f>B113+B101+B103+B122</f>
        <v>1081807.51</v>
      </c>
      <c r="C98" s="36">
        <f>C113+C101+C103+C122</f>
        <v>939014.67</v>
      </c>
      <c r="D98" s="40">
        <f>IF(B98=0,"   ",C98/B98*100)</f>
        <v>86.80053163986632</v>
      </c>
      <c r="E98" s="107">
        <f>C98-B98</f>
        <v>-142792.83999999997</v>
      </c>
    </row>
    <row r="99" spans="1:5" s="13" customFormat="1" ht="12.75" customHeight="1" hidden="1">
      <c r="A99" s="68" t="s">
        <v>40</v>
      </c>
      <c r="B99" s="96" t="e">
        <f>SUM(#REF!,B113,#REF!)</f>
        <v>#REF!</v>
      </c>
      <c r="C99" s="96" t="e">
        <f>SUM(#REF!,C113,#REF!)</f>
        <v>#REF!</v>
      </c>
      <c r="D99" s="97" t="e">
        <f>IF(#REF!=0,"   ",C99/#REF!)</f>
        <v>#REF!</v>
      </c>
      <c r="E99" s="98" t="e">
        <f>C99-#REF!</f>
        <v>#REF!</v>
      </c>
    </row>
    <row r="100" spans="1:5" s="13" customFormat="1" ht="12.75" customHeight="1" hidden="1">
      <c r="A100" s="21" t="s">
        <v>18</v>
      </c>
      <c r="B100" s="36">
        <v>851563</v>
      </c>
      <c r="C100" s="107">
        <v>851563</v>
      </c>
      <c r="D100" s="40" t="e">
        <f>IF(#REF!=0,"   ",C100/#REF!)</f>
        <v>#REF!</v>
      </c>
      <c r="E100" s="41" t="e">
        <f>C100-#REF!</f>
        <v>#REF!</v>
      </c>
    </row>
    <row r="101" spans="1:5" s="13" customFormat="1" ht="12.75" customHeight="1">
      <c r="A101" s="21" t="s">
        <v>148</v>
      </c>
      <c r="B101" s="36">
        <f>SUM(B102)</f>
        <v>0</v>
      </c>
      <c r="C101" s="36">
        <f>SUM(C102)</f>
        <v>0</v>
      </c>
      <c r="D101" s="40" t="str">
        <f aca="true" t="shared" si="8" ref="D101:D110">IF(B101=0,"   ",C101/B101*100)</f>
        <v>   </v>
      </c>
      <c r="E101" s="107">
        <f aca="true" t="shared" si="9" ref="E101:E112">C101-B101</f>
        <v>0</v>
      </c>
    </row>
    <row r="102" spans="1:5" s="13" customFormat="1" ht="12.75" customHeight="1">
      <c r="A102" s="21" t="s">
        <v>149</v>
      </c>
      <c r="B102" s="36">
        <v>0</v>
      </c>
      <c r="C102" s="36">
        <v>0</v>
      </c>
      <c r="D102" s="40" t="str">
        <f t="shared" si="8"/>
        <v>   </v>
      </c>
      <c r="E102" s="107">
        <f t="shared" si="9"/>
        <v>0</v>
      </c>
    </row>
    <row r="103" spans="1:5" s="13" customFormat="1" ht="12.75" customHeight="1">
      <c r="A103" s="21" t="s">
        <v>142</v>
      </c>
      <c r="B103" s="36">
        <f>SUM(B104:B108,B112)</f>
        <v>795407.51</v>
      </c>
      <c r="C103" s="36">
        <f>SUM(C104:C108,C112)</f>
        <v>795407.51</v>
      </c>
      <c r="D103" s="40">
        <f t="shared" si="8"/>
        <v>100</v>
      </c>
      <c r="E103" s="107">
        <f t="shared" si="9"/>
        <v>0</v>
      </c>
    </row>
    <row r="104" spans="1:5" s="13" customFormat="1" ht="26.25" customHeight="1">
      <c r="A104" s="21" t="s">
        <v>186</v>
      </c>
      <c r="B104" s="36">
        <v>0</v>
      </c>
      <c r="C104" s="36">
        <v>0</v>
      </c>
      <c r="D104" s="40" t="str">
        <f>IF(B104=0,"   ",C104/B104*100)</f>
        <v>   </v>
      </c>
      <c r="E104" s="107">
        <f>C104-B104</f>
        <v>0</v>
      </c>
    </row>
    <row r="105" spans="1:5" s="13" customFormat="1" ht="12.75" customHeight="1">
      <c r="A105" s="38" t="s">
        <v>151</v>
      </c>
      <c r="B105" s="36">
        <v>0</v>
      </c>
      <c r="C105" s="36">
        <v>0</v>
      </c>
      <c r="D105" s="40" t="str">
        <f>IF(B105=0,"   ",C105/B105*100)</f>
        <v>   </v>
      </c>
      <c r="E105" s="107">
        <f>C105-B105</f>
        <v>0</v>
      </c>
    </row>
    <row r="106" spans="1:5" s="13" customFormat="1" ht="12.75" customHeight="1">
      <c r="A106" s="21" t="s">
        <v>273</v>
      </c>
      <c r="B106" s="36">
        <v>0</v>
      </c>
      <c r="C106" s="36">
        <v>0</v>
      </c>
      <c r="D106" s="40" t="str">
        <f t="shared" si="8"/>
        <v>   </v>
      </c>
      <c r="E106" s="107">
        <f t="shared" si="9"/>
        <v>0</v>
      </c>
    </row>
    <row r="107" spans="1:5" s="13" customFormat="1" ht="12.75" customHeight="1">
      <c r="A107" s="21" t="s">
        <v>281</v>
      </c>
      <c r="B107" s="96">
        <v>0</v>
      </c>
      <c r="C107" s="96">
        <v>0</v>
      </c>
      <c r="D107" s="40" t="str">
        <f t="shared" si="8"/>
        <v>   </v>
      </c>
      <c r="E107" s="107">
        <f t="shared" si="9"/>
        <v>0</v>
      </c>
    </row>
    <row r="108" spans="1:5" s="13" customFormat="1" ht="18.75" customHeight="1">
      <c r="A108" s="17" t="s">
        <v>196</v>
      </c>
      <c r="B108" s="96">
        <f>SUM(B109+B110+B111)</f>
        <v>0</v>
      </c>
      <c r="C108" s="96">
        <f>SUM(C109+C110+C111)</f>
        <v>0</v>
      </c>
      <c r="D108" s="40" t="str">
        <f t="shared" si="8"/>
        <v>   </v>
      </c>
      <c r="E108" s="107">
        <f t="shared" si="9"/>
        <v>0</v>
      </c>
    </row>
    <row r="109" spans="1:5" s="13" customFormat="1" ht="22.5" customHeight="1">
      <c r="A109" s="17" t="s">
        <v>178</v>
      </c>
      <c r="B109" s="36">
        <v>0</v>
      </c>
      <c r="C109" s="36">
        <v>0</v>
      </c>
      <c r="D109" s="40" t="str">
        <f t="shared" si="8"/>
        <v>   </v>
      </c>
      <c r="E109" s="107">
        <f t="shared" si="9"/>
        <v>0</v>
      </c>
    </row>
    <row r="110" spans="1:5" s="13" customFormat="1" ht="27" customHeight="1">
      <c r="A110" s="17" t="s">
        <v>197</v>
      </c>
      <c r="B110" s="36">
        <v>0</v>
      </c>
      <c r="C110" s="36">
        <v>0</v>
      </c>
      <c r="D110" s="40" t="str">
        <f t="shared" si="8"/>
        <v>   </v>
      </c>
      <c r="E110" s="107">
        <f t="shared" si="9"/>
        <v>0</v>
      </c>
    </row>
    <row r="111" spans="1:5" s="13" customFormat="1" ht="28.5" customHeight="1">
      <c r="A111" s="17" t="s">
        <v>207</v>
      </c>
      <c r="B111" s="36">
        <v>0</v>
      </c>
      <c r="C111" s="36">
        <v>0</v>
      </c>
      <c r="D111" s="40" t="str">
        <f>IF(B111=0,"   ",C111/B111*100)</f>
        <v>   </v>
      </c>
      <c r="E111" s="107">
        <f t="shared" si="9"/>
        <v>0</v>
      </c>
    </row>
    <row r="112" spans="1:5" s="13" customFormat="1" ht="12.75" customHeight="1">
      <c r="A112" s="21" t="s">
        <v>309</v>
      </c>
      <c r="B112" s="36">
        <v>795407.51</v>
      </c>
      <c r="C112" s="36">
        <v>795407.51</v>
      </c>
      <c r="D112" s="40">
        <f>IF(B112=0,"   ",C112/B112*100)</f>
        <v>100</v>
      </c>
      <c r="E112" s="107">
        <f t="shared" si="9"/>
        <v>0</v>
      </c>
    </row>
    <row r="113" spans="1:5" s="13" customFormat="1" ht="13.5">
      <c r="A113" s="21" t="s">
        <v>58</v>
      </c>
      <c r="B113" s="36">
        <f>SUM(B114:B118)</f>
        <v>286300</v>
      </c>
      <c r="C113" s="36">
        <f>SUM(C114:C118)</f>
        <v>143507.16</v>
      </c>
      <c r="D113" s="40">
        <f aca="true" t="shared" si="10" ref="D113:D128">IF(B113=0,"   ",C113/B113*100)</f>
        <v>50.12475026196298</v>
      </c>
      <c r="E113" s="41">
        <f aca="true" t="shared" si="11" ref="E113:E128">C113-B113</f>
        <v>-142792.84</v>
      </c>
    </row>
    <row r="114" spans="1:5" s="13" customFormat="1" ht="15" customHeight="1">
      <c r="A114" s="21" t="s">
        <v>56</v>
      </c>
      <c r="B114" s="36">
        <v>215000</v>
      </c>
      <c r="C114" s="107">
        <v>143507.16</v>
      </c>
      <c r="D114" s="40">
        <f t="shared" si="10"/>
        <v>66.74751627906977</v>
      </c>
      <c r="E114" s="41">
        <f t="shared" si="11"/>
        <v>-71492.84</v>
      </c>
    </row>
    <row r="115" spans="1:5" s="13" customFormat="1" ht="32.25" customHeight="1">
      <c r="A115" s="17" t="s">
        <v>159</v>
      </c>
      <c r="B115" s="108">
        <v>0</v>
      </c>
      <c r="C115" s="139">
        <v>0</v>
      </c>
      <c r="D115" s="90" t="str">
        <f t="shared" si="10"/>
        <v>   </v>
      </c>
      <c r="E115" s="91">
        <f t="shared" si="11"/>
        <v>0</v>
      </c>
    </row>
    <row r="116" spans="1:5" s="13" customFormat="1" ht="17.25" customHeight="1">
      <c r="A116" s="17" t="s">
        <v>57</v>
      </c>
      <c r="B116" s="36">
        <v>0</v>
      </c>
      <c r="C116" s="99">
        <v>0</v>
      </c>
      <c r="D116" s="90" t="str">
        <f t="shared" si="10"/>
        <v>   </v>
      </c>
      <c r="E116" s="91">
        <f t="shared" si="11"/>
        <v>0</v>
      </c>
    </row>
    <row r="117" spans="1:5" s="13" customFormat="1" ht="17.25" customHeight="1">
      <c r="A117" s="17" t="s">
        <v>274</v>
      </c>
      <c r="B117" s="36">
        <v>0</v>
      </c>
      <c r="C117" s="99">
        <v>0</v>
      </c>
      <c r="D117" s="90" t="str">
        <f t="shared" si="10"/>
        <v>   </v>
      </c>
      <c r="E117" s="107">
        <f t="shared" si="11"/>
        <v>0</v>
      </c>
    </row>
    <row r="118" spans="1:5" s="13" customFormat="1" ht="17.25" customHeight="1">
      <c r="A118" s="17" t="s">
        <v>196</v>
      </c>
      <c r="B118" s="36">
        <f>SUM(B119+B120+B121)</f>
        <v>71300</v>
      </c>
      <c r="C118" s="36">
        <f>SUM(C119+C120+C121)</f>
        <v>0</v>
      </c>
      <c r="D118" s="40">
        <f t="shared" si="10"/>
        <v>0</v>
      </c>
      <c r="E118" s="107">
        <f t="shared" si="11"/>
        <v>-71300</v>
      </c>
    </row>
    <row r="119" spans="1:5" s="13" customFormat="1" ht="15.75" customHeight="1">
      <c r="A119" s="17" t="s">
        <v>178</v>
      </c>
      <c r="B119" s="36">
        <v>71300</v>
      </c>
      <c r="C119" s="99">
        <v>0</v>
      </c>
      <c r="D119" s="40">
        <f t="shared" si="10"/>
        <v>0</v>
      </c>
      <c r="E119" s="107">
        <f t="shared" si="11"/>
        <v>-71300</v>
      </c>
    </row>
    <row r="120" spans="1:5" s="13" customFormat="1" ht="27.75" customHeight="1">
      <c r="A120" s="17" t="s">
        <v>197</v>
      </c>
      <c r="B120" s="36">
        <v>0</v>
      </c>
      <c r="C120" s="99">
        <v>0</v>
      </c>
      <c r="D120" s="40" t="str">
        <f>IF(B120=0,"   ",C120/B120*100)</f>
        <v>   </v>
      </c>
      <c r="E120" s="107">
        <f>C120-B120</f>
        <v>0</v>
      </c>
    </row>
    <row r="121" spans="1:5" s="13" customFormat="1" ht="27" customHeight="1" thickBot="1">
      <c r="A121" s="17" t="s">
        <v>207</v>
      </c>
      <c r="B121" s="36">
        <v>0</v>
      </c>
      <c r="C121" s="99">
        <v>0</v>
      </c>
      <c r="D121" s="40" t="str">
        <f t="shared" si="10"/>
        <v>   </v>
      </c>
      <c r="E121" s="107">
        <f t="shared" si="11"/>
        <v>0</v>
      </c>
    </row>
    <row r="122" spans="1:5" s="13" customFormat="1" ht="18" customHeight="1" thickBot="1">
      <c r="A122" s="62" t="s">
        <v>311</v>
      </c>
      <c r="B122" s="111">
        <f>SUM(B123)</f>
        <v>100</v>
      </c>
      <c r="C122" s="111">
        <f>SUM(C123)</f>
        <v>100</v>
      </c>
      <c r="D122" s="40">
        <f>IF(B122=0,"   ",C122/B122*100)</f>
        <v>100</v>
      </c>
      <c r="E122" s="107">
        <f>C122-B122</f>
        <v>0</v>
      </c>
    </row>
    <row r="123" spans="1:5" s="13" customFormat="1" ht="15" customHeight="1">
      <c r="A123" s="62" t="s">
        <v>262</v>
      </c>
      <c r="B123" s="36">
        <v>100</v>
      </c>
      <c r="C123" s="99">
        <v>100</v>
      </c>
      <c r="D123" s="40">
        <f>IF(B123=0,"   ",C123/B123*100)</f>
        <v>100</v>
      </c>
      <c r="E123" s="107">
        <f>C123-B123</f>
        <v>0</v>
      </c>
    </row>
    <row r="124" spans="1:5" s="13" customFormat="1" ht="15" customHeight="1" thickBot="1">
      <c r="A124" s="112" t="s">
        <v>17</v>
      </c>
      <c r="B124" s="106">
        <v>0</v>
      </c>
      <c r="C124" s="106">
        <v>0</v>
      </c>
      <c r="D124" s="110" t="str">
        <f t="shared" si="10"/>
        <v>   </v>
      </c>
      <c r="E124" s="113">
        <f t="shared" si="11"/>
        <v>0</v>
      </c>
    </row>
    <row r="125" spans="1:5" s="13" customFormat="1" ht="14.25" thickBot="1">
      <c r="A125" s="92" t="s">
        <v>41</v>
      </c>
      <c r="B125" s="111">
        <f>SUM(B126)</f>
        <v>839400</v>
      </c>
      <c r="C125" s="93">
        <f>SUM(C126)</f>
        <v>434645.12</v>
      </c>
      <c r="D125" s="94">
        <f t="shared" si="10"/>
        <v>51.78045270431261</v>
      </c>
      <c r="E125" s="95">
        <f t="shared" si="11"/>
        <v>-404754.88</v>
      </c>
    </row>
    <row r="126" spans="1:5" s="13" customFormat="1" ht="14.25" thickBot="1">
      <c r="A126" s="68" t="s">
        <v>42</v>
      </c>
      <c r="B126" s="96">
        <v>839400</v>
      </c>
      <c r="C126" s="114">
        <v>434645.12</v>
      </c>
      <c r="D126" s="97">
        <f t="shared" si="10"/>
        <v>51.78045270431261</v>
      </c>
      <c r="E126" s="98">
        <f t="shared" si="11"/>
        <v>-404754.88</v>
      </c>
    </row>
    <row r="127" spans="1:5" s="13" customFormat="1" ht="19.5" customHeight="1" thickBot="1">
      <c r="A127" s="92" t="s">
        <v>119</v>
      </c>
      <c r="B127" s="111">
        <f>SUM(B128)</f>
        <v>0</v>
      </c>
      <c r="C127" s="111">
        <f>SUM(C128)</f>
        <v>0</v>
      </c>
      <c r="D127" s="94" t="str">
        <f t="shared" si="10"/>
        <v>   </v>
      </c>
      <c r="E127" s="95">
        <f t="shared" si="11"/>
        <v>0</v>
      </c>
    </row>
    <row r="128" spans="1:5" s="13" customFormat="1" ht="16.5" customHeight="1">
      <c r="A128" s="60" t="s">
        <v>43</v>
      </c>
      <c r="B128" s="100">
        <v>0</v>
      </c>
      <c r="C128" s="115">
        <v>0</v>
      </c>
      <c r="D128" s="103" t="str">
        <f t="shared" si="10"/>
        <v>   </v>
      </c>
      <c r="E128" s="104">
        <f t="shared" si="11"/>
        <v>0</v>
      </c>
    </row>
    <row r="129" spans="1:5" s="13" customFormat="1" ht="16.5" customHeight="1">
      <c r="A129" s="44" t="s">
        <v>15</v>
      </c>
      <c r="B129" s="116">
        <f>SUM(B63,B71,B73,B75,B98,B124,B125,B127,)</f>
        <v>4981600</v>
      </c>
      <c r="C129" s="116">
        <f>SUM(C63,C71,C73,C75,C98,C124,C125,C127,)</f>
        <v>3221392.13</v>
      </c>
      <c r="D129" s="46">
        <f>IF(B129=0,"   ",C129/B129*100)</f>
        <v>64.66581279107115</v>
      </c>
      <c r="E129" s="47">
        <f>C129-B129</f>
        <v>-1760207.87</v>
      </c>
    </row>
    <row r="130" spans="1:5" s="13" customFormat="1" ht="12.75" customHeight="1" hidden="1">
      <c r="A130" s="60" t="s">
        <v>21</v>
      </c>
      <c r="B130" s="140"/>
      <c r="C130" s="101"/>
      <c r="D130" s="97" t="e">
        <f>IF(#REF!=0,"   ",C130/#REF!)</f>
        <v>#REF!</v>
      </c>
      <c r="E130" s="98" t="e">
        <f>C130-#REF!</f>
        <v>#REF!</v>
      </c>
    </row>
    <row r="131" spans="1:5" s="13" customFormat="1" ht="12.75" customHeight="1" hidden="1">
      <c r="A131" s="17" t="s">
        <v>22</v>
      </c>
      <c r="B131" s="141">
        <v>1122919</v>
      </c>
      <c r="C131" s="139">
        <v>815256</v>
      </c>
      <c r="D131" s="40" t="e">
        <f>IF(#REF!=0,"   ",C131/#REF!)</f>
        <v>#REF!</v>
      </c>
      <c r="E131" s="41" t="e">
        <f>C131-#REF!</f>
        <v>#REF!</v>
      </c>
    </row>
    <row r="132" spans="1:5" s="13" customFormat="1" ht="13.5" customHeight="1" hidden="1" thickBot="1">
      <c r="A132" s="17" t="s">
        <v>23</v>
      </c>
      <c r="B132" s="141">
        <v>1700000</v>
      </c>
      <c r="C132" s="142">
        <v>1700000</v>
      </c>
      <c r="D132" s="90" t="e">
        <f>IF(#REF!=0,"   ",C132/#REF!)</f>
        <v>#REF!</v>
      </c>
      <c r="E132" s="91" t="e">
        <f>C132-#REF!</f>
        <v>#REF!</v>
      </c>
    </row>
    <row r="133" spans="1:5" s="13" customFormat="1" ht="33" customHeight="1">
      <c r="A133" s="71" t="s">
        <v>291</v>
      </c>
      <c r="B133" s="71"/>
      <c r="C133" s="165"/>
      <c r="D133" s="165"/>
      <c r="E133" s="165"/>
    </row>
    <row r="134" spans="1:5" s="13" customFormat="1" ht="15.75" customHeight="1">
      <c r="A134" s="71" t="s">
        <v>146</v>
      </c>
      <c r="B134" s="71"/>
      <c r="C134" s="72" t="s">
        <v>292</v>
      </c>
      <c r="D134" s="73"/>
      <c r="E134" s="74"/>
    </row>
    <row r="135" spans="1:5" s="6" customFormat="1" ht="13.5">
      <c r="A135" s="71"/>
      <c r="B135" s="71"/>
      <c r="C135" s="117"/>
      <c r="D135" s="71"/>
      <c r="E135" s="118"/>
    </row>
    <row r="136" spans="1:5" s="6" customFormat="1" ht="13.5">
      <c r="A136" s="71"/>
      <c r="B136" s="71"/>
      <c r="C136" s="117"/>
      <c r="D136" s="71"/>
      <c r="E136" s="118"/>
    </row>
    <row r="137" spans="1:5" s="6" customFormat="1" ht="13.5">
      <c r="A137" s="71"/>
      <c r="B137" s="71"/>
      <c r="C137" s="117"/>
      <c r="D137" s="71"/>
      <c r="E137" s="118"/>
    </row>
    <row r="138" spans="1:5" s="6" customFormat="1" ht="13.5">
      <c r="A138" s="71"/>
      <c r="B138" s="71"/>
      <c r="C138" s="117"/>
      <c r="D138" s="71"/>
      <c r="E138" s="118"/>
    </row>
    <row r="139" spans="1:5" s="6" customFormat="1" ht="13.5">
      <c r="A139" s="71"/>
      <c r="B139" s="71"/>
      <c r="C139" s="117"/>
      <c r="D139" s="71"/>
      <c r="E139" s="118"/>
    </row>
    <row r="140" spans="1:5" s="6" customFormat="1" ht="13.5">
      <c r="A140" s="71"/>
      <c r="B140" s="71"/>
      <c r="C140" s="117"/>
      <c r="D140" s="71"/>
      <c r="E140" s="118"/>
    </row>
    <row r="141" spans="3:5" s="6" customFormat="1" ht="12.75">
      <c r="C141" s="5"/>
      <c r="E141" s="2"/>
    </row>
    <row r="142" spans="3:5" s="6" customFormat="1" ht="12.75">
      <c r="C142" s="5"/>
      <c r="E142" s="2"/>
    </row>
    <row r="143" spans="3:5" s="6" customFormat="1" ht="12.75">
      <c r="C143" s="5"/>
      <c r="E143" s="2"/>
    </row>
    <row r="144" spans="3:5" s="6" customFormat="1" ht="12.75">
      <c r="C144" s="5"/>
      <c r="E144" s="2"/>
    </row>
  </sheetData>
  <sheetProtection/>
  <mergeCells count="2">
    <mergeCell ref="C133:E133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3.5">
      <c r="A1" s="166" t="s">
        <v>349</v>
      </c>
      <c r="B1" s="166"/>
      <c r="C1" s="166"/>
      <c r="D1" s="166"/>
      <c r="E1" s="166"/>
    </row>
    <row r="2" spans="1:5" ht="3" customHeight="1" thickBot="1">
      <c r="A2" s="22"/>
      <c r="B2" s="22"/>
      <c r="C2" s="148"/>
      <c r="D2" s="148"/>
      <c r="E2" s="148"/>
    </row>
    <row r="3" spans="1:5" ht="14.25" hidden="1" thickBot="1">
      <c r="A3" s="22"/>
      <c r="B3" s="22"/>
      <c r="C3" s="23"/>
      <c r="D3" s="22"/>
      <c r="E3" s="22" t="s">
        <v>0</v>
      </c>
    </row>
    <row r="4" spans="1:5" ht="66.75" customHeight="1">
      <c r="A4" s="24" t="s">
        <v>1</v>
      </c>
      <c r="B4" s="25" t="s">
        <v>293</v>
      </c>
      <c r="C4" s="26" t="s">
        <v>338</v>
      </c>
      <c r="D4" s="25" t="s">
        <v>298</v>
      </c>
      <c r="E4" s="27" t="s">
        <v>295</v>
      </c>
    </row>
    <row r="5" spans="1:5" ht="13.5">
      <c r="A5" s="28">
        <v>1</v>
      </c>
      <c r="B5" s="29"/>
      <c r="C5" s="30">
        <v>3</v>
      </c>
      <c r="D5" s="31">
        <v>4</v>
      </c>
      <c r="E5" s="32">
        <v>5</v>
      </c>
    </row>
    <row r="6" spans="1:5" ht="13.5" customHeight="1">
      <c r="A6" s="33" t="s">
        <v>2</v>
      </c>
      <c r="B6" s="34"/>
      <c r="C6" s="35"/>
      <c r="D6" s="36"/>
      <c r="E6" s="37"/>
    </row>
    <row r="7" spans="1:5" ht="18.75" customHeight="1">
      <c r="A7" s="38" t="s">
        <v>45</v>
      </c>
      <c r="B7" s="143">
        <f>SUM(B8)</f>
        <v>11800</v>
      </c>
      <c r="C7" s="143">
        <f>SUM(C8)</f>
        <v>8868.41</v>
      </c>
      <c r="D7" s="40">
        <f aca="true" t="shared" si="0" ref="D7:D98">IF(B7=0,"   ",C7/B7*100)</f>
        <v>75.15601694915254</v>
      </c>
      <c r="E7" s="41">
        <f aca="true" t="shared" si="1" ref="E7:E99">C7-B7</f>
        <v>-2931.59</v>
      </c>
    </row>
    <row r="8" spans="1:5" ht="13.5">
      <c r="A8" s="21" t="s">
        <v>44</v>
      </c>
      <c r="B8" s="36">
        <v>11800</v>
      </c>
      <c r="C8" s="86">
        <v>8868.41</v>
      </c>
      <c r="D8" s="40">
        <f t="shared" si="0"/>
        <v>75.15601694915254</v>
      </c>
      <c r="E8" s="41">
        <f t="shared" si="1"/>
        <v>-2931.59</v>
      </c>
    </row>
    <row r="9" spans="1:5" ht="16.5" customHeight="1">
      <c r="A9" s="38" t="s">
        <v>129</v>
      </c>
      <c r="B9" s="143">
        <f>SUM(B10)</f>
        <v>525500</v>
      </c>
      <c r="C9" s="143">
        <f>SUM(C10)</f>
        <v>354756.77</v>
      </c>
      <c r="D9" s="40">
        <f t="shared" si="0"/>
        <v>67.50842435775452</v>
      </c>
      <c r="E9" s="41">
        <f t="shared" si="1"/>
        <v>-170743.22999999998</v>
      </c>
    </row>
    <row r="10" spans="1:5" ht="13.5">
      <c r="A10" s="21" t="s">
        <v>130</v>
      </c>
      <c r="B10" s="36">
        <v>525500</v>
      </c>
      <c r="C10" s="86">
        <v>354756.77</v>
      </c>
      <c r="D10" s="40">
        <f t="shared" si="0"/>
        <v>67.50842435775452</v>
      </c>
      <c r="E10" s="41">
        <f t="shared" si="1"/>
        <v>-170743.22999999998</v>
      </c>
    </row>
    <row r="11" spans="1:5" ht="16.5" customHeight="1">
      <c r="A11" s="21" t="s">
        <v>7</v>
      </c>
      <c r="B11" s="36">
        <f>SUM(B12:B12)</f>
        <v>0</v>
      </c>
      <c r="C11" s="36">
        <f>SUM(C12:C12)</f>
        <v>0</v>
      </c>
      <c r="D11" s="40" t="str">
        <f t="shared" si="0"/>
        <v>   </v>
      </c>
      <c r="E11" s="41">
        <f t="shared" si="1"/>
        <v>0</v>
      </c>
    </row>
    <row r="12" spans="1:5" ht="15" customHeight="1">
      <c r="A12" s="21" t="s">
        <v>26</v>
      </c>
      <c r="B12" s="36">
        <v>0</v>
      </c>
      <c r="C12" s="107">
        <v>0</v>
      </c>
      <c r="D12" s="40" t="str">
        <f t="shared" si="0"/>
        <v>   </v>
      </c>
      <c r="E12" s="41">
        <f t="shared" si="1"/>
        <v>0</v>
      </c>
    </row>
    <row r="13" spans="1:5" ht="15" customHeight="1">
      <c r="A13" s="21" t="s">
        <v>9</v>
      </c>
      <c r="B13" s="36">
        <f>SUM(B14:B15)</f>
        <v>239000</v>
      </c>
      <c r="C13" s="36">
        <f>SUM(C14:C15)</f>
        <v>82018.84000000001</v>
      </c>
      <c r="D13" s="40">
        <f t="shared" si="0"/>
        <v>34.31750627615063</v>
      </c>
      <c r="E13" s="41">
        <f t="shared" si="1"/>
        <v>-156981.15999999997</v>
      </c>
    </row>
    <row r="14" spans="1:5" ht="15" customHeight="1">
      <c r="A14" s="21" t="s">
        <v>106</v>
      </c>
      <c r="B14" s="36">
        <v>28000</v>
      </c>
      <c r="C14" s="86">
        <v>721.16</v>
      </c>
      <c r="D14" s="40">
        <f t="shared" si="0"/>
        <v>2.5755714285714286</v>
      </c>
      <c r="E14" s="41">
        <f t="shared" si="1"/>
        <v>-27278.84</v>
      </c>
    </row>
    <row r="15" spans="1:5" ht="15.75" customHeight="1">
      <c r="A15" s="21" t="s">
        <v>152</v>
      </c>
      <c r="B15" s="36">
        <f>SUM(B16:B17)</f>
        <v>211000</v>
      </c>
      <c r="C15" s="36">
        <f>SUM(C16:C17)</f>
        <v>81297.68000000001</v>
      </c>
      <c r="D15" s="40">
        <f t="shared" si="0"/>
        <v>38.52970616113745</v>
      </c>
      <c r="E15" s="41">
        <f t="shared" si="1"/>
        <v>-129702.31999999999</v>
      </c>
    </row>
    <row r="16" spans="1:5" ht="15.75" customHeight="1">
      <c r="A16" s="21" t="s">
        <v>153</v>
      </c>
      <c r="B16" s="36">
        <v>92000</v>
      </c>
      <c r="C16" s="86">
        <v>71145.24</v>
      </c>
      <c r="D16" s="40">
        <f t="shared" si="0"/>
        <v>77.33178260869565</v>
      </c>
      <c r="E16" s="41">
        <f t="shared" si="1"/>
        <v>-20854.759999999995</v>
      </c>
    </row>
    <row r="17" spans="1:5" ht="15.75" customHeight="1">
      <c r="A17" s="21" t="s">
        <v>154</v>
      </c>
      <c r="B17" s="36">
        <v>119000</v>
      </c>
      <c r="C17" s="86">
        <v>10152.44</v>
      </c>
      <c r="D17" s="40">
        <f t="shared" si="0"/>
        <v>8.53146218487395</v>
      </c>
      <c r="E17" s="41">
        <f t="shared" si="1"/>
        <v>-108847.56</v>
      </c>
    </row>
    <row r="18" spans="1:5" ht="15.75" customHeight="1">
      <c r="A18" s="21" t="s">
        <v>187</v>
      </c>
      <c r="B18" s="36">
        <v>0</v>
      </c>
      <c r="C18" s="107">
        <v>0</v>
      </c>
      <c r="D18" s="40" t="str">
        <f t="shared" si="0"/>
        <v>   </v>
      </c>
      <c r="E18" s="41">
        <f t="shared" si="1"/>
        <v>0</v>
      </c>
    </row>
    <row r="19" spans="1:5" ht="28.5" customHeight="1">
      <c r="A19" s="21" t="s">
        <v>86</v>
      </c>
      <c r="B19" s="36">
        <v>0</v>
      </c>
      <c r="C19" s="36">
        <v>0</v>
      </c>
      <c r="D19" s="40" t="str">
        <f t="shared" si="0"/>
        <v>   </v>
      </c>
      <c r="E19" s="41">
        <f t="shared" si="1"/>
        <v>0</v>
      </c>
    </row>
    <row r="20" spans="1:5" ht="25.5" customHeight="1">
      <c r="A20" s="21" t="s">
        <v>28</v>
      </c>
      <c r="B20" s="36">
        <f>SUM(B21:B23)</f>
        <v>215800</v>
      </c>
      <c r="C20" s="36">
        <f>SUM(C21:C23)</f>
        <v>46724.7</v>
      </c>
      <c r="D20" s="40">
        <f t="shared" si="0"/>
        <v>21.651853568118625</v>
      </c>
      <c r="E20" s="41">
        <f t="shared" si="1"/>
        <v>-169075.3</v>
      </c>
    </row>
    <row r="21" spans="1:5" ht="13.5">
      <c r="A21" s="21" t="s">
        <v>143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27">
      <c r="A22" s="21" t="s">
        <v>251</v>
      </c>
      <c r="B22" s="36">
        <v>0</v>
      </c>
      <c r="C22" s="107">
        <v>0</v>
      </c>
      <c r="D22" s="40" t="str">
        <f>IF(B22=0,"   ",C22/B22*100)</f>
        <v>   </v>
      </c>
      <c r="E22" s="41">
        <f>C22-B22</f>
        <v>0</v>
      </c>
    </row>
    <row r="23" spans="1:5" ht="16.5" customHeight="1">
      <c r="A23" s="21" t="s">
        <v>144</v>
      </c>
      <c r="B23" s="36">
        <v>215800</v>
      </c>
      <c r="C23" s="107">
        <v>46724.7</v>
      </c>
      <c r="D23" s="40">
        <f t="shared" si="0"/>
        <v>21.651853568118625</v>
      </c>
      <c r="E23" s="41">
        <f t="shared" si="1"/>
        <v>-169075.3</v>
      </c>
    </row>
    <row r="24" spans="1:5" ht="17.25" customHeight="1">
      <c r="A24" s="21" t="s">
        <v>88</v>
      </c>
      <c r="B24" s="36">
        <v>0</v>
      </c>
      <c r="C24" s="107">
        <v>0</v>
      </c>
      <c r="D24" s="40" t="str">
        <f t="shared" si="0"/>
        <v>   </v>
      </c>
      <c r="E24" s="41">
        <f t="shared" si="1"/>
        <v>0</v>
      </c>
    </row>
    <row r="25" spans="1:5" ht="14.25" customHeight="1">
      <c r="A25" s="21" t="s">
        <v>78</v>
      </c>
      <c r="B25" s="36">
        <f>SUM(B26)</f>
        <v>0</v>
      </c>
      <c r="C25" s="36">
        <f>SUM(C26)</f>
        <v>0</v>
      </c>
      <c r="D25" s="40" t="str">
        <f t="shared" si="0"/>
        <v>   </v>
      </c>
      <c r="E25" s="41">
        <f t="shared" si="1"/>
        <v>0</v>
      </c>
    </row>
    <row r="26" spans="1:5" ht="27" customHeight="1">
      <c r="A26" s="21" t="s">
        <v>160</v>
      </c>
      <c r="B26" s="143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5.75" customHeight="1">
      <c r="A27" s="21" t="s">
        <v>32</v>
      </c>
      <c r="B27" s="36">
        <f>SUM(B29)</f>
        <v>0</v>
      </c>
      <c r="C27" s="36">
        <f>C29+C28</f>
        <v>0</v>
      </c>
      <c r="D27" s="40" t="str">
        <f t="shared" si="0"/>
        <v>   </v>
      </c>
      <c r="E27" s="41">
        <f t="shared" si="1"/>
        <v>0</v>
      </c>
    </row>
    <row r="28" spans="1:5" ht="15.75" customHeight="1">
      <c r="A28" s="21" t="s">
        <v>121</v>
      </c>
      <c r="B28" s="36">
        <v>0</v>
      </c>
      <c r="C28" s="36">
        <v>0</v>
      </c>
      <c r="D28" s="40"/>
      <c r="E28" s="41">
        <f t="shared" si="1"/>
        <v>0</v>
      </c>
    </row>
    <row r="29" spans="1:5" ht="17.25" customHeight="1">
      <c r="A29" s="21" t="s">
        <v>50</v>
      </c>
      <c r="B29" s="36">
        <v>0</v>
      </c>
      <c r="C29" s="107">
        <v>0</v>
      </c>
      <c r="D29" s="40" t="str">
        <f t="shared" si="0"/>
        <v>   </v>
      </c>
      <c r="E29" s="41">
        <f t="shared" si="1"/>
        <v>0</v>
      </c>
    </row>
    <row r="30" spans="1:5" ht="24" customHeight="1">
      <c r="A30" s="44" t="s">
        <v>10</v>
      </c>
      <c r="B30" s="156">
        <f>B7+B11+B13+B20+B24+B25+B27+B9+B19+B18</f>
        <v>992100</v>
      </c>
      <c r="C30" s="156">
        <f>C7+C11+C13+C20+C24+C25+C27+C9+C19+C18</f>
        <v>492368.72000000003</v>
      </c>
      <c r="D30" s="46">
        <f t="shared" si="0"/>
        <v>49.62894063098478</v>
      </c>
      <c r="E30" s="47">
        <f t="shared" si="1"/>
        <v>-499731.27999999997</v>
      </c>
    </row>
    <row r="31" spans="1:5" ht="21" customHeight="1">
      <c r="A31" s="62" t="s">
        <v>132</v>
      </c>
      <c r="B31" s="145">
        <f>SUM(B32:B35,B38,B39,B44+B45+B46)</f>
        <v>3320370</v>
      </c>
      <c r="C31" s="145">
        <f>SUM(C32:C35,C38,C39,C44+C45+C46)</f>
        <v>1755850</v>
      </c>
      <c r="D31" s="46">
        <f t="shared" si="0"/>
        <v>52.88115481106021</v>
      </c>
      <c r="E31" s="47">
        <f t="shared" si="1"/>
        <v>-1564520</v>
      </c>
    </row>
    <row r="32" spans="1:5" ht="15.75" customHeight="1">
      <c r="A32" s="38" t="s">
        <v>34</v>
      </c>
      <c r="B32" s="143">
        <v>1436300</v>
      </c>
      <c r="C32" s="86">
        <v>958650</v>
      </c>
      <c r="D32" s="40">
        <f t="shared" si="0"/>
        <v>66.74441272714614</v>
      </c>
      <c r="E32" s="41">
        <f t="shared" si="1"/>
        <v>-477650</v>
      </c>
    </row>
    <row r="33" spans="1:5" ht="15.75" customHeight="1">
      <c r="A33" s="38" t="s">
        <v>218</v>
      </c>
      <c r="B33" s="143">
        <v>0</v>
      </c>
      <c r="C33" s="86">
        <v>0</v>
      </c>
      <c r="D33" s="40" t="str">
        <f>IF(B33=0,"   ",C33/B33*100)</f>
        <v>   </v>
      </c>
      <c r="E33" s="41">
        <f>C33-B33</f>
        <v>0</v>
      </c>
    </row>
    <row r="34" spans="1:5" ht="26.25" customHeight="1">
      <c r="A34" s="52" t="s">
        <v>51</v>
      </c>
      <c r="B34" s="85">
        <v>103600</v>
      </c>
      <c r="C34" s="161">
        <v>71300</v>
      </c>
      <c r="D34" s="54">
        <f t="shared" si="0"/>
        <v>68.82239382239382</v>
      </c>
      <c r="E34" s="55">
        <f t="shared" si="1"/>
        <v>-32300</v>
      </c>
    </row>
    <row r="35" spans="1:5" ht="29.25" customHeight="1">
      <c r="A35" s="52" t="s">
        <v>140</v>
      </c>
      <c r="B35" s="36">
        <f>SUM(B36:B37)</f>
        <v>0</v>
      </c>
      <c r="C35" s="36">
        <f>SUM(C36:C37)</f>
        <v>0</v>
      </c>
      <c r="D35" s="40" t="str">
        <f t="shared" si="0"/>
        <v>   </v>
      </c>
      <c r="E35" s="41">
        <f t="shared" si="1"/>
        <v>0</v>
      </c>
    </row>
    <row r="36" spans="1:5" ht="14.25" customHeight="1">
      <c r="A36" s="52" t="s">
        <v>155</v>
      </c>
      <c r="B36" s="36">
        <v>0</v>
      </c>
      <c r="C36" s="107">
        <v>0</v>
      </c>
      <c r="D36" s="40" t="str">
        <f>IF(B36=0,"   ",C36/B36*100)</f>
        <v>   </v>
      </c>
      <c r="E36" s="41">
        <f>C36-B36</f>
        <v>0</v>
      </c>
    </row>
    <row r="37" spans="1:5" ht="29.25" customHeight="1">
      <c r="A37" s="52" t="s">
        <v>156</v>
      </c>
      <c r="B37" s="36">
        <v>0</v>
      </c>
      <c r="C37" s="107">
        <v>0</v>
      </c>
      <c r="D37" s="40" t="str">
        <f>IF(B37=0,"   ",C37/B37*100)</f>
        <v>   </v>
      </c>
      <c r="E37" s="41">
        <f>C37-B37</f>
        <v>0</v>
      </c>
    </row>
    <row r="38" spans="1:5" ht="54.75" customHeight="1">
      <c r="A38" s="21" t="s">
        <v>227</v>
      </c>
      <c r="B38" s="36">
        <v>498700</v>
      </c>
      <c r="C38" s="107">
        <v>498700</v>
      </c>
      <c r="D38" s="40">
        <f>IF(B38=0,"   ",C38/B38*100)</f>
        <v>100</v>
      </c>
      <c r="E38" s="41">
        <f>C38-B38</f>
        <v>0</v>
      </c>
    </row>
    <row r="39" spans="1:5" ht="18" customHeight="1">
      <c r="A39" s="21" t="s">
        <v>82</v>
      </c>
      <c r="B39" s="36">
        <f>SUM(B40:B43)</f>
        <v>1234570</v>
      </c>
      <c r="C39" s="36">
        <f>SUM(C40:C43)</f>
        <v>180000</v>
      </c>
      <c r="D39" s="40">
        <f t="shared" si="0"/>
        <v>14.579975214042138</v>
      </c>
      <c r="E39" s="41">
        <f t="shared" si="1"/>
        <v>-1054570</v>
      </c>
    </row>
    <row r="40" spans="1:5" ht="27" customHeight="1">
      <c r="A40" s="21" t="s">
        <v>179</v>
      </c>
      <c r="B40" s="36">
        <v>0</v>
      </c>
      <c r="C40" s="36">
        <v>0</v>
      </c>
      <c r="D40" s="40" t="str">
        <f>IF(B40=0,"   ",C40/B40*100)</f>
        <v>   </v>
      </c>
      <c r="E40" s="41">
        <f>C40-B40</f>
        <v>0</v>
      </c>
    </row>
    <row r="41" spans="1:5" ht="18.75" customHeight="1">
      <c r="A41" s="21" t="s">
        <v>299</v>
      </c>
      <c r="B41" s="36">
        <v>30000</v>
      </c>
      <c r="C41" s="36">
        <v>0</v>
      </c>
      <c r="D41" s="40">
        <f>IF(B41=0,"   ",C41/B41*100)</f>
        <v>0</v>
      </c>
      <c r="E41" s="41">
        <f>C41-B41</f>
        <v>-30000</v>
      </c>
    </row>
    <row r="42" spans="1:5" ht="17.25" customHeight="1">
      <c r="A42" s="21" t="s">
        <v>270</v>
      </c>
      <c r="B42" s="36">
        <v>887570</v>
      </c>
      <c r="C42" s="36">
        <v>0</v>
      </c>
      <c r="D42" s="40">
        <f>IF(B42=0,"   ",C42/B42*100)</f>
        <v>0</v>
      </c>
      <c r="E42" s="41">
        <f>C42-B42</f>
        <v>-887570</v>
      </c>
    </row>
    <row r="43" spans="1:5" ht="17.25" customHeight="1">
      <c r="A43" s="21" t="s">
        <v>104</v>
      </c>
      <c r="B43" s="36">
        <v>317000</v>
      </c>
      <c r="C43" s="36">
        <v>180000</v>
      </c>
      <c r="D43" s="40">
        <f t="shared" si="0"/>
        <v>56.782334384858046</v>
      </c>
      <c r="E43" s="41">
        <f t="shared" si="1"/>
        <v>-137000</v>
      </c>
    </row>
    <row r="44" spans="1:5" ht="30.75" customHeight="1">
      <c r="A44" s="21" t="s">
        <v>332</v>
      </c>
      <c r="B44" s="36">
        <v>47200</v>
      </c>
      <c r="C44" s="36">
        <v>47200</v>
      </c>
      <c r="D44" s="40">
        <f t="shared" si="0"/>
        <v>100</v>
      </c>
      <c r="E44" s="41">
        <f t="shared" si="1"/>
        <v>0</v>
      </c>
    </row>
    <row r="45" spans="1:5" s="6" customFormat="1" ht="42" customHeight="1">
      <c r="A45" s="21" t="s">
        <v>98</v>
      </c>
      <c r="B45" s="36">
        <v>0</v>
      </c>
      <c r="C45" s="107">
        <v>0</v>
      </c>
      <c r="D45" s="40" t="str">
        <f t="shared" si="0"/>
        <v>   </v>
      </c>
      <c r="E45" s="41">
        <f t="shared" si="1"/>
        <v>0</v>
      </c>
    </row>
    <row r="46" spans="1:5" s="6" customFormat="1" ht="21" customHeight="1">
      <c r="A46" s="21" t="s">
        <v>189</v>
      </c>
      <c r="B46" s="36">
        <v>0</v>
      </c>
      <c r="C46" s="107">
        <v>0</v>
      </c>
      <c r="D46" s="40" t="str">
        <f t="shared" si="0"/>
        <v>   </v>
      </c>
      <c r="E46" s="41">
        <f t="shared" si="1"/>
        <v>0</v>
      </c>
    </row>
    <row r="47" spans="1:5" ht="26.25" customHeight="1">
      <c r="A47" s="44" t="s">
        <v>11</v>
      </c>
      <c r="B47" s="116">
        <f>SUM(B30,B31,)</f>
        <v>4312470</v>
      </c>
      <c r="C47" s="116">
        <f>SUM(C30,C31,)</f>
        <v>2248218.72</v>
      </c>
      <c r="D47" s="46">
        <f t="shared" si="0"/>
        <v>52.132970664143755</v>
      </c>
      <c r="E47" s="47">
        <f t="shared" si="1"/>
        <v>-2064251.2799999998</v>
      </c>
    </row>
    <row r="48" spans="1:5" ht="37.5" customHeight="1">
      <c r="A48" s="44"/>
      <c r="B48" s="143"/>
      <c r="C48" s="36"/>
      <c r="D48" s="40" t="str">
        <f t="shared" si="0"/>
        <v>   </v>
      </c>
      <c r="E48" s="41"/>
    </row>
    <row r="49" spans="1:5" ht="36.75" customHeight="1">
      <c r="A49" s="33" t="s">
        <v>12</v>
      </c>
      <c r="B49" s="154"/>
      <c r="C49" s="155"/>
      <c r="D49" s="40" t="str">
        <f t="shared" si="0"/>
        <v>   </v>
      </c>
      <c r="E49" s="41"/>
    </row>
    <row r="50" spans="1:5" ht="18.75" customHeight="1">
      <c r="A50" s="21" t="s">
        <v>35</v>
      </c>
      <c r="B50" s="107">
        <f>SUM(B51,B54,B55)</f>
        <v>1244000</v>
      </c>
      <c r="C50" s="107">
        <f>SUM(C51,C55)</f>
        <v>747547.05</v>
      </c>
      <c r="D50" s="40">
        <f t="shared" si="0"/>
        <v>60.09220659163987</v>
      </c>
      <c r="E50" s="41">
        <f t="shared" si="1"/>
        <v>-496452.94999999995</v>
      </c>
    </row>
    <row r="51" spans="1:5" ht="16.5" customHeight="1">
      <c r="A51" s="21" t="s">
        <v>36</v>
      </c>
      <c r="B51" s="36">
        <v>1233500</v>
      </c>
      <c r="C51" s="36">
        <v>747547.05</v>
      </c>
      <c r="D51" s="40">
        <f t="shared" si="0"/>
        <v>60.60373327928659</v>
      </c>
      <c r="E51" s="41">
        <f t="shared" si="1"/>
        <v>-485952.94999999995</v>
      </c>
    </row>
    <row r="52" spans="1:5" ht="13.5">
      <c r="A52" s="21" t="s">
        <v>117</v>
      </c>
      <c r="B52" s="36">
        <v>790400</v>
      </c>
      <c r="C52" s="99">
        <v>463752.75</v>
      </c>
      <c r="D52" s="40">
        <f t="shared" si="0"/>
        <v>58.673171811740886</v>
      </c>
      <c r="E52" s="41">
        <f t="shared" si="1"/>
        <v>-326647.25</v>
      </c>
    </row>
    <row r="53" spans="1:5" ht="13.5">
      <c r="A53" s="21" t="s">
        <v>334</v>
      </c>
      <c r="B53" s="36">
        <v>47200</v>
      </c>
      <c r="C53" s="99">
        <v>47200</v>
      </c>
      <c r="D53" s="40">
        <f>IF(B53=0,"   ",C53/B53*100)</f>
        <v>100</v>
      </c>
      <c r="E53" s="41">
        <f>C53-B53</f>
        <v>0</v>
      </c>
    </row>
    <row r="54" spans="1:5" ht="13.5">
      <c r="A54" s="21" t="s">
        <v>97</v>
      </c>
      <c r="B54" s="36">
        <v>500</v>
      </c>
      <c r="C54" s="107">
        <v>0</v>
      </c>
      <c r="D54" s="40">
        <f t="shared" si="0"/>
        <v>0</v>
      </c>
      <c r="E54" s="41">
        <f t="shared" si="1"/>
        <v>-500</v>
      </c>
    </row>
    <row r="55" spans="1:5" ht="13.5">
      <c r="A55" s="21" t="s">
        <v>52</v>
      </c>
      <c r="B55" s="107">
        <f>SUM(B56)</f>
        <v>10000</v>
      </c>
      <c r="C55" s="107">
        <f>SUM(C56)</f>
        <v>0</v>
      </c>
      <c r="D55" s="40">
        <f t="shared" si="0"/>
        <v>0</v>
      </c>
      <c r="E55" s="41">
        <f t="shared" si="1"/>
        <v>-10000</v>
      </c>
    </row>
    <row r="56" spans="1:5" ht="27">
      <c r="A56" s="17" t="s">
        <v>233</v>
      </c>
      <c r="B56" s="36">
        <v>10000</v>
      </c>
      <c r="C56" s="107">
        <v>0</v>
      </c>
      <c r="D56" s="40">
        <f t="shared" si="0"/>
        <v>0</v>
      </c>
      <c r="E56" s="41">
        <f t="shared" si="1"/>
        <v>-10000</v>
      </c>
    </row>
    <row r="57" spans="1:5" ht="19.5" customHeight="1">
      <c r="A57" s="21" t="s">
        <v>49</v>
      </c>
      <c r="B57" s="107">
        <f>SUM(B58)</f>
        <v>103600</v>
      </c>
      <c r="C57" s="107">
        <f>SUM(C58)</f>
        <v>58774</v>
      </c>
      <c r="D57" s="40">
        <f t="shared" si="0"/>
        <v>56.73166023166023</v>
      </c>
      <c r="E57" s="41">
        <f t="shared" si="1"/>
        <v>-44826</v>
      </c>
    </row>
    <row r="58" spans="1:5" ht="19.5" customHeight="1">
      <c r="A58" s="21" t="s">
        <v>102</v>
      </c>
      <c r="B58" s="36">
        <v>103600</v>
      </c>
      <c r="C58" s="107">
        <v>58774</v>
      </c>
      <c r="D58" s="40">
        <f t="shared" si="0"/>
        <v>56.73166023166023</v>
      </c>
      <c r="E58" s="41">
        <f t="shared" si="1"/>
        <v>-44826</v>
      </c>
    </row>
    <row r="59" spans="1:5" ht="16.5" customHeight="1">
      <c r="A59" s="21" t="s">
        <v>37</v>
      </c>
      <c r="B59" s="36">
        <f>SUM(B60)</f>
        <v>2000</v>
      </c>
      <c r="C59" s="107">
        <f>SUM(C60)</f>
        <v>0</v>
      </c>
      <c r="D59" s="40">
        <f t="shared" si="0"/>
        <v>0</v>
      </c>
      <c r="E59" s="41">
        <f t="shared" si="1"/>
        <v>-2000</v>
      </c>
    </row>
    <row r="60" spans="1:5" ht="30" customHeight="1">
      <c r="A60" s="60" t="s">
        <v>325</v>
      </c>
      <c r="B60" s="36">
        <v>2000</v>
      </c>
      <c r="C60" s="107">
        <v>0</v>
      </c>
      <c r="D60" s="40">
        <f t="shared" si="0"/>
        <v>0</v>
      </c>
      <c r="E60" s="41">
        <f t="shared" si="1"/>
        <v>-2000</v>
      </c>
    </row>
    <row r="61" spans="1:5" ht="19.5" customHeight="1">
      <c r="A61" s="21" t="s">
        <v>38</v>
      </c>
      <c r="B61" s="36">
        <f>B67+B62+B75</f>
        <v>1509754.99</v>
      </c>
      <c r="C61" s="36">
        <f>C67+C62+C75</f>
        <v>1066694.65</v>
      </c>
      <c r="D61" s="40">
        <f t="shared" si="0"/>
        <v>70.65349391559221</v>
      </c>
      <c r="E61" s="41">
        <f t="shared" si="1"/>
        <v>-443060.3400000001</v>
      </c>
    </row>
    <row r="62" spans="1:5" ht="19.5" customHeight="1">
      <c r="A62" s="62" t="s">
        <v>157</v>
      </c>
      <c r="B62" s="36">
        <f>SUM(B63:B66)</f>
        <v>32000</v>
      </c>
      <c r="C62" s="36">
        <f>SUM(C63:C66)</f>
        <v>0</v>
      </c>
      <c r="D62" s="40">
        <f>IF(B62=0,"   ",C62/B62*100)</f>
        <v>0</v>
      </c>
      <c r="E62" s="41">
        <f>C62-B62</f>
        <v>-32000</v>
      </c>
    </row>
    <row r="63" spans="1:5" ht="15" customHeight="1">
      <c r="A63" s="62" t="s">
        <v>161</v>
      </c>
      <c r="B63" s="36">
        <v>0</v>
      </c>
      <c r="C63" s="36">
        <v>0</v>
      </c>
      <c r="D63" s="40" t="str">
        <f>IF(B63=0,"   ",C63/B63*100)</f>
        <v>   </v>
      </c>
      <c r="E63" s="41">
        <f>C63-B63</f>
        <v>0</v>
      </c>
    </row>
    <row r="64" spans="1:5" ht="13.5" customHeight="1">
      <c r="A64" s="62" t="s">
        <v>158</v>
      </c>
      <c r="B64" s="36">
        <v>0</v>
      </c>
      <c r="C64" s="36">
        <v>0</v>
      </c>
      <c r="D64" s="40" t="str">
        <f>IF(B64=0,"   ",C64/B64*100)</f>
        <v>   </v>
      </c>
      <c r="E64" s="41">
        <f>C64-B64</f>
        <v>0</v>
      </c>
    </row>
    <row r="65" spans="1:5" ht="13.5" customHeight="1">
      <c r="A65" s="60" t="s">
        <v>300</v>
      </c>
      <c r="B65" s="36">
        <v>30000</v>
      </c>
      <c r="C65" s="36">
        <v>0</v>
      </c>
      <c r="D65" s="40">
        <f>IF(B65=0,"   ",C65/B65*100)</f>
        <v>0</v>
      </c>
      <c r="E65" s="41">
        <f>C65-B65</f>
        <v>-30000</v>
      </c>
    </row>
    <row r="66" spans="1:5" ht="13.5" customHeight="1">
      <c r="A66" s="60" t="s">
        <v>301</v>
      </c>
      <c r="B66" s="36">
        <v>2000</v>
      </c>
      <c r="C66" s="36">
        <v>0</v>
      </c>
      <c r="D66" s="40">
        <f>IF(B66=0,"   ",C66/B66*100)</f>
        <v>0</v>
      </c>
      <c r="E66" s="41">
        <f>C66-B66</f>
        <v>-2000</v>
      </c>
    </row>
    <row r="67" spans="1:5" ht="13.5">
      <c r="A67" s="62" t="s">
        <v>124</v>
      </c>
      <c r="B67" s="36">
        <f>SUM(B68:B74)</f>
        <v>1384260.34</v>
      </c>
      <c r="C67" s="36">
        <f>SUM(C68:C74)</f>
        <v>1013100</v>
      </c>
      <c r="D67" s="40">
        <f t="shared" si="0"/>
        <v>73.18710005084736</v>
      </c>
      <c r="E67" s="41">
        <f t="shared" si="1"/>
        <v>-371160.3400000001</v>
      </c>
    </row>
    <row r="68" spans="1:5" ht="19.5" customHeight="1">
      <c r="A68" s="60" t="s">
        <v>141</v>
      </c>
      <c r="B68" s="36">
        <v>0</v>
      </c>
      <c r="C68" s="36">
        <v>0</v>
      </c>
      <c r="D68" s="40" t="str">
        <f t="shared" si="0"/>
        <v>   </v>
      </c>
      <c r="E68" s="41">
        <f t="shared" si="1"/>
        <v>0</v>
      </c>
    </row>
    <row r="69" spans="1:5" ht="25.5" customHeight="1">
      <c r="A69" s="17" t="s">
        <v>238</v>
      </c>
      <c r="B69" s="36">
        <v>477760.34</v>
      </c>
      <c r="C69" s="36">
        <v>258900</v>
      </c>
      <c r="D69" s="40">
        <f t="shared" si="0"/>
        <v>54.190349914771076</v>
      </c>
      <c r="E69" s="41">
        <f t="shared" si="1"/>
        <v>-218860.34000000003</v>
      </c>
    </row>
    <row r="70" spans="1:5" ht="27.75" customHeight="1">
      <c r="A70" s="17" t="s">
        <v>239</v>
      </c>
      <c r="B70" s="36">
        <v>0</v>
      </c>
      <c r="C70" s="36">
        <v>0</v>
      </c>
      <c r="D70" s="40" t="str">
        <f t="shared" si="0"/>
        <v>   </v>
      </c>
      <c r="E70" s="41">
        <f t="shared" si="1"/>
        <v>0</v>
      </c>
    </row>
    <row r="71" spans="1:5" ht="31.5" customHeight="1">
      <c r="A71" s="17" t="s">
        <v>240</v>
      </c>
      <c r="B71" s="36">
        <v>498700</v>
      </c>
      <c r="C71" s="36">
        <v>498700</v>
      </c>
      <c r="D71" s="40">
        <f t="shared" si="0"/>
        <v>100</v>
      </c>
      <c r="E71" s="41">
        <f t="shared" si="1"/>
        <v>0</v>
      </c>
    </row>
    <row r="72" spans="1:5" ht="27.75" customHeight="1">
      <c r="A72" s="17" t="s">
        <v>241</v>
      </c>
      <c r="B72" s="36">
        <v>55500</v>
      </c>
      <c r="C72" s="36">
        <v>55500</v>
      </c>
      <c r="D72" s="40">
        <f t="shared" si="0"/>
        <v>100</v>
      </c>
      <c r="E72" s="41">
        <f t="shared" si="1"/>
        <v>0</v>
      </c>
    </row>
    <row r="73" spans="1:5" ht="28.5" customHeight="1">
      <c r="A73" s="17" t="s">
        <v>242</v>
      </c>
      <c r="B73" s="36">
        <v>317000</v>
      </c>
      <c r="C73" s="36">
        <v>180000</v>
      </c>
      <c r="D73" s="40">
        <f t="shared" si="0"/>
        <v>56.782334384858046</v>
      </c>
      <c r="E73" s="41">
        <f t="shared" si="1"/>
        <v>-137000</v>
      </c>
    </row>
    <row r="74" spans="1:5" ht="30" customHeight="1">
      <c r="A74" s="17" t="s">
        <v>243</v>
      </c>
      <c r="B74" s="36">
        <v>35300</v>
      </c>
      <c r="C74" s="36">
        <v>20000</v>
      </c>
      <c r="D74" s="40">
        <f t="shared" si="0"/>
        <v>56.657223796033996</v>
      </c>
      <c r="E74" s="41">
        <f t="shared" si="1"/>
        <v>-15300</v>
      </c>
    </row>
    <row r="75" spans="1:5" ht="24" customHeight="1">
      <c r="A75" s="68" t="s">
        <v>168</v>
      </c>
      <c r="B75" s="36">
        <f>SUM(B76+B77)</f>
        <v>93494.65</v>
      </c>
      <c r="C75" s="36">
        <f>SUM(C76+C77)</f>
        <v>53594.65</v>
      </c>
      <c r="D75" s="40">
        <f>IF(B75=0,"   ",C75/B75*100)</f>
        <v>57.32376130612822</v>
      </c>
      <c r="E75" s="41">
        <f>C75-B75</f>
        <v>-39899.99999999999</v>
      </c>
    </row>
    <row r="76" spans="1:5" ht="24" customHeight="1">
      <c r="A76" s="62" t="s">
        <v>147</v>
      </c>
      <c r="B76" s="36">
        <v>53594.65</v>
      </c>
      <c r="C76" s="36">
        <v>53594.65</v>
      </c>
      <c r="D76" s="40">
        <f>IF(B76=0,"   ",C76/B76*100)</f>
        <v>100</v>
      </c>
      <c r="E76" s="41">
        <f>C76-B76</f>
        <v>0</v>
      </c>
    </row>
    <row r="77" spans="1:5" ht="30" customHeight="1">
      <c r="A77" s="60" t="s">
        <v>169</v>
      </c>
      <c r="B77" s="36">
        <v>39900</v>
      </c>
      <c r="C77" s="36">
        <v>0</v>
      </c>
      <c r="D77" s="40">
        <f>IF(B77=0,"   ",C77/B77*100)</f>
        <v>0</v>
      </c>
      <c r="E77" s="41">
        <f>C77-B77</f>
        <v>-39900</v>
      </c>
    </row>
    <row r="78" spans="1:5" ht="15" customHeight="1">
      <c r="A78" s="21" t="s">
        <v>13</v>
      </c>
      <c r="B78" s="36">
        <f>SUM(B84,B79)</f>
        <v>1345478.25</v>
      </c>
      <c r="C78" s="36">
        <f>SUM(C84,C79)</f>
        <v>172397.07</v>
      </c>
      <c r="D78" s="40">
        <f t="shared" si="0"/>
        <v>12.8130699994593</v>
      </c>
      <c r="E78" s="41">
        <f t="shared" si="1"/>
        <v>-1173081.18</v>
      </c>
    </row>
    <row r="79" spans="1:5" ht="15.75" customHeight="1">
      <c r="A79" s="21" t="s">
        <v>87</v>
      </c>
      <c r="B79" s="36">
        <f>SUM(B80:B83)</f>
        <v>1110478.25</v>
      </c>
      <c r="C79" s="36">
        <f>SUM(C80:C83)</f>
        <v>74643</v>
      </c>
      <c r="D79" s="40">
        <f>IF(B79=0,"   ",C79/B79*100)</f>
        <v>6.721698511429648</v>
      </c>
      <c r="E79" s="41">
        <f>C79-B79</f>
        <v>-1035835.25</v>
      </c>
    </row>
    <row r="80" spans="1:5" ht="25.5" customHeight="1">
      <c r="A80" s="21" t="s">
        <v>273</v>
      </c>
      <c r="B80" s="36">
        <v>887570</v>
      </c>
      <c r="C80" s="36">
        <v>0</v>
      </c>
      <c r="D80" s="40">
        <f>IF(B80=0,"   ",C80/B80*100)</f>
        <v>0</v>
      </c>
      <c r="E80" s="41">
        <f>C80-B80</f>
        <v>-887570</v>
      </c>
    </row>
    <row r="81" spans="1:5" ht="16.5" customHeight="1">
      <c r="A81" s="21" t="s">
        <v>282</v>
      </c>
      <c r="B81" s="36">
        <v>62530</v>
      </c>
      <c r="C81" s="36">
        <v>0</v>
      </c>
      <c r="D81" s="40">
        <f>IF(B81=0,"   ",C81/B81*100)</f>
        <v>0</v>
      </c>
      <c r="E81" s="41">
        <f>C81-B81</f>
        <v>-62530</v>
      </c>
    </row>
    <row r="82" spans="1:5" ht="16.5" customHeight="1">
      <c r="A82" s="38" t="s">
        <v>151</v>
      </c>
      <c r="B82" s="36">
        <v>20000</v>
      </c>
      <c r="C82" s="36">
        <v>0</v>
      </c>
      <c r="D82" s="40">
        <f>IF(B82=0,"   ",C82/B82*100)</f>
        <v>0</v>
      </c>
      <c r="E82" s="41">
        <f>C82-B82</f>
        <v>-20000</v>
      </c>
    </row>
    <row r="83" spans="1:5" ht="16.5" customHeight="1">
      <c r="A83" s="21" t="s">
        <v>326</v>
      </c>
      <c r="B83" s="36">
        <v>140378.25</v>
      </c>
      <c r="C83" s="36">
        <v>74643</v>
      </c>
      <c r="D83" s="40">
        <f>IF(B83=0,"   ",C83/B83*100)</f>
        <v>53.17276714875702</v>
      </c>
      <c r="E83" s="41">
        <f>C83-B83</f>
        <v>-65735.25</v>
      </c>
    </row>
    <row r="84" spans="1:5" ht="13.5">
      <c r="A84" s="21" t="s">
        <v>58</v>
      </c>
      <c r="B84" s="36">
        <f>B85+B87+B86+B88</f>
        <v>235000</v>
      </c>
      <c r="C84" s="36">
        <f>C85+C87+C86+C88</f>
        <v>97754.07</v>
      </c>
      <c r="D84" s="40">
        <f t="shared" si="0"/>
        <v>41.59747659574468</v>
      </c>
      <c r="E84" s="41">
        <f t="shared" si="1"/>
        <v>-137245.93</v>
      </c>
    </row>
    <row r="85" spans="1:5" ht="13.5">
      <c r="A85" s="21" t="s">
        <v>60</v>
      </c>
      <c r="B85" s="36">
        <v>220000</v>
      </c>
      <c r="C85" s="107">
        <v>97754.07</v>
      </c>
      <c r="D85" s="40">
        <f t="shared" si="0"/>
        <v>44.433668181818184</v>
      </c>
      <c r="E85" s="41">
        <f t="shared" si="1"/>
        <v>-122245.93</v>
      </c>
    </row>
    <row r="86" spans="1:5" ht="27">
      <c r="A86" s="17" t="s">
        <v>274</v>
      </c>
      <c r="B86" s="36">
        <v>0</v>
      </c>
      <c r="C86" s="107">
        <v>0</v>
      </c>
      <c r="D86" s="40" t="str">
        <f t="shared" si="0"/>
        <v>   </v>
      </c>
      <c r="E86" s="41">
        <f t="shared" si="1"/>
        <v>0</v>
      </c>
    </row>
    <row r="87" spans="1:5" ht="13.5">
      <c r="A87" s="21" t="s">
        <v>59</v>
      </c>
      <c r="B87" s="36">
        <v>15000</v>
      </c>
      <c r="C87" s="107">
        <v>0</v>
      </c>
      <c r="D87" s="40">
        <f t="shared" si="0"/>
        <v>0</v>
      </c>
      <c r="E87" s="41">
        <f t="shared" si="1"/>
        <v>-15000</v>
      </c>
    </row>
    <row r="88" spans="1:5" ht="27">
      <c r="A88" s="17" t="s">
        <v>196</v>
      </c>
      <c r="B88" s="36">
        <f>B89+B90+B91</f>
        <v>0</v>
      </c>
      <c r="C88" s="36">
        <f>C89+C90+C91</f>
        <v>0</v>
      </c>
      <c r="D88" s="40" t="str">
        <f>IF(B88=0,"   ",C88/B88*100)</f>
        <v>   </v>
      </c>
      <c r="E88" s="41">
        <f>C88-B88</f>
        <v>0</v>
      </c>
    </row>
    <row r="89" spans="1:5" ht="27">
      <c r="A89" s="17" t="s">
        <v>178</v>
      </c>
      <c r="B89" s="36">
        <v>0</v>
      </c>
      <c r="C89" s="107">
        <v>0</v>
      </c>
      <c r="D89" s="40" t="str">
        <f>IF(B89=0,"   ",C89/B89*100)</f>
        <v>   </v>
      </c>
      <c r="E89" s="41">
        <f>C89-B89</f>
        <v>0</v>
      </c>
    </row>
    <row r="90" spans="1:5" ht="27">
      <c r="A90" s="17" t="s">
        <v>190</v>
      </c>
      <c r="B90" s="36">
        <v>0</v>
      </c>
      <c r="C90" s="107">
        <v>0</v>
      </c>
      <c r="D90" s="40" t="str">
        <f>IF(B90=0,"   ",C90/B90*100)</f>
        <v>   </v>
      </c>
      <c r="E90" s="41">
        <f>C90-B90</f>
        <v>0</v>
      </c>
    </row>
    <row r="91" spans="1:5" ht="24.75" customHeight="1">
      <c r="A91" s="17" t="s">
        <v>202</v>
      </c>
      <c r="B91" s="36">
        <v>0</v>
      </c>
      <c r="C91" s="36">
        <v>0</v>
      </c>
      <c r="D91" s="40" t="str">
        <f t="shared" si="0"/>
        <v>   </v>
      </c>
      <c r="E91" s="41">
        <f t="shared" si="1"/>
        <v>0</v>
      </c>
    </row>
    <row r="92" spans="1:5" ht="24.75" customHeight="1">
      <c r="A92" s="21" t="s">
        <v>17</v>
      </c>
      <c r="B92" s="36">
        <v>8000</v>
      </c>
      <c r="C92" s="36">
        <v>0</v>
      </c>
      <c r="D92" s="40">
        <f t="shared" si="0"/>
        <v>0</v>
      </c>
      <c r="E92" s="41">
        <f t="shared" si="1"/>
        <v>-8000</v>
      </c>
    </row>
    <row r="93" spans="1:5" ht="15" customHeight="1">
      <c r="A93" s="21" t="s">
        <v>41</v>
      </c>
      <c r="B93" s="143">
        <f>SUM(B94,)</f>
        <v>103100</v>
      </c>
      <c r="C93" s="143">
        <f>SUM(C94,)</f>
        <v>103100</v>
      </c>
      <c r="D93" s="40">
        <f t="shared" si="0"/>
        <v>100</v>
      </c>
      <c r="E93" s="41">
        <f t="shared" si="1"/>
        <v>0</v>
      </c>
    </row>
    <row r="94" spans="1:5" ht="13.5">
      <c r="A94" s="21" t="s">
        <v>42</v>
      </c>
      <c r="B94" s="36">
        <v>103100</v>
      </c>
      <c r="C94" s="107">
        <v>103100</v>
      </c>
      <c r="D94" s="40">
        <f t="shared" si="0"/>
        <v>100</v>
      </c>
      <c r="E94" s="41">
        <f t="shared" si="1"/>
        <v>0</v>
      </c>
    </row>
    <row r="95" spans="1:5" ht="13.5">
      <c r="A95" s="21" t="s">
        <v>222</v>
      </c>
      <c r="B95" s="143">
        <f>SUM(B96,)</f>
        <v>6000</v>
      </c>
      <c r="C95" s="143">
        <f>SUM(C96,)</f>
        <v>0</v>
      </c>
      <c r="D95" s="40">
        <f>IF(B95=0,"   ",C95/B95*100)</f>
        <v>0</v>
      </c>
      <c r="E95" s="41">
        <f>C95-B95</f>
        <v>-6000</v>
      </c>
    </row>
    <row r="96" spans="1:5" ht="13.5">
      <c r="A96" s="21" t="s">
        <v>223</v>
      </c>
      <c r="B96" s="36">
        <v>6000</v>
      </c>
      <c r="C96" s="107">
        <v>0</v>
      </c>
      <c r="D96" s="40">
        <f>IF(B96=0,"   ",C96/B96*100)</f>
        <v>0</v>
      </c>
      <c r="E96" s="41">
        <f>C96-B96</f>
        <v>-6000</v>
      </c>
    </row>
    <row r="97" spans="1:5" ht="18" customHeight="1">
      <c r="A97" s="21" t="s">
        <v>119</v>
      </c>
      <c r="B97" s="143">
        <f>SUM(B98,)</f>
        <v>50000</v>
      </c>
      <c r="C97" s="143">
        <f>SUM(C98,)</f>
        <v>50000</v>
      </c>
      <c r="D97" s="40">
        <f t="shared" si="0"/>
        <v>100</v>
      </c>
      <c r="E97" s="41">
        <f t="shared" si="1"/>
        <v>0</v>
      </c>
    </row>
    <row r="98" spans="1:5" ht="13.5">
      <c r="A98" s="21" t="s">
        <v>43</v>
      </c>
      <c r="B98" s="36">
        <v>50000</v>
      </c>
      <c r="C98" s="99">
        <v>50000</v>
      </c>
      <c r="D98" s="40">
        <f t="shared" si="0"/>
        <v>100</v>
      </c>
      <c r="E98" s="41">
        <f t="shared" si="1"/>
        <v>0</v>
      </c>
    </row>
    <row r="99" spans="1:5" ht="21" customHeight="1">
      <c r="A99" s="44" t="s">
        <v>15</v>
      </c>
      <c r="B99" s="116">
        <f>SUM(B50,B57,B59,B61,B78,B92,B93,B95,B97,)</f>
        <v>4371933.24</v>
      </c>
      <c r="C99" s="116">
        <f>SUM(C50,C57,C59,C61,C78,C92,C93,C95,C97,)</f>
        <v>2198512.77</v>
      </c>
      <c r="D99" s="46">
        <f>IF(B99=0,"   ",C99/B99*100)</f>
        <v>50.28697030149527</v>
      </c>
      <c r="E99" s="47">
        <f t="shared" si="1"/>
        <v>-2173420.47</v>
      </c>
    </row>
    <row r="100" spans="1:5" s="13" customFormat="1" ht="31.5" customHeight="1">
      <c r="A100" s="71" t="s">
        <v>291</v>
      </c>
      <c r="B100" s="71"/>
      <c r="C100" s="165"/>
      <c r="D100" s="165"/>
      <c r="E100" s="165"/>
    </row>
    <row r="101" spans="1:5" s="13" customFormat="1" ht="12" customHeight="1">
      <c r="A101" s="71" t="s">
        <v>146</v>
      </c>
      <c r="B101" s="71"/>
      <c r="C101" s="72" t="s">
        <v>292</v>
      </c>
      <c r="D101" s="73"/>
      <c r="E101" s="74"/>
    </row>
    <row r="102" spans="1:5" ht="13.5">
      <c r="A102" s="71"/>
      <c r="B102" s="71"/>
      <c r="C102" s="117"/>
      <c r="D102" s="71"/>
      <c r="E102" s="118"/>
    </row>
    <row r="103" spans="1:5" ht="13.5">
      <c r="A103" s="71"/>
      <c r="B103" s="71"/>
      <c r="C103" s="117"/>
      <c r="D103" s="71"/>
      <c r="E103" s="118"/>
    </row>
    <row r="104" spans="1:5" ht="12.75">
      <c r="A104" s="6"/>
      <c r="B104" s="6"/>
      <c r="C104" s="5"/>
      <c r="D104" s="6"/>
      <c r="E104" s="2"/>
    </row>
    <row r="105" spans="1:5" ht="12.75">
      <c r="A105" s="6"/>
      <c r="B105" s="6"/>
      <c r="C105" s="5"/>
      <c r="D105" s="6"/>
      <c r="E105" s="2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</sheetData>
  <sheetProtection/>
  <mergeCells count="2">
    <mergeCell ref="A1:E1"/>
    <mergeCell ref="C100:E100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"/>
  <sheetViews>
    <sheetView tabSelected="1" zoomScalePageLayoutView="0" workbookViewId="0" topLeftCell="A70">
      <selection activeCell="G36" sqref="G36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3.5">
      <c r="A1" s="166" t="s">
        <v>350</v>
      </c>
      <c r="B1" s="166"/>
      <c r="C1" s="166"/>
      <c r="D1" s="166"/>
      <c r="E1" s="166"/>
    </row>
    <row r="2" spans="1:5" ht="9.75" customHeight="1" thickBot="1">
      <c r="A2" s="22"/>
      <c r="B2" s="22"/>
      <c r="C2" s="23"/>
      <c r="D2" s="22"/>
      <c r="E2" s="22" t="s">
        <v>0</v>
      </c>
    </row>
    <row r="3" spans="1:5" ht="108" customHeight="1">
      <c r="A3" s="24" t="s">
        <v>1</v>
      </c>
      <c r="B3" s="25" t="s">
        <v>293</v>
      </c>
      <c r="C3" s="26" t="s">
        <v>351</v>
      </c>
      <c r="D3" s="25" t="s">
        <v>294</v>
      </c>
      <c r="E3" s="27" t="s">
        <v>295</v>
      </c>
    </row>
    <row r="4" spans="1:5" ht="13.5">
      <c r="A4" s="28">
        <v>1</v>
      </c>
      <c r="B4" s="29">
        <v>2</v>
      </c>
      <c r="C4" s="30">
        <v>3</v>
      </c>
      <c r="D4" s="31">
        <v>4</v>
      </c>
      <c r="E4" s="32">
        <v>5</v>
      </c>
    </row>
    <row r="5" spans="1:5" ht="15.75" customHeight="1">
      <c r="A5" s="33" t="s">
        <v>2</v>
      </c>
      <c r="B5" s="34"/>
      <c r="C5" s="35"/>
      <c r="D5" s="36"/>
      <c r="E5" s="37"/>
    </row>
    <row r="6" spans="1:5" ht="13.5">
      <c r="A6" s="38" t="s">
        <v>45</v>
      </c>
      <c r="B6" s="39">
        <f>SUM(B7)</f>
        <v>11584500</v>
      </c>
      <c r="C6" s="39">
        <f>SUM(C7)</f>
        <v>6710619.83</v>
      </c>
      <c r="D6" s="40">
        <f aca="true" t="shared" si="0" ref="D6:D32">IF(B6=0,"   ",C6/B6*100)</f>
        <v>57.92757417238552</v>
      </c>
      <c r="E6" s="41">
        <f aca="true" t="shared" si="1" ref="E6:E39">C6-B6</f>
        <v>-4873880.17</v>
      </c>
    </row>
    <row r="7" spans="1:5" ht="13.5">
      <c r="A7" s="21" t="s">
        <v>44</v>
      </c>
      <c r="B7" s="42">
        <f>Лист1!B9+Лист2!B7+Лист3!B7+Лист4!B8+Лист5!B8+Лист6!B8+Лист7!B8+Лист8!B8+Лист9!B8+Лист10!B8</f>
        <v>11584500</v>
      </c>
      <c r="C7" s="42">
        <f>Лист1!C9+Лист2!C7+Лист3!C7+Лист4!C8+Лист5!C8+Лист6!C8+Лист7!C8+Лист8!C8+Лист9!C8+Лист10!C8</f>
        <v>6710619.83</v>
      </c>
      <c r="D7" s="40">
        <f t="shared" si="0"/>
        <v>57.92757417238552</v>
      </c>
      <c r="E7" s="41">
        <f t="shared" si="1"/>
        <v>-4873880.17</v>
      </c>
    </row>
    <row r="8" spans="1:5" ht="31.5" customHeight="1">
      <c r="A8" s="38" t="s">
        <v>129</v>
      </c>
      <c r="B8" s="39">
        <f>SUM(B9)</f>
        <v>7612100</v>
      </c>
      <c r="C8" s="39">
        <f>SUM(C9)</f>
        <v>5138704.09</v>
      </c>
      <c r="D8" s="40">
        <f t="shared" si="0"/>
        <v>67.50704917171345</v>
      </c>
      <c r="E8" s="41">
        <f t="shared" si="1"/>
        <v>-2473395.91</v>
      </c>
    </row>
    <row r="9" spans="1:5" ht="27">
      <c r="A9" s="21" t="s">
        <v>130</v>
      </c>
      <c r="B9" s="42">
        <f>Лист1!B15+Лист2!B9+Лист3!B9+Лист4!B10+Лист5!B10+Лист6!B10+Лист7!B10+Лист8!B10+Лист9!B10+Лист10!B10</f>
        <v>7612100</v>
      </c>
      <c r="C9" s="42">
        <f>Лист1!C15+Лист2!C9+Лист3!C9+Лист4!C10+Лист5!C10+Лист6!C10+Лист7!C10+Лист8!C10+Лист9!C10+Лист10!C10</f>
        <v>5138704.09</v>
      </c>
      <c r="D9" s="40">
        <f t="shared" si="0"/>
        <v>67.50704917171345</v>
      </c>
      <c r="E9" s="41">
        <f t="shared" si="1"/>
        <v>-2473395.91</v>
      </c>
    </row>
    <row r="10" spans="1:5" ht="13.5">
      <c r="A10" s="21" t="s">
        <v>7</v>
      </c>
      <c r="B10" s="42">
        <f>B11</f>
        <v>382000</v>
      </c>
      <c r="C10" s="42">
        <f>SUM(C11:C11)</f>
        <v>402981.47</v>
      </c>
      <c r="D10" s="40">
        <f t="shared" si="0"/>
        <v>105.49253141361257</v>
      </c>
      <c r="E10" s="41">
        <f t="shared" si="1"/>
        <v>20981.469999999972</v>
      </c>
    </row>
    <row r="11" spans="1:5" ht="13.5">
      <c r="A11" s="21" t="s">
        <v>26</v>
      </c>
      <c r="B11" s="42">
        <f>Лист1!B18+Лист2!B11+Лист3!B11+Лист4!B12+Лист5!B12+Лист6!B12+Лист7!B12+Лист8!B12+Лист9!B12+Лист10!B12</f>
        <v>382000</v>
      </c>
      <c r="C11" s="42">
        <f>Лист1!C18+Лист2!C11+Лист3!C11+Лист4!C12+Лист5!C12+Лист6!C12+Лист7!C12+Лист8!C12+Лист9!C12+Лист10!C12</f>
        <v>402981.47</v>
      </c>
      <c r="D11" s="40">
        <f t="shared" si="0"/>
        <v>105.49253141361257</v>
      </c>
      <c r="E11" s="41">
        <f t="shared" si="1"/>
        <v>20981.469999999972</v>
      </c>
    </row>
    <row r="12" spans="1:5" ht="13.5">
      <c r="A12" s="21" t="s">
        <v>9</v>
      </c>
      <c r="B12" s="42">
        <f>SUM(B13:B14)</f>
        <v>10731000</v>
      </c>
      <c r="C12" s="42">
        <f>SUM(C13:C14)</f>
        <v>2631546.07</v>
      </c>
      <c r="D12" s="40">
        <f t="shared" si="0"/>
        <v>24.522841021340042</v>
      </c>
      <c r="E12" s="41">
        <f t="shared" si="1"/>
        <v>-8099453.93</v>
      </c>
    </row>
    <row r="13" spans="1:5" ht="13.5">
      <c r="A13" s="21" t="s">
        <v>27</v>
      </c>
      <c r="B13" s="42">
        <f>Лист1!B20+Лист2!B13+Лист3!B13+Лист4!B14+Лист5!B14+Лист6!B14+Лист7!B14+Лист8!B14+Лист9!B14+Лист10!B14</f>
        <v>5963000</v>
      </c>
      <c r="C13" s="42">
        <f>Лист1!C20+Лист2!C13+Лист3!C13+Лист4!C14+Лист5!C14+Лист6!C14+Лист7!C14+Лист8!C14+Лист9!C14+Лист10!C14</f>
        <v>834087.93</v>
      </c>
      <c r="D13" s="40">
        <f t="shared" si="0"/>
        <v>13.987723125943319</v>
      </c>
      <c r="E13" s="41">
        <f t="shared" si="1"/>
        <v>-5128912.07</v>
      </c>
    </row>
    <row r="14" spans="1:5" ht="13.5">
      <c r="A14" s="21" t="s">
        <v>152</v>
      </c>
      <c r="B14" s="42">
        <f>Лист1!B21+Лист2!B14+Лист3!B14+Лист4!B15+Лист5!B15+Лист6!B15+Лист7!B15+Лист8!B15+Лист9!B15+Лист10!B15</f>
        <v>4768000</v>
      </c>
      <c r="C14" s="42">
        <f>Лист1!C21+Лист2!C14+Лист3!C14+Лист4!C15+Лист5!C15+Лист6!C15+Лист7!C15+Лист8!C15+Лист9!C15+Лист10!C15</f>
        <v>1797458.14</v>
      </c>
      <c r="D14" s="40">
        <f t="shared" si="0"/>
        <v>37.69836703020134</v>
      </c>
      <c r="E14" s="41">
        <f t="shared" si="1"/>
        <v>-2970541.8600000003</v>
      </c>
    </row>
    <row r="15" spans="1:5" ht="13.5">
      <c r="A15" s="21" t="s">
        <v>153</v>
      </c>
      <c r="B15" s="42">
        <f>Лист1!B22+Лист2!B15+Лист3!B15+Лист4!B16+Лист5!B16+Лист6!B16+Лист7!B16+Лист8!B16+Лист9!B16+Лист10!B16</f>
        <v>1664400</v>
      </c>
      <c r="C15" s="42">
        <f>Лист1!C22+Лист2!C15+Лист3!C15+Лист4!C16+Лист5!C16+Лист6!C16+Лист7!C16+Лист8!C16+Лист9!C16+Лист10!C16</f>
        <v>1276980.56</v>
      </c>
      <c r="D15" s="40">
        <f t="shared" si="0"/>
        <v>76.72317712088442</v>
      </c>
      <c r="E15" s="41">
        <f t="shared" si="1"/>
        <v>-387419.43999999994</v>
      </c>
    </row>
    <row r="16" spans="1:5" ht="13.5">
      <c r="A16" s="21" t="s">
        <v>154</v>
      </c>
      <c r="B16" s="42">
        <f>Лист1!B23+Лист2!B16+Лист3!B16+Лист4!B17+Лист5!B17+Лист6!B17+Лист7!B17+Лист8!B17+Лист9!B17+Лист10!B17</f>
        <v>3103600</v>
      </c>
      <c r="C16" s="42">
        <f>Лист1!C23+Лист2!C16+Лист3!C16+Лист4!C17+Лист5!C17+Лист6!C17+Лист7!C17+Лист8!C17+Лист9!C17+Лист10!C17</f>
        <v>520477.57999999996</v>
      </c>
      <c r="D16" s="40">
        <f t="shared" si="0"/>
        <v>16.77012437169738</v>
      </c>
      <c r="E16" s="41">
        <f t="shared" si="1"/>
        <v>-2583122.42</v>
      </c>
    </row>
    <row r="17" spans="1:5" ht="13.5">
      <c r="A17" s="21" t="s">
        <v>187</v>
      </c>
      <c r="B17" s="43">
        <f>Лист8!B18+Лист5!B18+Лист9!B18+Лист3!B17+Лист4!B18+Лист2!B17+Лист10!B18+Лист1!B24+Лист6!B18</f>
        <v>0</v>
      </c>
      <c r="C17" s="43">
        <f>Лист8!C18+Лист5!C18+Лист9!C18+Лист3!C17+Лист4!C18+Лист2!C17+Лист10!C18+Лист1!C24+Лист6!C18</f>
        <v>3700</v>
      </c>
      <c r="D17" s="40" t="str">
        <f>IF(B17=0,"   ",C17/B17*100)</f>
        <v>   </v>
      </c>
      <c r="E17" s="41">
        <f t="shared" si="1"/>
        <v>3700</v>
      </c>
    </row>
    <row r="18" spans="1:5" ht="28.5" customHeight="1">
      <c r="A18" s="21" t="s">
        <v>90</v>
      </c>
      <c r="B18" s="43">
        <f>Лист1!B25+Лист2!B18+Лист3!B18+Лист4!B19+Лист5!B19+Лист6!B19+Лист7!B18+Лист8!B19+Лист9!B19+Лист10!B19</f>
        <v>0</v>
      </c>
      <c r="C18" s="43">
        <f>Лист1!C25+Лист2!C18+Лист3!C18+Лист4!C19+Лист5!C19+Лист6!C19+Лист7!C18+Лист8!C19+Лист9!C19+Лист10!C19</f>
        <v>0</v>
      </c>
      <c r="D18" s="40" t="str">
        <f t="shared" si="0"/>
        <v>   </v>
      </c>
      <c r="E18" s="41">
        <f t="shared" si="1"/>
        <v>0</v>
      </c>
    </row>
    <row r="19" spans="1:5" ht="30" customHeight="1">
      <c r="A19" s="21" t="s">
        <v>28</v>
      </c>
      <c r="B19" s="42">
        <f>SUM(B20:B25)</f>
        <v>2546200</v>
      </c>
      <c r="C19" s="42">
        <f>SUM(C20:C25)</f>
        <v>2025380.26</v>
      </c>
      <c r="D19" s="40">
        <f t="shared" si="0"/>
        <v>79.54521482994265</v>
      </c>
      <c r="E19" s="41">
        <f t="shared" si="1"/>
        <v>-520819.74</v>
      </c>
    </row>
    <row r="20" spans="1:5" ht="13.5">
      <c r="A20" s="21" t="s">
        <v>145</v>
      </c>
      <c r="B20" s="42">
        <f>Лист7!B20</f>
        <v>872000</v>
      </c>
      <c r="C20" s="42">
        <f>Лист7!C20</f>
        <v>644499.87</v>
      </c>
      <c r="D20" s="40">
        <f t="shared" si="0"/>
        <v>73.91053555045872</v>
      </c>
      <c r="E20" s="41">
        <f t="shared" si="1"/>
        <v>-227500.13</v>
      </c>
    </row>
    <row r="21" spans="1:5" ht="13.5">
      <c r="A21" s="21" t="s">
        <v>131</v>
      </c>
      <c r="B21" s="42">
        <f>Лист1!B27+Лист2!B23+Лист3!B20+Лист4!B21+Лист5!B21+Лист6!B21+Лист7!B21+Лист8!B21+Лист9!B22+Лист10!B23</f>
        <v>1237400</v>
      </c>
      <c r="C21" s="42">
        <f>Лист1!C27+Лист2!C23+Лист3!C20+Лист4!C21+Лист5!C21+Лист6!C21+Лист7!C21+Лист8!C21+Лист9!C22+Лист10!C23</f>
        <v>679653.53</v>
      </c>
      <c r="D21" s="40">
        <f t="shared" si="0"/>
        <v>54.92593583319865</v>
      </c>
      <c r="E21" s="41">
        <f t="shared" si="1"/>
        <v>-557746.47</v>
      </c>
    </row>
    <row r="22" spans="1:5" ht="33" customHeight="1">
      <c r="A22" s="21" t="s">
        <v>30</v>
      </c>
      <c r="B22" s="42">
        <f>Лист1!B28+Лист2!B24+Лист3!B21+Лист4!B22+Лист5!B22+Лист6!B22+Лист7!B22+Лист8!B22+Лист9!B23+Лист10!B21</f>
        <v>156800</v>
      </c>
      <c r="C22" s="42">
        <f>Лист1!C28+Лист2!C24+Лист3!C21+Лист4!C22+Лист5!C22+Лист6!C22+Лист7!C22+Лист8!C22+Лист9!C23+Лист10!C21</f>
        <v>73669.11</v>
      </c>
      <c r="D22" s="40">
        <f t="shared" si="0"/>
        <v>46.982850765306125</v>
      </c>
      <c r="E22" s="41">
        <f t="shared" si="1"/>
        <v>-83130.89</v>
      </c>
    </row>
    <row r="23" spans="1:5" ht="33" customHeight="1">
      <c r="A23" s="21" t="s">
        <v>251</v>
      </c>
      <c r="B23" s="42">
        <f>Лист8!B23+Лист10!B22+Лист1!B29+Лист7!B23</f>
        <v>0</v>
      </c>
      <c r="C23" s="42">
        <f>Лист8!C23+Лист10!C22+Лист1!C29+Лист7!C23</f>
        <v>68634.4</v>
      </c>
      <c r="D23" s="40" t="str">
        <f>IF(B23=0,"   ",C23/B23*100)</f>
        <v>   </v>
      </c>
      <c r="E23" s="41">
        <f t="shared" si="1"/>
        <v>68634.4</v>
      </c>
    </row>
    <row r="24" spans="1:5" ht="73.5" customHeight="1">
      <c r="A24" s="21" t="s">
        <v>191</v>
      </c>
      <c r="B24" s="42">
        <f>Лист7!B24</f>
        <v>250000</v>
      </c>
      <c r="C24" s="42">
        <f>Лист7!C24</f>
        <v>509114.77</v>
      </c>
      <c r="D24" s="40">
        <f>IF(B24=0,"   ",C24/B24*100)</f>
        <v>203.64590800000002</v>
      </c>
      <c r="E24" s="41">
        <f t="shared" si="1"/>
        <v>259114.77000000002</v>
      </c>
    </row>
    <row r="25" spans="1:5" ht="72" customHeight="1">
      <c r="A25" s="21" t="s">
        <v>215</v>
      </c>
      <c r="B25" s="42">
        <f>Лист1!B30+Лист9!B24</f>
        <v>30000</v>
      </c>
      <c r="C25" s="42">
        <f>Лист1!C30+Лист9!C24</f>
        <v>49808.58</v>
      </c>
      <c r="D25" s="40">
        <f>IF(B25=0,"   ",C25/B25*100)</f>
        <v>166.0286</v>
      </c>
      <c r="E25" s="41">
        <f t="shared" si="1"/>
        <v>19808.58</v>
      </c>
    </row>
    <row r="26" spans="1:5" ht="30.75" customHeight="1">
      <c r="A26" s="21" t="s">
        <v>83</v>
      </c>
      <c r="B26" s="42">
        <f>Лист1!B31+Лист3!B22+Лист9!B25</f>
        <v>0</v>
      </c>
      <c r="C26" s="42">
        <f>Лист1!C31+Лист3!C22+Лист9!C25</f>
        <v>36890.97</v>
      </c>
      <c r="D26" s="40" t="str">
        <f t="shared" si="0"/>
        <v>   </v>
      </c>
      <c r="E26" s="41">
        <f t="shared" si="1"/>
        <v>36890.97</v>
      </c>
    </row>
    <row r="27" spans="1:5" ht="31.5" customHeight="1">
      <c r="A27" s="21" t="s">
        <v>76</v>
      </c>
      <c r="B27" s="42">
        <f>SUM(B29+B28+B30)</f>
        <v>7133328.66</v>
      </c>
      <c r="C27" s="42">
        <f>SUM(C29+C28+C30)</f>
        <v>5082093.85</v>
      </c>
      <c r="D27" s="40">
        <f t="shared" si="0"/>
        <v>71.24435298344994</v>
      </c>
      <c r="E27" s="41">
        <f t="shared" si="1"/>
        <v>-2051234.8100000005</v>
      </c>
    </row>
    <row r="28" spans="1:5" ht="30.75" customHeight="1">
      <c r="A28" s="21" t="s">
        <v>127</v>
      </c>
      <c r="B28" s="42">
        <f>Лист7!B27+Лист1!B33+Лист9!B27+Лист4!B25+Лист3!B25</f>
        <v>2719480.66</v>
      </c>
      <c r="C28" s="42">
        <f>Лист7!C27+Лист1!C33+Лист9!C27+Лист4!C25+Лист3!C25</f>
        <v>982206.48</v>
      </c>
      <c r="D28" s="40">
        <f t="shared" si="0"/>
        <v>36.11742839164004</v>
      </c>
      <c r="E28" s="41">
        <f t="shared" si="1"/>
        <v>-1737274.1800000002</v>
      </c>
    </row>
    <row r="29" spans="1:5" ht="42" customHeight="1">
      <c r="A29" s="21" t="s">
        <v>216</v>
      </c>
      <c r="B29" s="42">
        <f>Лист7!B28</f>
        <v>162300</v>
      </c>
      <c r="C29" s="42">
        <f>Лист7!C28</f>
        <v>32973.37</v>
      </c>
      <c r="D29" s="40">
        <f t="shared" si="0"/>
        <v>20.316309303758473</v>
      </c>
      <c r="E29" s="41">
        <f t="shared" si="1"/>
        <v>-129326.63</v>
      </c>
    </row>
    <row r="30" spans="1:5" ht="39" customHeight="1">
      <c r="A30" s="21" t="s">
        <v>217</v>
      </c>
      <c r="B30" s="42">
        <f>Лист2!B21+Лист8!B26+Лист4!B26+Лист3!B24</f>
        <v>4251548</v>
      </c>
      <c r="C30" s="42">
        <f>Лист1!C34+Лист2!C21+Лист3!C24+Лист4!C26+Лист6!C25+Лист8!C26+Лист9!C28+Лист10!C26</f>
        <v>4066914</v>
      </c>
      <c r="D30" s="40">
        <f t="shared" si="0"/>
        <v>95.65725237019551</v>
      </c>
      <c r="E30" s="41">
        <f t="shared" si="1"/>
        <v>-184634</v>
      </c>
    </row>
    <row r="31" spans="1:5" ht="13.5">
      <c r="A31" s="21" t="s">
        <v>31</v>
      </c>
      <c r="B31" s="42">
        <f>Лист1!B35+Лист2!B27+Лист5!B28+Лист7!B29+Лист6!B26+Лист3!B26</f>
        <v>0</v>
      </c>
      <c r="C31" s="42">
        <f>Лист1!C35+Лист2!C27+Лист5!C28+Лист7!C29+Лист6!C26+Лист3!C26</f>
        <v>0</v>
      </c>
      <c r="D31" s="40" t="str">
        <f t="shared" si="0"/>
        <v>   </v>
      </c>
      <c r="E31" s="41">
        <f t="shared" si="1"/>
        <v>0</v>
      </c>
    </row>
    <row r="32" spans="1:5" ht="13.5">
      <c r="A32" s="21" t="s">
        <v>32</v>
      </c>
      <c r="B32" s="42">
        <f>B33+B35+B34</f>
        <v>1029754.5</v>
      </c>
      <c r="C32" s="42">
        <f>C33+C35+C34</f>
        <v>615633.29</v>
      </c>
      <c r="D32" s="40">
        <f t="shared" si="0"/>
        <v>59.784471929960006</v>
      </c>
      <c r="E32" s="41">
        <f t="shared" si="1"/>
        <v>-414121.20999999996</v>
      </c>
    </row>
    <row r="33" spans="1:5" ht="13.5">
      <c r="A33" s="21" t="s">
        <v>46</v>
      </c>
      <c r="B33" s="42">
        <v>0</v>
      </c>
      <c r="C33" s="42">
        <f>Лист1!C39+Лист2!C29+Лист4!C28+Лист6!C28+Лист7!C31+Лист8!C28+Лист9!C31+Лист3!C28+Лист10!C28+Лист5!C27</f>
        <v>69037.55</v>
      </c>
      <c r="D33" s="40"/>
      <c r="E33" s="41">
        <f t="shared" si="1"/>
        <v>69037.55</v>
      </c>
    </row>
    <row r="34" spans="1:5" ht="13.5">
      <c r="A34" s="21" t="s">
        <v>324</v>
      </c>
      <c r="B34" s="42">
        <f>Лист7!B32+Лист2!B30+Лист4!B29+Лист3!B29+Лист9!B32</f>
        <v>1029754.5</v>
      </c>
      <c r="C34" s="42">
        <f>Лист7!C32+Лист2!C30+Лист4!C29+Лист3!C29+Лист9!C32</f>
        <v>546595.74</v>
      </c>
      <c r="D34" s="40"/>
      <c r="E34" s="41">
        <f t="shared" si="1"/>
        <v>-483158.76</v>
      </c>
    </row>
    <row r="35" spans="1:5" ht="13.5">
      <c r="A35" s="21" t="s">
        <v>50</v>
      </c>
      <c r="B35" s="42">
        <f>Лист1!B40+Лист2!B31+Лист3!B30+Лист4!B30+Лист5!B27+Лист6!B29+Лист7!B33+Лист8!B29+Лист9!B33+Лист10!B29</f>
        <v>0</v>
      </c>
      <c r="C35" s="42">
        <f>Лист1!C40+Лист2!C31+Лист3!C30+Лист4!C30+Лист6!C29+Лист7!C33+Лист8!C29+Лист9!C33+Лист10!C29</f>
        <v>0</v>
      </c>
      <c r="D35" s="40" t="str">
        <f>IF(B35=0,"   ",C35/B35*100)</f>
        <v>   </v>
      </c>
      <c r="E35" s="41">
        <f t="shared" si="1"/>
        <v>0</v>
      </c>
    </row>
    <row r="36" spans="1:5" ht="18" customHeight="1">
      <c r="A36" s="44" t="s">
        <v>10</v>
      </c>
      <c r="B36" s="45">
        <f>SUM(B6,B8,B10,B12,B18,B19,B26,B27,B32,+B31+B17)</f>
        <v>41018883.16</v>
      </c>
      <c r="C36" s="45">
        <f>SUM(C6,C8,C10,C12,C18,C19,C26,C27,C32,+C31+C17)</f>
        <v>22647549.83</v>
      </c>
      <c r="D36" s="46">
        <f>IF(B36=0,"   ",C36/B36*100)</f>
        <v>55.21249747746667</v>
      </c>
      <c r="E36" s="47">
        <f t="shared" si="1"/>
        <v>-18371333.33</v>
      </c>
    </row>
    <row r="37" spans="1:5" ht="33" customHeight="1">
      <c r="A37" s="38" t="s">
        <v>34</v>
      </c>
      <c r="B37" s="39">
        <f>Лист1!B45+Лист2!B34+Лист3!B34+Лист4!B34+Лист5!B31+Лист6!B32+Лист7!B36+Лист8!B33+Лист9!B36+Лист10!B32</f>
        <v>30569300</v>
      </c>
      <c r="C37" s="39">
        <f>Лист1!C45+Лист2!C34+Лист3!C34+Лист4!C34+Лист5!C31+Лист6!C32+Лист7!C36+Лист8!C33+Лист9!C36+Лист10!C32</f>
        <v>20402700</v>
      </c>
      <c r="D37" s="40">
        <f>IF(B37=0,"   ",C37/B37*100)</f>
        <v>66.74245075942203</v>
      </c>
      <c r="E37" s="41">
        <f t="shared" si="1"/>
        <v>-10166600</v>
      </c>
    </row>
    <row r="38" spans="1:5" ht="33" customHeight="1">
      <c r="A38" s="38" t="s">
        <v>218</v>
      </c>
      <c r="B38" s="39">
        <f>Лист1!B46+Лист2!B35+Лист3!B35+Лист4!B35+Лист5!B32+Лист6!B33+Лист7!B37+Лист8!B34+Лист9!B37+Лист10!B33</f>
        <v>0</v>
      </c>
      <c r="C38" s="39">
        <f>Лист1!C46+Лист2!C35+Лист3!C35+Лист4!C35+Лист5!C32+Лист6!C33+Лист7!C37+Лист8!C34+Лист9!C37+Лист10!C33</f>
        <v>0</v>
      </c>
      <c r="D38" s="40" t="str">
        <f>IF(B38=0,"   ",C38/B38*100)</f>
        <v>   </v>
      </c>
      <c r="E38" s="41">
        <f t="shared" si="1"/>
        <v>0</v>
      </c>
    </row>
    <row r="39" spans="1:5" ht="13.5">
      <c r="A39" s="48" t="s">
        <v>110</v>
      </c>
      <c r="B39" s="39">
        <f>SUM(B41:B48)</f>
        <v>62720261.29</v>
      </c>
      <c r="C39" s="39">
        <f>SUM(C41:C48)</f>
        <v>19486539.14</v>
      </c>
      <c r="D39" s="40">
        <f>IF(B39=0,"   ",C39/B39*100)</f>
        <v>31.068969961556743</v>
      </c>
      <c r="E39" s="41">
        <f t="shared" si="1"/>
        <v>-43233722.15</v>
      </c>
    </row>
    <row r="40" spans="1:5" ht="13.5">
      <c r="A40" s="38" t="s">
        <v>111</v>
      </c>
      <c r="B40" s="39"/>
      <c r="C40" s="39"/>
      <c r="D40" s="40"/>
      <c r="E40" s="41"/>
    </row>
    <row r="41" spans="1:5" ht="33" customHeight="1">
      <c r="A41" s="21" t="s">
        <v>228</v>
      </c>
      <c r="B41" s="42">
        <v>0</v>
      </c>
      <c r="C41" s="42">
        <f>Лист2!C44</f>
        <v>0</v>
      </c>
      <c r="D41" s="40" t="str">
        <f>IF(B41=0,"   ",C41/B41*100)</f>
        <v>   </v>
      </c>
      <c r="E41" s="41">
        <f aca="true" t="shared" si="2" ref="E41:E48">C41-B41</f>
        <v>0</v>
      </c>
    </row>
    <row r="42" spans="1:5" ht="45" customHeight="1">
      <c r="A42" s="21" t="s">
        <v>170</v>
      </c>
      <c r="B42" s="49">
        <v>0</v>
      </c>
      <c r="C42" s="49">
        <v>0</v>
      </c>
      <c r="D42" s="50" t="str">
        <f>IF(B42=0,"   ",C42/B42)</f>
        <v>   </v>
      </c>
      <c r="E42" s="51">
        <f t="shared" si="2"/>
        <v>0</v>
      </c>
    </row>
    <row r="43" spans="1:5" ht="90" customHeight="1">
      <c r="A43" s="21" t="s">
        <v>227</v>
      </c>
      <c r="B43" s="42">
        <f>Лист1!B53+Лист2!B43+Лист3!B42+Лист4!B42+Лист5!B37+Лист6!B38+Лист7!B46+Лист8!B41+Лист9!B42+Лист10!B38</f>
        <v>6658400</v>
      </c>
      <c r="C43" s="42">
        <f>Лист1!C53+Лист2!C43+Лист3!C42+Лист4!C42+Лист5!C37+Лист6!C38+Лист7!C46+Лист8!C41+Лист9!C42+Лист10!C38</f>
        <v>6393308.92</v>
      </c>
      <c r="D43" s="40">
        <f aca="true" t="shared" si="3" ref="D43:D48">IF(B43=0,"   ",C43/B43*100)</f>
        <v>96.01869698426047</v>
      </c>
      <c r="E43" s="41">
        <f t="shared" si="2"/>
        <v>-265091.0800000001</v>
      </c>
    </row>
    <row r="44" spans="1:5" ht="96" customHeight="1">
      <c r="A44" s="21" t="s">
        <v>229</v>
      </c>
      <c r="B44" s="42">
        <f>Лист7!B47</f>
        <v>1567100</v>
      </c>
      <c r="C44" s="42">
        <f>Лист7!C47</f>
        <v>0</v>
      </c>
      <c r="D44" s="40">
        <f t="shared" si="3"/>
        <v>0</v>
      </c>
      <c r="E44" s="41">
        <f t="shared" si="2"/>
        <v>-1567100</v>
      </c>
    </row>
    <row r="45" spans="1:5" ht="60" customHeight="1">
      <c r="A45" s="21" t="s">
        <v>247</v>
      </c>
      <c r="B45" s="42">
        <v>0</v>
      </c>
      <c r="C45" s="42">
        <v>0</v>
      </c>
      <c r="D45" s="40" t="str">
        <f t="shared" si="3"/>
        <v>   </v>
      </c>
      <c r="E45" s="41">
        <f t="shared" si="2"/>
        <v>0</v>
      </c>
    </row>
    <row r="46" spans="1:5" ht="49.5" customHeight="1">
      <c r="A46" s="21" t="s">
        <v>253</v>
      </c>
      <c r="B46" s="42">
        <f>Лист2!B44+Лист4!B43+Лист9!B43</f>
        <v>0</v>
      </c>
      <c r="C46" s="42">
        <f>Лист2!C44+Лист4!C43+Лист9!C43</f>
        <v>0</v>
      </c>
      <c r="D46" s="40" t="str">
        <f t="shared" si="3"/>
        <v>   </v>
      </c>
      <c r="E46" s="41">
        <f t="shared" si="2"/>
        <v>0</v>
      </c>
    </row>
    <row r="47" spans="1:5" ht="49.5" customHeight="1">
      <c r="A47" s="21" t="s">
        <v>283</v>
      </c>
      <c r="B47" s="42">
        <f>Лист6!B39</f>
        <v>0</v>
      </c>
      <c r="C47" s="42">
        <f>Лист6!C39</f>
        <v>0</v>
      </c>
      <c r="D47" s="40" t="str">
        <f t="shared" si="3"/>
        <v>   </v>
      </c>
      <c r="E47" s="41">
        <f>C47-B47</f>
        <v>0</v>
      </c>
    </row>
    <row r="48" spans="1:5" ht="13.5">
      <c r="A48" s="21" t="s">
        <v>101</v>
      </c>
      <c r="B48" s="42">
        <f>SUM(B50:B58)</f>
        <v>54494761.29</v>
      </c>
      <c r="C48" s="42">
        <f>SUM(C50:C58)</f>
        <v>13093230.219999999</v>
      </c>
      <c r="D48" s="40">
        <f t="shared" si="3"/>
        <v>24.02658514333681</v>
      </c>
      <c r="E48" s="41">
        <f t="shared" si="2"/>
        <v>-41401531.07</v>
      </c>
    </row>
    <row r="49" spans="1:5" ht="13.5">
      <c r="A49" s="21" t="s">
        <v>112</v>
      </c>
      <c r="B49" s="42"/>
      <c r="C49" s="42"/>
      <c r="D49" s="40"/>
      <c r="E49" s="41"/>
    </row>
    <row r="50" spans="1:5" ht="27">
      <c r="A50" s="21" t="s">
        <v>211</v>
      </c>
      <c r="B50" s="42">
        <f>Лист7!B50</f>
        <v>1580700</v>
      </c>
      <c r="C50" s="42">
        <f>Лист1!C56</f>
        <v>0</v>
      </c>
      <c r="D50" s="40">
        <f>IF(B50=0,"   ",C50/B50*100)</f>
        <v>0</v>
      </c>
      <c r="E50" s="41">
        <f>C50-B50</f>
        <v>-1580700</v>
      </c>
    </row>
    <row r="51" spans="1:5" ht="27" customHeight="1">
      <c r="A51" s="21" t="s">
        <v>210</v>
      </c>
      <c r="B51" s="42">
        <f>Лист1!B55+Лист2!B46+Лист3!B44+Лист4!B45+Лист5!B42+Лист6!B44+Лист7!B49+Лист8!B43+Лист9!B45+Лист10!B40</f>
        <v>2394281.29</v>
      </c>
      <c r="C51" s="42">
        <f>Лист1!C55+Лист2!C46+Лист3!C44+Лист4!C45+Лист5!C42+Лист6!C44+Лист7!C49+Лист8!C43+Лист9!C45+Лист10!C40</f>
        <v>62948.4</v>
      </c>
      <c r="D51" s="42">
        <f>Лист7!D49</f>
        <v>0</v>
      </c>
      <c r="E51" s="41">
        <f>C51-B51</f>
        <v>-2331332.89</v>
      </c>
    </row>
    <row r="52" spans="1:5" ht="23.25" customHeight="1">
      <c r="A52" s="21" t="s">
        <v>255</v>
      </c>
      <c r="B52" s="42">
        <f>Лист7!B51</f>
        <v>0</v>
      </c>
      <c r="C52" s="42">
        <f>Лист7!C51</f>
        <v>0</v>
      </c>
      <c r="D52" s="42" t="str">
        <f>Лист7!D51</f>
        <v>   </v>
      </c>
      <c r="E52" s="42">
        <f>Лист7!E51</f>
        <v>0</v>
      </c>
    </row>
    <row r="53" spans="1:5" ht="23.25" customHeight="1">
      <c r="A53" s="21" t="s">
        <v>285</v>
      </c>
      <c r="B53" s="42">
        <f>Лист7!B52</f>
        <v>26191000</v>
      </c>
      <c r="C53" s="42">
        <f>Лист7!C52</f>
        <v>9292441.52</v>
      </c>
      <c r="D53" s="42">
        <f>Лист7!D52</f>
        <v>35.47952166774846</v>
      </c>
      <c r="E53" s="42">
        <f>Лист7!E52</f>
        <v>-16898558.48</v>
      </c>
    </row>
    <row r="54" spans="1:5" ht="28.5" customHeight="1">
      <c r="A54" s="21" t="s">
        <v>302</v>
      </c>
      <c r="B54" s="42">
        <f>Лист7!B53</f>
        <v>8969440</v>
      </c>
      <c r="C54" s="42">
        <f>Лист7!C53</f>
        <v>0</v>
      </c>
      <c r="D54" s="40">
        <f>IF(B54=0,"   ",C54/B54*100)</f>
        <v>0</v>
      </c>
      <c r="E54" s="41">
        <f aca="true" t="shared" si="4" ref="E54:E59">C54-B54</f>
        <v>-8969440</v>
      </c>
    </row>
    <row r="55" spans="1:5" ht="32.25" customHeight="1">
      <c r="A55" s="21" t="s">
        <v>303</v>
      </c>
      <c r="B55" s="42">
        <f>Лист7!B54</f>
        <v>3421600</v>
      </c>
      <c r="C55" s="42">
        <f>Лист7!C54</f>
        <v>0</v>
      </c>
      <c r="D55" s="40">
        <f>IF(B55=0,"   ",C55/B55*100)</f>
        <v>0</v>
      </c>
      <c r="E55" s="41">
        <f t="shared" si="4"/>
        <v>-3421600</v>
      </c>
    </row>
    <row r="56" spans="1:5" ht="32.25" customHeight="1">
      <c r="A56" s="21" t="s">
        <v>272</v>
      </c>
      <c r="B56" s="42">
        <f>Лист1!B58+Лист2!B48+Лист3!B46+Лист5!B41+Лист6!B43+Лист7!B55+Лист8!B45+Лист9!B47+Лист10!B42</f>
        <v>6250340</v>
      </c>
      <c r="C56" s="42">
        <f>Лист1!C58+Лист2!C48+Лист3!C46+Лист5!C41+Лист6!C43+Лист7!C55+Лист8!C45+Лист9!C47+Лист10!C42</f>
        <v>0</v>
      </c>
      <c r="D56" s="42">
        <f>Лист7!D55</f>
        <v>0</v>
      </c>
      <c r="E56" s="41">
        <f t="shared" si="4"/>
        <v>-6250340</v>
      </c>
    </row>
    <row r="57" spans="1:5" ht="32.25" customHeight="1">
      <c r="A57" s="21" t="s">
        <v>299</v>
      </c>
      <c r="B57" s="42">
        <f>Лист2!B47+Лист3!B45+Лист5!B40+Лист6!B42+Лист7!B56+Лист8!B44+Лист1!B57+Лист4!B46+Лист9!B46+Лист10!B41</f>
        <v>1097600</v>
      </c>
      <c r="C57" s="42">
        <f>Лист2!C47+Лист3!C45+Лист5!C40+Лист6!C42+Лист7!C56+Лист8!C44+Лист1!C57+Лист4!C46+Лист9!C46+Лист10!C41</f>
        <v>0</v>
      </c>
      <c r="D57" s="40">
        <f>IF(B57=0,"   ",C57/B57*100)</f>
        <v>0</v>
      </c>
      <c r="E57" s="41">
        <f t="shared" si="4"/>
        <v>-1097600</v>
      </c>
    </row>
    <row r="58" spans="1:5" s="13" customFormat="1" ht="48" customHeight="1">
      <c r="A58" s="21" t="s">
        <v>113</v>
      </c>
      <c r="B58" s="42">
        <f>Лист1!B59+Лист2!B49+Лист3!B47+Лист4!B47+Лист5!B39+Лист6!B41+Лист7!B57+Лист8!B46+Лист9!B48+Лист10!B43</f>
        <v>4589800</v>
      </c>
      <c r="C58" s="42">
        <f>Лист1!C59+Лист2!C49+Лист3!C47+Лист4!C47+Лист5!C39+Лист6!C41+Лист7!C57+Лист8!C46+Лист9!C48+Лист10!C43</f>
        <v>3737840.3</v>
      </c>
      <c r="D58" s="40">
        <f>IF(B58=0,"   ",C58/B58*100)</f>
        <v>81.43797768965968</v>
      </c>
      <c r="E58" s="41">
        <f t="shared" si="4"/>
        <v>-851959.7000000002</v>
      </c>
    </row>
    <row r="59" spans="1:5" s="13" customFormat="1" ht="13.5">
      <c r="A59" s="48" t="s">
        <v>19</v>
      </c>
      <c r="B59" s="42">
        <f>B61+B62</f>
        <v>1483700</v>
      </c>
      <c r="C59" s="42">
        <f>C61+C62</f>
        <v>968320</v>
      </c>
      <c r="D59" s="40">
        <f>IF(B59=0,"   ",C59/B59*100)</f>
        <v>65.26386735863045</v>
      </c>
      <c r="E59" s="41">
        <f t="shared" si="4"/>
        <v>-515380</v>
      </c>
    </row>
    <row r="60" spans="1:5" ht="13.5">
      <c r="A60" s="38" t="s">
        <v>111</v>
      </c>
      <c r="B60" s="39"/>
      <c r="C60" s="39"/>
      <c r="D60" s="40"/>
      <c r="E60" s="41"/>
    </row>
    <row r="61" spans="1:5" ht="48.75" customHeight="1">
      <c r="A61" s="52" t="s">
        <v>51</v>
      </c>
      <c r="B61" s="53">
        <f>Лист1!B47+Лист2!B37+Лист3!B36+Лист4!B36+Лист5!B33+Лист6!B34+Лист7!B38+Лист8!B35+Лист9!B38+Лист10!B34</f>
        <v>1451500</v>
      </c>
      <c r="C61" s="53">
        <f>Лист1!C47+Лист2!C37+Лист3!C36+Лист4!C36+Лист5!C33+Лист6!C34+Лист7!C38+Лист8!C35+Лист9!C38+Лист10!C34</f>
        <v>967300</v>
      </c>
      <c r="D61" s="54">
        <f>IF(B61=0,"   ",C61/B61*100)</f>
        <v>66.64140544264554</v>
      </c>
      <c r="E61" s="55">
        <f>C61-B61</f>
        <v>-484200</v>
      </c>
    </row>
    <row r="62" spans="1:5" ht="45" customHeight="1">
      <c r="A62" s="52" t="s">
        <v>140</v>
      </c>
      <c r="B62" s="53">
        <f>Лист1!B48+Лист2!B38+Лист3!B37+Лист4!B37+Лист5!B34+Лист6!B35+Лист7!B39+Лист8!B36+Лист9!B39+Лист10!B35</f>
        <v>32200</v>
      </c>
      <c r="C62" s="53">
        <f>Лист1!C48+Лист2!C38+Лист3!C37+Лист4!C37+Лист5!C34+Лист6!C35+Лист7!C39+Лист8!C36+Лист9!C39+Лист10!C35</f>
        <v>1020</v>
      </c>
      <c r="D62" s="54">
        <f>IF(B62=0,"   ",C62/B62*100)</f>
        <v>3.1677018633540373</v>
      </c>
      <c r="E62" s="55">
        <f>C62-B62</f>
        <v>-31180</v>
      </c>
    </row>
    <row r="63" spans="1:5" ht="27.75" customHeight="1">
      <c r="A63" s="52" t="s">
        <v>155</v>
      </c>
      <c r="B63" s="53">
        <f>Лист1!B49+Лист2!B39+Лист3!B38+Лист4!B38+Лист5!B35+Лист6!B36+Лист7!B40+Лист8!B37+Лист9!B40+Лист10!B36</f>
        <v>1700</v>
      </c>
      <c r="C63" s="53">
        <f>Лист1!C49+Лист2!C39+Лист3!C38+Лист4!C38+Лист5!C35+Лист6!C36+Лист7!C40+Лист8!C37+Лист9!C40+Лист10!C36</f>
        <v>1020</v>
      </c>
      <c r="D63" s="54">
        <f>IF(B63=0,"   ",C63/B63*100)</f>
        <v>60</v>
      </c>
      <c r="E63" s="55">
        <f>C63-B63</f>
        <v>-680</v>
      </c>
    </row>
    <row r="64" spans="1:5" ht="47.25" customHeight="1">
      <c r="A64" s="52" t="s">
        <v>156</v>
      </c>
      <c r="B64" s="53">
        <f>Лист1!B50+Лист2!B40+Лист3!B39+Лист4!B39+Лист5!B36+Лист6!B37+Лист7!B41+Лист8!B38+Лист9!B41+Лист10!B37</f>
        <v>30500</v>
      </c>
      <c r="C64" s="53">
        <f>Лист1!C50+Лист2!C40+Лист3!C39+Лист4!C39+Лист5!C36+Лист6!C37+Лист7!C41+Лист8!C38+Лист9!C41+Лист10!C37</f>
        <v>0</v>
      </c>
      <c r="D64" s="54">
        <f>IF(B64=0,"   ",C64/B64*100)</f>
        <v>0</v>
      </c>
      <c r="E64" s="55">
        <f>C64-B64</f>
        <v>-30500</v>
      </c>
    </row>
    <row r="65" spans="1:5" ht="13.5">
      <c r="A65" s="48" t="s">
        <v>114</v>
      </c>
      <c r="B65" s="42">
        <f>B70+B67+B69+B68</f>
        <v>6578426.76</v>
      </c>
      <c r="C65" s="42">
        <f>C70+C67+C69+C68</f>
        <v>6438426.76</v>
      </c>
      <c r="D65" s="40">
        <f>IF(B65=0,"   ",C65/B65*100)</f>
        <v>97.87183159275608</v>
      </c>
      <c r="E65" s="41">
        <f>C65-B65</f>
        <v>-140000</v>
      </c>
    </row>
    <row r="66" spans="1:5" ht="13.5">
      <c r="A66" s="38" t="s">
        <v>111</v>
      </c>
      <c r="B66" s="39"/>
      <c r="C66" s="39"/>
      <c r="D66" s="40"/>
      <c r="E66" s="41"/>
    </row>
    <row r="67" spans="1:5" ht="85.5" customHeight="1">
      <c r="A67" s="21" t="s">
        <v>250</v>
      </c>
      <c r="B67" s="49">
        <f>Лист7!B45</f>
        <v>5885076.76</v>
      </c>
      <c r="C67" s="49">
        <f>Лист7!C45</f>
        <v>5885076.76</v>
      </c>
      <c r="D67" s="40">
        <f>IF(B67=0,"   ",C67/B67*100)</f>
        <v>100</v>
      </c>
      <c r="E67" s="41">
        <f>C67-B67</f>
        <v>0</v>
      </c>
    </row>
    <row r="68" spans="1:5" ht="63" customHeight="1">
      <c r="A68" s="21" t="s">
        <v>275</v>
      </c>
      <c r="B68" s="53">
        <f>Лист2!B41+Лист4!B40+Лист9!B49</f>
        <v>0</v>
      </c>
      <c r="C68" s="53">
        <f>Лист2!C41+Лист4!C40+Лист9!C49</f>
        <v>0</v>
      </c>
      <c r="D68" s="40" t="str">
        <f>IF(B68=0,"   ",C68/B68*100)</f>
        <v>   </v>
      </c>
      <c r="E68" s="41">
        <f>C68-B68</f>
        <v>0</v>
      </c>
    </row>
    <row r="69" spans="1:5" ht="50.25" customHeight="1">
      <c r="A69" s="21" t="s">
        <v>271</v>
      </c>
      <c r="B69" s="49">
        <f>Лист7!B44</f>
        <v>140000</v>
      </c>
      <c r="C69" s="49">
        <f>Лист7!C44</f>
        <v>0</v>
      </c>
      <c r="D69" s="40">
        <f>IF(B69=0,"   ",C69/B69*100)</f>
        <v>0</v>
      </c>
      <c r="E69" s="41">
        <f>C69-B69</f>
        <v>-140000</v>
      </c>
    </row>
    <row r="70" spans="1:5" ht="33" customHeight="1">
      <c r="A70" s="21" t="s">
        <v>162</v>
      </c>
      <c r="B70" s="53">
        <f>Лист1!B52+Лист2!B42+Лист3!B41+Лист6!B45+Лист8!B40+Лист10!B44+Лист4!B41+Лист5!B44+Лист7!B43+Лист9!B50</f>
        <v>553350</v>
      </c>
      <c r="C70" s="53">
        <f>Лист1!C52+Лист2!C42+Лист3!C41+Лист6!C45+Лист8!C40+Лист10!C44+Лист4!C41+Лист5!C44+Лист7!C43+Лист9!C50</f>
        <v>553350</v>
      </c>
      <c r="D70" s="40">
        <f aca="true" t="shared" si="5" ref="D70:D99">IF(B70=0,"   ",C70/B70*100)</f>
        <v>100</v>
      </c>
      <c r="E70" s="41">
        <f>C70-B70</f>
        <v>0</v>
      </c>
    </row>
    <row r="71" spans="1:5" ht="21" customHeight="1">
      <c r="A71" s="44" t="s">
        <v>177</v>
      </c>
      <c r="B71" s="42">
        <f>Лист1!B60+Лист2!B50+Лист3!B48+Лист4!B48+Лист5!B45+Лист6!B47+Лист7!B58+Лист8!B47+Лист9!B51+Лист10!B46</f>
        <v>0</v>
      </c>
      <c r="C71" s="42">
        <f>Лист1!C60+Лист2!C50+Лист3!C48+Лист4!C48+Лист5!C45+Лист6!C47+Лист7!C58+Лист8!C47+Лист9!C51+Лист10!C46</f>
        <v>-23059.71</v>
      </c>
      <c r="D71" s="40" t="str">
        <f>IF(B71=0,"   ",C71/B71*100)</f>
        <v>   </v>
      </c>
      <c r="E71" s="41">
        <f>C71-B71</f>
        <v>-23059.71</v>
      </c>
    </row>
    <row r="72" spans="1:5" ht="13.5">
      <c r="A72" s="44" t="s">
        <v>99</v>
      </c>
      <c r="B72" s="45">
        <f>B37+B39+B59+B65+B71+B38</f>
        <v>101351688.05</v>
      </c>
      <c r="C72" s="45">
        <f>C37+C39+C59+C65+C71+C38</f>
        <v>47272926.19</v>
      </c>
      <c r="D72" s="46">
        <f t="shared" si="5"/>
        <v>46.64246555684279</v>
      </c>
      <c r="E72" s="47">
        <f aca="true" t="shared" si="6" ref="E72:E117">C72-B72</f>
        <v>-54078761.86</v>
      </c>
    </row>
    <row r="73" spans="1:5" ht="23.25" customHeight="1">
      <c r="A73" s="44" t="s">
        <v>11</v>
      </c>
      <c r="B73" s="45">
        <f>B36+B72</f>
        <v>142370571.20999998</v>
      </c>
      <c r="C73" s="45">
        <f>C36+C72</f>
        <v>69920476.02</v>
      </c>
      <c r="D73" s="46">
        <f t="shared" si="5"/>
        <v>49.111607424027</v>
      </c>
      <c r="E73" s="47">
        <f t="shared" si="6"/>
        <v>-72450095.18999998</v>
      </c>
    </row>
    <row r="74" spans="1:5" ht="13.5" hidden="1">
      <c r="A74" s="44" t="s">
        <v>48</v>
      </c>
      <c r="B74" s="42"/>
      <c r="C74" s="42"/>
      <c r="D74" s="40" t="str">
        <f t="shared" si="5"/>
        <v>   </v>
      </c>
      <c r="E74" s="41">
        <f t="shared" si="6"/>
        <v>0</v>
      </c>
    </row>
    <row r="75" spans="1:5" ht="14.25">
      <c r="A75" s="56" t="s">
        <v>12</v>
      </c>
      <c r="B75" s="57"/>
      <c r="C75" s="58"/>
      <c r="D75" s="40" t="str">
        <f t="shared" si="5"/>
        <v>   </v>
      </c>
      <c r="E75" s="41"/>
    </row>
    <row r="76" spans="1:5" ht="13.5">
      <c r="A76" s="21" t="s">
        <v>35</v>
      </c>
      <c r="B76" s="42">
        <f>Лист1!B63+Лист2!B54+Лист3!B51+Лист4!B51+Лист5!B49+Лист6!B50+Лист7!B62+Лист8!B50+Лист9!B54+Лист10!B50</f>
        <v>16346379.74</v>
      </c>
      <c r="C76" s="42">
        <f>Лист1!C63+Лист2!C54+Лист3!C51+Лист4!C51+Лист5!C49+Лист6!C50+Лист7!C62+Лист8!C50+Лист9!C54+Лист10!C50</f>
        <v>9929012.46</v>
      </c>
      <c r="D76" s="40">
        <f t="shared" si="5"/>
        <v>60.741354464581896</v>
      </c>
      <c r="E76" s="41">
        <f t="shared" si="6"/>
        <v>-6417367.279999999</v>
      </c>
    </row>
    <row r="77" spans="1:5" ht="13.5" customHeight="1">
      <c r="A77" s="21" t="s">
        <v>36</v>
      </c>
      <c r="B77" s="42">
        <f>Лист1!B64+Лист2!B55+Лист3!B52+Лист4!B52+Лист5!B50+Лист6!B51+Лист7!B63+Лист8!B51+Лист9!B55+Лист10!B51</f>
        <v>16029879.74</v>
      </c>
      <c r="C77" s="42">
        <f>Лист1!C64+Лист2!C55+Лист3!C52+Лист4!C52+Лист5!C50+Лист6!C51+Лист7!C63+Лист8!C51+Лист9!C55+Лист10!C51</f>
        <v>9750326.46</v>
      </c>
      <c r="D77" s="40">
        <f t="shared" si="5"/>
        <v>60.82594890384375</v>
      </c>
      <c r="E77" s="41">
        <f t="shared" si="6"/>
        <v>-6279553.279999999</v>
      </c>
    </row>
    <row r="78" spans="1:5" ht="13.5">
      <c r="A78" s="21" t="s">
        <v>116</v>
      </c>
      <c r="B78" s="42">
        <f>Лист1!B65+Лист2!B56+Лист3!B53+Лист4!B53+Лист5!B51+Лист6!B52+Лист7!B64+Лист8!B52+Лист9!B56+Лист10!B52</f>
        <v>9269523</v>
      </c>
      <c r="C78" s="42">
        <f>Лист1!C65+Лист2!C56+Лист3!C53+Лист4!C53+Лист5!C51+Лист6!C52+Лист7!C64+Лист8!C52+Лист9!C56+Лист10!C52</f>
        <v>5430725.51</v>
      </c>
      <c r="D78" s="40">
        <f t="shared" si="5"/>
        <v>58.58689287463875</v>
      </c>
      <c r="E78" s="41">
        <f t="shared" si="6"/>
        <v>-3838797.49</v>
      </c>
    </row>
    <row r="79" spans="1:5" ht="27">
      <c r="A79" s="21" t="s">
        <v>334</v>
      </c>
      <c r="B79" s="42">
        <f>Лист1!B66+Лист2!B57+Лист3!B54+Лист4!B54+Лист5!B52+Лист6!B53+Лист7!B65+Лист8!B53+Лист9!B57+Лист10!B53</f>
        <v>553350</v>
      </c>
      <c r="C79" s="42">
        <f>Лист1!C66+Лист2!C57+Лист3!C54+Лист4!C54+Лист5!C52+Лист6!C53+Лист7!C65+Лист8!C53+Лист9!C57+Лист10!C53</f>
        <v>553350</v>
      </c>
      <c r="D79" s="40">
        <f>IF(B79=0,"   ",C79/B79*100)</f>
        <v>100</v>
      </c>
      <c r="E79" s="41">
        <f>C79-B79</f>
        <v>0</v>
      </c>
    </row>
    <row r="80" spans="1:5" ht="13.5">
      <c r="A80" s="21" t="s">
        <v>91</v>
      </c>
      <c r="B80" s="42">
        <f>Лист1!B67+Лист2!B58+Лист3!B55+Лист4!B55+Лист5!B53+Лист6!B54+Лист7!B66+Лист8!B54+Лист9!B58+Лист10!B54</f>
        <v>14500</v>
      </c>
      <c r="C80" s="42">
        <f>Лист1!C67+Лист2!C58+Лист3!C55+Лист4!C55+Лист5!C53+Лист6!C54+Лист7!C66+Лист8!C54+Лист9!C58+Лист10!C54</f>
        <v>0</v>
      </c>
      <c r="D80" s="40">
        <f t="shared" si="5"/>
        <v>0</v>
      </c>
      <c r="E80" s="41">
        <f t="shared" si="6"/>
        <v>-14500</v>
      </c>
    </row>
    <row r="81" spans="1:5" ht="13.5">
      <c r="A81" s="21" t="s">
        <v>52</v>
      </c>
      <c r="B81" s="43">
        <f>SUM(B82:B86)</f>
        <v>302000</v>
      </c>
      <c r="C81" s="43">
        <f>SUM(C82:C86)</f>
        <v>178686</v>
      </c>
      <c r="D81" s="40">
        <f t="shared" si="5"/>
        <v>59.16754966887417</v>
      </c>
      <c r="E81" s="41">
        <f t="shared" si="6"/>
        <v>-123314</v>
      </c>
    </row>
    <row r="82" spans="1:5" ht="27">
      <c r="A82" s="17" t="s">
        <v>232</v>
      </c>
      <c r="B82" s="42">
        <f>Лист7!B69+Лист8!B57</f>
        <v>2000</v>
      </c>
      <c r="C82" s="42">
        <f>Лист7!C69+Лист8!C57</f>
        <v>0</v>
      </c>
      <c r="D82" s="40">
        <f>IF(B82=0,"   ",C82/B82*100)</f>
        <v>0</v>
      </c>
      <c r="E82" s="41">
        <f>C82-B82</f>
        <v>-2000</v>
      </c>
    </row>
    <row r="83" spans="1:5" ht="47.25" customHeight="1">
      <c r="A83" s="17" t="s">
        <v>233</v>
      </c>
      <c r="B83" s="42">
        <f>Лист3!B57+Лист7!B68+Лист1!B69+Лист2!B60+Лист4!B58+Лист5!B55+Лист6!B56+Лист8!B56+Лист9!B60+Лист10!B56</f>
        <v>205000</v>
      </c>
      <c r="C83" s="42">
        <f>Лист3!C57+Лист7!C68+Лист1!C69+Лист2!C60+Лист4!C58+Лист5!C55+Лист6!C56+Лист8!C56+Лист9!C60+Лист10!C56</f>
        <v>84000</v>
      </c>
      <c r="D83" s="40">
        <f>IF(B83=0,"   ",C83/B83*100)</f>
        <v>40.97560975609756</v>
      </c>
      <c r="E83" s="41">
        <f>C83-B83</f>
        <v>-121000</v>
      </c>
    </row>
    <row r="84" spans="1:5" ht="26.25" customHeight="1">
      <c r="A84" s="17" t="s">
        <v>277</v>
      </c>
      <c r="B84" s="42">
        <f>Лист3!B58</f>
        <v>95000</v>
      </c>
      <c r="C84" s="42">
        <f>Лист3!C58</f>
        <v>94686</v>
      </c>
      <c r="D84" s="40">
        <f t="shared" si="5"/>
        <v>99.66947368421053</v>
      </c>
      <c r="E84" s="41">
        <f>C84-B84</f>
        <v>-314</v>
      </c>
    </row>
    <row r="85" spans="1:5" ht="22.5" customHeight="1">
      <c r="A85" s="17" t="s">
        <v>213</v>
      </c>
      <c r="B85" s="42">
        <f>Лист4!B57+Лист7!B71+Лист5!B56+Лист1!B70</f>
        <v>0</v>
      </c>
      <c r="C85" s="42">
        <f>Лист4!C57+Лист7!C71+Лист5!C56+Лист1!C70</f>
        <v>0</v>
      </c>
      <c r="D85" s="40" t="str">
        <f>IF(B85=0,"   ",C85/B85*100)</f>
        <v>   </v>
      </c>
      <c r="E85" s="41">
        <f>C85-B85</f>
        <v>0</v>
      </c>
    </row>
    <row r="86" spans="1:5" ht="33" customHeight="1">
      <c r="A86" s="17" t="s">
        <v>236</v>
      </c>
      <c r="B86" s="42">
        <f>Лист7!B70</f>
        <v>0</v>
      </c>
      <c r="C86" s="42">
        <f>Лист7!C70</f>
        <v>0</v>
      </c>
      <c r="D86" s="42" t="str">
        <f>Лист7!D70</f>
        <v>   </v>
      </c>
      <c r="E86" s="42">
        <f>Лист7!E70</f>
        <v>0</v>
      </c>
    </row>
    <row r="87" spans="1:5" ht="13.5">
      <c r="A87" s="21" t="s">
        <v>49</v>
      </c>
      <c r="B87" s="43">
        <f>SUM(B88)</f>
        <v>1451500</v>
      </c>
      <c r="C87" s="43">
        <f>SUM(C88)</f>
        <v>864445.6</v>
      </c>
      <c r="D87" s="40">
        <f t="shared" si="5"/>
        <v>59.555328970031</v>
      </c>
      <c r="E87" s="41">
        <f t="shared" si="6"/>
        <v>-587054.4</v>
      </c>
    </row>
    <row r="88" spans="1:5" ht="33" customHeight="1">
      <c r="A88" s="21" t="s">
        <v>102</v>
      </c>
      <c r="B88" s="42">
        <f>Лист1!B72+Лист2!B62+Лист3!B60+Лист4!B60+Лист5!B58+Лист6!B58+Лист7!B73+Лист8!B59+Лист9!B62+Лист10!B58</f>
        <v>1451500</v>
      </c>
      <c r="C88" s="42">
        <f>Лист1!C72+Лист2!C62+Лист3!C60+Лист4!C60+Лист5!C58+Лист6!C58+Лист7!C73+Лист8!C59+Лист9!C62+Лист10!C58</f>
        <v>864445.6</v>
      </c>
      <c r="D88" s="40">
        <f t="shared" si="5"/>
        <v>59.555328970031</v>
      </c>
      <c r="E88" s="41">
        <f t="shared" si="6"/>
        <v>-587054.4</v>
      </c>
    </row>
    <row r="89" spans="1:5" ht="27">
      <c r="A89" s="21" t="s">
        <v>37</v>
      </c>
      <c r="B89" s="42">
        <f>Лист1!B73+Лист2!B63+Лист3!B61+Лист4!B61+Лист5!B59+Лист6!B59+Лист7!B74+Лист8!B60+Лист9!B63+Лист10!B59</f>
        <v>936400</v>
      </c>
      <c r="C89" s="42">
        <f>Лист1!C73+Лист2!C63+Лист3!C61+Лист4!C61+Лист5!C59+Лист6!C59+Лист7!C74+Лист8!C60+Лист9!C63+Лист10!C59</f>
        <v>311051.88</v>
      </c>
      <c r="D89" s="40">
        <f t="shared" si="5"/>
        <v>33.21784280222128</v>
      </c>
      <c r="E89" s="41">
        <f t="shared" si="6"/>
        <v>-625348.12</v>
      </c>
    </row>
    <row r="90" spans="1:5" ht="33.75" customHeight="1">
      <c r="A90" s="60" t="s">
        <v>325</v>
      </c>
      <c r="B90" s="43">
        <f>Лист7!B75</f>
        <v>913400</v>
      </c>
      <c r="C90" s="43">
        <f>Лист7!C75</f>
        <v>311051.88</v>
      </c>
      <c r="D90" s="40">
        <f t="shared" si="5"/>
        <v>34.05428946792205</v>
      </c>
      <c r="E90" s="41">
        <f t="shared" si="6"/>
        <v>-602348.12</v>
      </c>
    </row>
    <row r="91" spans="1:5" ht="18.75" customHeight="1">
      <c r="A91" s="21" t="s">
        <v>92</v>
      </c>
      <c r="B91" s="42">
        <f>Лист7!B76</f>
        <v>913400</v>
      </c>
      <c r="C91" s="42">
        <f>Лист7!C76</f>
        <v>311051.88</v>
      </c>
      <c r="D91" s="40">
        <f t="shared" si="5"/>
        <v>34.05428946792205</v>
      </c>
      <c r="E91" s="41">
        <f t="shared" si="6"/>
        <v>-602348.12</v>
      </c>
    </row>
    <row r="92" spans="1:5" ht="15.75" customHeight="1">
      <c r="A92" s="21" t="s">
        <v>116</v>
      </c>
      <c r="B92" s="42">
        <f>Лист7!B77</f>
        <v>687711</v>
      </c>
      <c r="C92" s="42">
        <f>Лист7!C77</f>
        <v>245868.22</v>
      </c>
      <c r="D92" s="40">
        <f t="shared" si="5"/>
        <v>35.75167766692695</v>
      </c>
      <c r="E92" s="41">
        <f t="shared" si="6"/>
        <v>-441842.78</v>
      </c>
    </row>
    <row r="93" spans="1:5" ht="27">
      <c r="A93" s="21" t="s">
        <v>327</v>
      </c>
      <c r="B93" s="42">
        <f>Лист1!B74+Лист2!B64+Лист3!B62+Лист4!B62+Лист5!B60+Лист6!B60+Лист7!B78+Лист8!B61+Лист9!B64+Лист10!B60</f>
        <v>23000</v>
      </c>
      <c r="C93" s="42">
        <f>Лист1!C74+Лист2!C64+Лист3!C62+Лист4!C62+Лист5!C60+Лист6!C60+Лист7!C78+Лист8!C61+Лист9!C64+Лист10!C60</f>
        <v>0</v>
      </c>
      <c r="D93" s="40">
        <f t="shared" si="5"/>
        <v>0</v>
      </c>
      <c r="E93" s="41">
        <f t="shared" si="6"/>
        <v>-23000</v>
      </c>
    </row>
    <row r="94" spans="1:5" ht="13.5">
      <c r="A94" s="21" t="s">
        <v>38</v>
      </c>
      <c r="B94" s="43">
        <f>B104+B97+B119+B102+B95</f>
        <v>25859242.98</v>
      </c>
      <c r="C94" s="43">
        <f>C104+C97+C119+C102+C95</f>
        <v>14393015.85</v>
      </c>
      <c r="D94" s="40">
        <f t="shared" si="5"/>
        <v>55.659076567445595</v>
      </c>
      <c r="E94" s="41">
        <f t="shared" si="6"/>
        <v>-11466227.13</v>
      </c>
    </row>
    <row r="95" spans="1:5" ht="13.5">
      <c r="A95" s="61" t="s">
        <v>230</v>
      </c>
      <c r="B95" s="43">
        <f>B96</f>
        <v>0</v>
      </c>
      <c r="C95" s="43">
        <f>C96</f>
        <v>0</v>
      </c>
      <c r="D95" s="40" t="str">
        <f>IF(B95=0,"   ",C95/B95*100)</f>
        <v>   </v>
      </c>
      <c r="E95" s="41">
        <f t="shared" si="6"/>
        <v>0</v>
      </c>
    </row>
    <row r="96" spans="1:5" ht="27">
      <c r="A96" s="62" t="s">
        <v>231</v>
      </c>
      <c r="B96" s="43">
        <f>Лист7!B81</f>
        <v>0</v>
      </c>
      <c r="C96" s="43">
        <f>Лист7!C81</f>
        <v>0</v>
      </c>
      <c r="D96" s="40" t="str">
        <f>IF(B96=0,"   ",C96/B96*100)</f>
        <v>   </v>
      </c>
      <c r="E96" s="41">
        <f t="shared" si="6"/>
        <v>0</v>
      </c>
    </row>
    <row r="97" spans="1:5" ht="15.75" customHeight="1">
      <c r="A97" s="61" t="s">
        <v>164</v>
      </c>
      <c r="B97" s="43">
        <f>SUM(B98:B101)</f>
        <v>1262600</v>
      </c>
      <c r="C97" s="43">
        <f>SUM(C98:C101)</f>
        <v>0</v>
      </c>
      <c r="D97" s="40">
        <f t="shared" si="5"/>
        <v>0</v>
      </c>
      <c r="E97" s="41">
        <f aca="true" t="shared" si="7" ref="E97:E103">C97-B97</f>
        <v>-1262600</v>
      </c>
    </row>
    <row r="98" spans="1:5" ht="30" customHeight="1">
      <c r="A98" s="60" t="s">
        <v>161</v>
      </c>
      <c r="B98" s="43">
        <f>Лист10!B63+Лист7!B83+Лист2!B68+Лист6!B64+Лист1!B78+Лист3!B66+Лист4!B66+Лист5!B64+Лист8!B65+Лист9!B68</f>
        <v>60000</v>
      </c>
      <c r="C98" s="43">
        <f>Лист10!C63+Лист7!C83+Лист2!C68+Лист6!C64+Лист1!C78+Лист3!C66+Лист4!C66+Лист5!C64+Лист8!C65+Лист9!C68</f>
        <v>0</v>
      </c>
      <c r="D98" s="40">
        <f t="shared" si="5"/>
        <v>0</v>
      </c>
      <c r="E98" s="41">
        <f t="shared" si="7"/>
        <v>-60000</v>
      </c>
    </row>
    <row r="99" spans="1:5" ht="27">
      <c r="A99" s="62" t="s">
        <v>158</v>
      </c>
      <c r="B99" s="43">
        <f>Лист1!B77+Лист2!B67+Лист3!B65+Лист4!B65+Лист5!B63+Лист6!B63+Лист7!B84+Лист8!B64+Лист9!B67+Лист10!B64</f>
        <v>30500</v>
      </c>
      <c r="C99" s="43">
        <f>Лист1!C77+Лист2!C67+Лист3!C65+Лист4!C65+Лист5!C63+Лист6!C63+Лист7!C84+Лист8!C64+Лист9!C67+Лист10!C64</f>
        <v>0</v>
      </c>
      <c r="D99" s="40">
        <f t="shared" si="5"/>
        <v>0</v>
      </c>
      <c r="E99" s="41">
        <f t="shared" si="7"/>
        <v>-30500</v>
      </c>
    </row>
    <row r="100" spans="1:5" ht="27">
      <c r="A100" s="60" t="s">
        <v>300</v>
      </c>
      <c r="B100" s="43">
        <f>Лист7!B85+Лист2!B69+Лист6!B65+Лист3!B67+Лист5!B65+Лист8!B66+Лист1!B79+Лист4!B67+Лист9!B69+Лист10!B65</f>
        <v>1097600</v>
      </c>
      <c r="C100" s="43">
        <f>Лист7!C85+Лист2!C69+Лист6!C65+Лист3!C67+Лист5!C65+Лист8!C66+Лист1!C79+Лист4!C67+Лист9!C69+Лист10!C65</f>
        <v>0</v>
      </c>
      <c r="D100" s="40">
        <f>IF(B100=0,"   ",C100/B100*100)</f>
        <v>0</v>
      </c>
      <c r="E100" s="41">
        <f t="shared" si="7"/>
        <v>-1097600</v>
      </c>
    </row>
    <row r="101" spans="1:5" ht="27">
      <c r="A101" s="60" t="s">
        <v>301</v>
      </c>
      <c r="B101" s="43">
        <f>Лист7!B86+Лист2!B70+Лист6!B66+Лист3!B68+Лист5!B66+Лист8!B67+Лист1!B80+Лист4!B68+Лист9!B70+Лист10!B66</f>
        <v>74500</v>
      </c>
      <c r="C101" s="43">
        <f>Лист7!C86+Лист2!C70+Лист6!C66+Лист3!C68+Лист5!C66+Лист8!C67+Лист1!C80+Лист4!C68+Лист9!C70+Лист10!C66</f>
        <v>0</v>
      </c>
      <c r="D101" s="40">
        <f>IF(B101=0,"   ",C101/B101*100)</f>
        <v>0</v>
      </c>
      <c r="E101" s="41">
        <f t="shared" si="7"/>
        <v>-74500</v>
      </c>
    </row>
    <row r="102" spans="1:5" ht="13.5">
      <c r="A102" s="59" t="s">
        <v>224</v>
      </c>
      <c r="B102" s="43">
        <f>B103</f>
        <v>0</v>
      </c>
      <c r="C102" s="43">
        <f>C103</f>
        <v>0</v>
      </c>
      <c r="D102" s="40" t="str">
        <f>IF(B102=0,"   ",C102/B102*100)</f>
        <v>   </v>
      </c>
      <c r="E102" s="41">
        <f t="shared" si="7"/>
        <v>0</v>
      </c>
    </row>
    <row r="103" spans="1:5" ht="27">
      <c r="A103" s="60" t="s">
        <v>221</v>
      </c>
      <c r="B103" s="43">
        <f>Лист7!B88+Лист2!B72+Лист1!B82+Лист6!B68+Лист8!B69</f>
        <v>0</v>
      </c>
      <c r="C103" s="43">
        <f>Лист7!C88+Лист2!C72+Лист1!C82+Лист6!C68+Лист8!C69</f>
        <v>0</v>
      </c>
      <c r="D103" s="40" t="str">
        <f>IF(B103=0,"   ",C103/B103*100)</f>
        <v>   </v>
      </c>
      <c r="E103" s="41">
        <f t="shared" si="7"/>
        <v>0</v>
      </c>
    </row>
    <row r="104" spans="1:5" ht="13.5">
      <c r="A104" s="63" t="s">
        <v>124</v>
      </c>
      <c r="B104" s="43">
        <f>SUM(B105,B109:B118)</f>
        <v>23621725.740000002</v>
      </c>
      <c r="C104" s="43">
        <f>SUM(C105,C109:C118)</f>
        <v>13984172.27</v>
      </c>
      <c r="D104" s="40">
        <f aca="true" t="shared" si="8" ref="D104:D125">IF(B104=0,"   ",C104/B104*100)</f>
        <v>59.20046834816903</v>
      </c>
      <c r="E104" s="41">
        <f t="shared" si="6"/>
        <v>-9637553.470000003</v>
      </c>
    </row>
    <row r="105" spans="1:5" ht="27">
      <c r="A105" s="17" t="s">
        <v>196</v>
      </c>
      <c r="B105" s="43">
        <f>Лист7!B91</f>
        <v>2634509.6</v>
      </c>
      <c r="C105" s="43">
        <f>Лист7!C91</f>
        <v>1053809.6</v>
      </c>
      <c r="D105" s="40">
        <f t="shared" si="8"/>
        <v>40.00021863651588</v>
      </c>
      <c r="E105" s="41">
        <f t="shared" si="6"/>
        <v>-1580700</v>
      </c>
    </row>
    <row r="106" spans="1:5" ht="41.25">
      <c r="A106" s="17" t="s">
        <v>206</v>
      </c>
      <c r="B106" s="43">
        <f>Лист7!B92</f>
        <v>1580700</v>
      </c>
      <c r="C106" s="43">
        <f>Лист7!C92</f>
        <v>0</v>
      </c>
      <c r="D106" s="40">
        <f t="shared" si="8"/>
        <v>0</v>
      </c>
      <c r="E106" s="41">
        <f t="shared" si="6"/>
        <v>-1580700</v>
      </c>
    </row>
    <row r="107" spans="1:5" ht="41.25">
      <c r="A107" s="17" t="s">
        <v>197</v>
      </c>
      <c r="B107" s="43">
        <f>Лист7!B93</f>
        <v>790357.2</v>
      </c>
      <c r="C107" s="43">
        <f>Лист7!C93</f>
        <v>790357.2</v>
      </c>
      <c r="D107" s="40">
        <f t="shared" si="8"/>
        <v>100</v>
      </c>
      <c r="E107" s="41">
        <f t="shared" si="6"/>
        <v>0</v>
      </c>
    </row>
    <row r="108" spans="1:5" ht="27" customHeight="1">
      <c r="A108" s="17" t="s">
        <v>207</v>
      </c>
      <c r="B108" s="43">
        <f>Лист7!B94</f>
        <v>263452.4</v>
      </c>
      <c r="C108" s="43">
        <f>Лист7!C94</f>
        <v>263452.4</v>
      </c>
      <c r="D108" s="40">
        <f t="shared" si="8"/>
        <v>100</v>
      </c>
      <c r="E108" s="41">
        <f t="shared" si="6"/>
        <v>0</v>
      </c>
    </row>
    <row r="109" spans="1:5" ht="13.5">
      <c r="A109" s="62" t="s">
        <v>256</v>
      </c>
      <c r="B109" s="43">
        <f>Лист1!B84+Лист2!B74+Лист3!B70+Лист4!B70+Лист5!B68+Лист6!B70+Лист7!B90+Лист8!B71+Лист9!B72+Лист10!B68</f>
        <v>861100</v>
      </c>
      <c r="C109" s="43">
        <f>Лист1!C84+Лист2!C74+Лист3!C70+Лист4!C70+Лист5!C68+Лист6!C70+Лист7!C90+Лист8!C71+Лист9!C72+Лист10!C68</f>
        <v>0</v>
      </c>
      <c r="D109" s="40">
        <f>IF(B109=0,"   ",C109/B109*100)</f>
        <v>0</v>
      </c>
      <c r="E109" s="41">
        <f>C109-B109</f>
        <v>-861100</v>
      </c>
    </row>
    <row r="110" spans="1:5" ht="27">
      <c r="A110" s="60" t="s">
        <v>249</v>
      </c>
      <c r="B110" s="43">
        <f>Лист7!B101</f>
        <v>103155</v>
      </c>
      <c r="C110" s="43">
        <f>Лист7!C101</f>
        <v>0</v>
      </c>
      <c r="D110" s="40">
        <f>IF(B110=0,"   ",C110/B110*100)</f>
        <v>0</v>
      </c>
      <c r="E110" s="41">
        <f>C110-B110</f>
        <v>-103155</v>
      </c>
    </row>
    <row r="111" spans="1:5" ht="42.75" customHeight="1">
      <c r="A111" s="17" t="s">
        <v>238</v>
      </c>
      <c r="B111" s="43">
        <f>Лист1!B89+Лист2!B75+Лист3!B71+Лист4!B71+Лист5!B69+Лист6!B71+Лист7!B95+Лист8!B72+Лист9!B73+Лист10!B69</f>
        <v>4341036.07</v>
      </c>
      <c r="C111" s="43">
        <f>Лист1!C89+Лист2!C75+Лист3!C71+Лист4!C71+Лист5!C69+Лист6!C71+Лист7!C95+Лист8!C72+Лист9!C73+Лист10!C69</f>
        <v>962182.5</v>
      </c>
      <c r="D111" s="40">
        <f>IF(B111=0,"   ",C111/B111*100)</f>
        <v>22.164812373927127</v>
      </c>
      <c r="E111" s="41">
        <f>C111-B111</f>
        <v>-3378853.5700000003</v>
      </c>
    </row>
    <row r="112" spans="1:5" ht="45" customHeight="1">
      <c r="A112" s="17" t="s">
        <v>239</v>
      </c>
      <c r="B112" s="43">
        <f>Лист1!B90+Лист2!B76+Лист3!B72+Лист4!B72+Лист5!B70+Лист6!B72+Лист7!B96+Лист8!B73+Лист9!B74+Лист10!B70</f>
        <v>1441625.0699999998</v>
      </c>
      <c r="C112" s="43">
        <f>Лист1!C90+Лист2!C76+Лист3!C72+Лист4!C72+Лист5!C70+Лист6!C72+Лист7!C96+Лист8!C73+Лист9!C74+Лист10!C70</f>
        <v>681717.25</v>
      </c>
      <c r="D112" s="40">
        <f t="shared" si="8"/>
        <v>47.28811007705354</v>
      </c>
      <c r="E112" s="41">
        <f t="shared" si="6"/>
        <v>-759907.8199999998</v>
      </c>
    </row>
    <row r="113" spans="1:5" ht="44.25" customHeight="1">
      <c r="A113" s="17" t="s">
        <v>240</v>
      </c>
      <c r="B113" s="43">
        <f>Лист1!B91+Лист2!B77+Лист3!B73+Лист4!B73+Лист5!B71+Лист6!B73+Лист7!B97+Лист8!B74+Лист9!B75+Лист10!B71</f>
        <v>6658400</v>
      </c>
      <c r="C113" s="43">
        <f>Лист1!C91+Лист2!C77+Лист3!C73+Лист4!C73+Лист5!C71+Лист6!C73+Лист7!C97+Лист8!C74+Лист9!C75+Лист10!C71</f>
        <v>6393308.92</v>
      </c>
      <c r="D113" s="40">
        <f t="shared" si="8"/>
        <v>96.01869698426047</v>
      </c>
      <c r="E113" s="41">
        <f t="shared" si="6"/>
        <v>-265091.0800000001</v>
      </c>
    </row>
    <row r="114" spans="1:5" ht="48" customHeight="1">
      <c r="A114" s="17" t="s">
        <v>241</v>
      </c>
      <c r="B114" s="43">
        <f>Лист1!B92+Лист2!B78+Лист3!B74+Лист4!B74+Лист5!B72+Лист6!B74+Лист7!B98+Лист8!B75+Лист9!B76+Лист10!B72</f>
        <v>740300</v>
      </c>
      <c r="C114" s="43">
        <f>Лист1!C92+Лист2!C78+Лист3!C74+Лист4!C74+Лист5!C72+Лист6!C74+Лист7!C98+Лист8!C75+Лист9!C76+Лист10!C72</f>
        <v>739908</v>
      </c>
      <c r="D114" s="40">
        <f t="shared" si="8"/>
        <v>99.94704849385384</v>
      </c>
      <c r="E114" s="41">
        <f t="shared" si="6"/>
        <v>-392</v>
      </c>
    </row>
    <row r="115" spans="1:5" ht="33.75" customHeight="1">
      <c r="A115" s="17" t="s">
        <v>242</v>
      </c>
      <c r="B115" s="43">
        <f>Лист1!B93+Лист2!B79+Лист3!B75+Лист4!B75+Лист5!B73+Лист6!B75+Лист7!B99+Лист8!B76+Лист9!B77+Лист10!B73</f>
        <v>4589800</v>
      </c>
      <c r="C115" s="43">
        <f>Лист1!C93+Лист2!C79+Лист3!C75+Лист4!C75+Лист5!C73+Лист6!C75+Лист7!C99+Лист8!C76+Лист9!C77+Лист10!C73</f>
        <v>3737840.3</v>
      </c>
      <c r="D115" s="40">
        <f t="shared" si="8"/>
        <v>81.43797768965968</v>
      </c>
      <c r="E115" s="41">
        <f>C115-B115</f>
        <v>-851959.7000000002</v>
      </c>
    </row>
    <row r="116" spans="1:5" ht="46.5" customHeight="1">
      <c r="A116" s="17" t="s">
        <v>243</v>
      </c>
      <c r="B116" s="43">
        <f>Лист1!B94+Лист2!B80+Лист3!B76+Лист4!B76+Лист5!B74+Лист6!B76+Лист7!B100+Лист8!B77+Лист9!B78+Лист10!B74</f>
        <v>510500</v>
      </c>
      <c r="C116" s="43">
        <f>Лист1!C94+Лист2!C80+Лист3!C76+Лист4!C76+Лист5!C74+Лист6!C76+Лист7!C100+Лист8!C77+Лист9!C78+Лист10!C74</f>
        <v>415405.7</v>
      </c>
      <c r="D116" s="40">
        <f t="shared" si="8"/>
        <v>81.37232125367288</v>
      </c>
      <c r="E116" s="41">
        <f t="shared" si="6"/>
        <v>-95094.29999999999</v>
      </c>
    </row>
    <row r="117" spans="1:5" ht="45" customHeight="1">
      <c r="A117" s="17" t="s">
        <v>133</v>
      </c>
      <c r="B117" s="43">
        <f>Лист7!B102</f>
        <v>1567100</v>
      </c>
      <c r="C117" s="43">
        <f>Лист7!C102</f>
        <v>0</v>
      </c>
      <c r="D117" s="40">
        <f t="shared" si="8"/>
        <v>0</v>
      </c>
      <c r="E117" s="41">
        <f t="shared" si="6"/>
        <v>-1567100</v>
      </c>
    </row>
    <row r="118" spans="1:5" ht="36" customHeight="1">
      <c r="A118" s="21" t="s">
        <v>234</v>
      </c>
      <c r="B118" s="43">
        <f>Лист7!B103</f>
        <v>174200</v>
      </c>
      <c r="C118" s="43">
        <f>Лист7!C103</f>
        <v>0</v>
      </c>
      <c r="D118" s="40">
        <f>IF(B118=0,"   ",C118/B118*100)</f>
        <v>0</v>
      </c>
      <c r="E118" s="41">
        <f aca="true" t="shared" si="9" ref="E118:E153">C118-B118</f>
        <v>-174200</v>
      </c>
    </row>
    <row r="119" spans="1:5" ht="18.75" customHeight="1">
      <c r="A119" s="63" t="s">
        <v>168</v>
      </c>
      <c r="B119" s="43">
        <f>B120+B121</f>
        <v>974917.24</v>
      </c>
      <c r="C119" s="43">
        <f>C120+C121</f>
        <v>408843.58</v>
      </c>
      <c r="D119" s="40">
        <f t="shared" si="8"/>
        <v>41.93623450540274</v>
      </c>
      <c r="E119" s="41">
        <f t="shared" si="9"/>
        <v>-566073.6599999999</v>
      </c>
    </row>
    <row r="120" spans="1:5" ht="45" customHeight="1">
      <c r="A120" s="21" t="s">
        <v>147</v>
      </c>
      <c r="B120" s="43">
        <f>Лист1!B96+Лист2!B82+Лист7!B105+Лист9!B80+Лист4!B78+Лист5!B76+Лист6!B78+Лист10!B76+Лист8!B79</f>
        <v>568343.58</v>
      </c>
      <c r="C120" s="43">
        <f>Лист1!C96+Лист2!C82+Лист7!C105+Лист9!C80+Лист4!C78+Лист5!C76+Лист6!C78+Лист10!C76+Лист8!C79</f>
        <v>281343.58</v>
      </c>
      <c r="D120" s="40">
        <f t="shared" si="8"/>
        <v>49.5023767137477</v>
      </c>
      <c r="E120" s="41">
        <f t="shared" si="9"/>
        <v>-286999.99999999994</v>
      </c>
    </row>
    <row r="121" spans="1:5" ht="44.25" customHeight="1">
      <c r="A121" s="68" t="s">
        <v>169</v>
      </c>
      <c r="B121" s="43">
        <f>Лист1!B97+Лист2!B83+Лист3!B78+Лист5!B77+Лист7!B106+Лист8!B80+Лист9!B81+Лист10!B77+Лист4!B79</f>
        <v>406573.66000000003</v>
      </c>
      <c r="C121" s="43">
        <f>Лист1!C97+Лист2!C83+Лист3!C78+Лист5!C77+Лист7!C106+Лист8!C80+Лист9!C81+Лист10!C77+Лист4!C79</f>
        <v>127500</v>
      </c>
      <c r="D121" s="40">
        <f>IF(B121=0,"   ",C121/B121*100)</f>
        <v>31.35963111825788</v>
      </c>
      <c r="E121" s="41">
        <f t="shared" si="9"/>
        <v>-279073.66000000003</v>
      </c>
    </row>
    <row r="122" spans="1:5" ht="15.75" customHeight="1">
      <c r="A122" s="21" t="s">
        <v>13</v>
      </c>
      <c r="B122" s="42">
        <f>SUM(B123,B126,B143,B167)</f>
        <v>66173846.65</v>
      </c>
      <c r="C122" s="42">
        <f>SUM(C123,C126,C143,C167)</f>
        <v>23259022.520000003</v>
      </c>
      <c r="D122" s="40">
        <f t="shared" si="8"/>
        <v>35.14836101794002</v>
      </c>
      <c r="E122" s="41">
        <f t="shared" si="9"/>
        <v>-42914824.129999995</v>
      </c>
    </row>
    <row r="123" spans="1:5" ht="14.25" customHeight="1">
      <c r="A123" s="21" t="s">
        <v>14</v>
      </c>
      <c r="B123" s="70">
        <f>SUM(B124:B125)</f>
        <v>1130000</v>
      </c>
      <c r="C123" s="70">
        <f>SUM(C124:C125)</f>
        <v>483668.87</v>
      </c>
      <c r="D123" s="40">
        <f t="shared" si="8"/>
        <v>42.80255486725664</v>
      </c>
      <c r="E123" s="41">
        <f t="shared" si="9"/>
        <v>-646331.13</v>
      </c>
    </row>
    <row r="124" spans="1:5" ht="14.25" customHeight="1">
      <c r="A124" s="21" t="s">
        <v>89</v>
      </c>
      <c r="B124" s="42">
        <f>Лист7!B109+Лист9!B84+Лист1!B102</f>
        <v>1060000</v>
      </c>
      <c r="C124" s="42">
        <f>Лист7!C109+Лист9!C84+Лист1!C102</f>
        <v>462567.47</v>
      </c>
      <c r="D124" s="40">
        <f t="shared" si="8"/>
        <v>43.63844056603774</v>
      </c>
      <c r="E124" s="41">
        <f t="shared" si="9"/>
        <v>-597432.53</v>
      </c>
    </row>
    <row r="125" spans="1:5" ht="21.75" customHeight="1">
      <c r="A125" s="21" t="s">
        <v>174</v>
      </c>
      <c r="B125" s="42">
        <f>Лист7!B110</f>
        <v>70000</v>
      </c>
      <c r="C125" s="42">
        <f>Лист7!C110</f>
        <v>21101.4</v>
      </c>
      <c r="D125" s="40">
        <f t="shared" si="8"/>
        <v>30.144857142857145</v>
      </c>
      <c r="E125" s="41">
        <f t="shared" si="9"/>
        <v>-48898.6</v>
      </c>
    </row>
    <row r="126" spans="1:5" ht="14.25" customHeight="1">
      <c r="A126" s="21" t="s">
        <v>70</v>
      </c>
      <c r="B126" s="70">
        <f>SUM(B127:B139)</f>
        <v>16911673.72</v>
      </c>
      <c r="C126" s="70">
        <f>SUM(C127:C139)</f>
        <v>1787121.58</v>
      </c>
      <c r="D126" s="40">
        <f aca="true" t="shared" si="10" ref="D126:D150">IF(B126=0,"   ",C126/B126*100)</f>
        <v>10.5673844563742</v>
      </c>
      <c r="E126" s="41">
        <f t="shared" si="9"/>
        <v>-15124552.139999999</v>
      </c>
    </row>
    <row r="127" spans="1:5" ht="13.5">
      <c r="A127" s="21" t="s">
        <v>71</v>
      </c>
      <c r="B127" s="42">
        <f>Лист7!B123</f>
        <v>300000</v>
      </c>
      <c r="C127" s="42">
        <f>Лист7!C123</f>
        <v>0</v>
      </c>
      <c r="D127" s="40">
        <f t="shared" si="10"/>
        <v>0</v>
      </c>
      <c r="E127" s="41">
        <f t="shared" si="9"/>
        <v>-300000</v>
      </c>
    </row>
    <row r="128" spans="1:5" ht="27">
      <c r="A128" s="21" t="s">
        <v>273</v>
      </c>
      <c r="B128" s="42">
        <f>Лист1!B106+Лист2!B87+Лист3!B81+Лист5!B81+Лист6!B84+Лист7!B120+Лист8!B88+Лист9!B86+Лист10!B80</f>
        <v>6250340</v>
      </c>
      <c r="C128" s="42">
        <f>Лист1!C106+Лист2!C87+Лист3!C81+Лист5!C81+Лист6!C84+Лист7!C120+Лист8!C88+Лист9!C86+Лист10!C80</f>
        <v>0</v>
      </c>
      <c r="D128" s="40">
        <f t="shared" si="10"/>
        <v>0</v>
      </c>
      <c r="E128" s="41">
        <f t="shared" si="9"/>
        <v>-6250340</v>
      </c>
    </row>
    <row r="129" spans="1:5" ht="27">
      <c r="A129" s="21" t="s">
        <v>304</v>
      </c>
      <c r="B129" s="42">
        <f>Лист7!B114</f>
        <v>3421600</v>
      </c>
      <c r="C129" s="42">
        <f>Лист7!C114</f>
        <v>0</v>
      </c>
      <c r="D129" s="40">
        <f>IF(B129=0,"   ",C129/B129*100)</f>
        <v>0</v>
      </c>
      <c r="E129" s="41">
        <f>C129-B129</f>
        <v>-3421600</v>
      </c>
    </row>
    <row r="130" spans="1:5" ht="27">
      <c r="A130" s="21" t="s">
        <v>305</v>
      </c>
      <c r="B130" s="42">
        <f>Лист7!B115</f>
        <v>218400</v>
      </c>
      <c r="C130" s="42">
        <f>Лист7!C115</f>
        <v>0</v>
      </c>
      <c r="D130" s="40">
        <f>IF(B130=0,"   ",C130/B130*100)</f>
        <v>0</v>
      </c>
      <c r="E130" s="41">
        <f>C130-B130</f>
        <v>-218400</v>
      </c>
    </row>
    <row r="131" spans="1:5" ht="32.25" customHeight="1">
      <c r="A131" s="21" t="s">
        <v>331</v>
      </c>
      <c r="B131" s="42">
        <f>Лист2!B88+Лист7!B121+Лист9!B87+Лист10!B81</f>
        <v>433610.7</v>
      </c>
      <c r="C131" s="42">
        <f>Лист3!C82+Лист6!C85+Лист9!C87+Лист1!C107+Лист5!C82+Лист8!C89</f>
        <v>0</v>
      </c>
      <c r="D131" s="40">
        <f>IF(B131=0,"   ",C131/B131*100)</f>
        <v>0</v>
      </c>
      <c r="E131" s="41">
        <f t="shared" si="9"/>
        <v>-433610.7</v>
      </c>
    </row>
    <row r="132" spans="1:5" ht="41.25">
      <c r="A132" s="21" t="s">
        <v>186</v>
      </c>
      <c r="B132" s="42">
        <f>Лист8!B85+Лист7!B112+Лист6!B81+Лист2!B86+Лист1!B104</f>
        <v>118000</v>
      </c>
      <c r="C132" s="42">
        <f>Лист8!C85+Лист7!C112+Лист6!C81+Лист2!C86</f>
        <v>11726.94</v>
      </c>
      <c r="D132" s="40">
        <f t="shared" si="10"/>
        <v>9.938084745762712</v>
      </c>
      <c r="E132" s="41">
        <f t="shared" si="9"/>
        <v>-106273.06</v>
      </c>
    </row>
    <row r="133" spans="1:5" ht="27">
      <c r="A133" s="38" t="s">
        <v>329</v>
      </c>
      <c r="B133" s="42">
        <f>Лист9!B91</f>
        <v>90000</v>
      </c>
      <c r="C133" s="42">
        <f>Лист9!C91</f>
        <v>0</v>
      </c>
      <c r="D133" s="40">
        <f>IF(B133=0,"   ",C133/B133*100)</f>
        <v>0</v>
      </c>
      <c r="E133" s="41">
        <f>C133-B133</f>
        <v>-90000</v>
      </c>
    </row>
    <row r="134" spans="1:5" ht="31.5" customHeight="1">
      <c r="A134" s="21" t="s">
        <v>320</v>
      </c>
      <c r="B134" s="42">
        <f>Лист7!B122</f>
        <v>225000</v>
      </c>
      <c r="C134" s="42">
        <f>Лист7!C122</f>
        <v>225000</v>
      </c>
      <c r="D134" s="40">
        <f>IF(B134=0,"   ",C134/B134*100)</f>
        <v>100</v>
      </c>
      <c r="E134" s="41">
        <f>C134-B134</f>
        <v>0</v>
      </c>
    </row>
    <row r="135" spans="1:5" ht="27">
      <c r="A135" s="21" t="s">
        <v>309</v>
      </c>
      <c r="B135" s="42">
        <f>Лист1!B112</f>
        <v>795407.51</v>
      </c>
      <c r="C135" s="42">
        <f>Лист1!C112</f>
        <v>795407.51</v>
      </c>
      <c r="D135" s="40">
        <f t="shared" si="10"/>
        <v>100</v>
      </c>
      <c r="E135" s="41">
        <f t="shared" si="9"/>
        <v>0</v>
      </c>
    </row>
    <row r="136" spans="1:5" ht="17.25" customHeight="1">
      <c r="A136" s="38" t="s">
        <v>151</v>
      </c>
      <c r="B136" s="42">
        <f>Лист7!B113+Лист9!B88+Лист1!B105+Лист5!B80+Лист8!B86+Лист10!B82+Лист3!B84+Лист4!B82</f>
        <v>444139</v>
      </c>
      <c r="C136" s="42">
        <f>Лист7!C113+Лист9!C88+Лист1!C105+Лист5!C80+Лист8!C86+Лист10!C82+Лист3!C84+Лист4!C82</f>
        <v>263844.13</v>
      </c>
      <c r="D136" s="40">
        <f t="shared" si="10"/>
        <v>59.40575585571184</v>
      </c>
      <c r="E136" s="41">
        <f t="shared" si="9"/>
        <v>-180294.87</v>
      </c>
    </row>
    <row r="137" spans="1:5" ht="30" customHeight="1">
      <c r="A137" s="38" t="s">
        <v>328</v>
      </c>
      <c r="B137" s="42">
        <f>Лист9!B89</f>
        <v>60000</v>
      </c>
      <c r="C137" s="42">
        <f>Лист9!C89</f>
        <v>0</v>
      </c>
      <c r="D137" s="40">
        <f>IF(B137=0,"   ",C137/B137*100)</f>
        <v>0</v>
      </c>
      <c r="E137" s="41">
        <f>C137-B137</f>
        <v>-60000</v>
      </c>
    </row>
    <row r="138" spans="1:5" ht="28.5" customHeight="1">
      <c r="A138" s="21" t="s">
        <v>326</v>
      </c>
      <c r="B138" s="42">
        <f>Лист2!B89+Лист3!B83+Лист5!B83+Лист6!B82+Лист8!B87+Лист9!B90+Лист10!B83</f>
        <v>1918171.46</v>
      </c>
      <c r="C138" s="42">
        <f>Лист2!C89+Лист3!C83+Лист5!C83+Лист6!C82+Лист8!C87+Лист9!C90+Лист10!C83</f>
        <v>491143</v>
      </c>
      <c r="D138" s="40">
        <f>IF(B138=0,"   ",C138/B138*100)</f>
        <v>25.60474964005564</v>
      </c>
      <c r="E138" s="41">
        <f>C138-B138</f>
        <v>-1427028.46</v>
      </c>
    </row>
    <row r="139" spans="1:5" ht="33" customHeight="1">
      <c r="A139" s="17" t="s">
        <v>196</v>
      </c>
      <c r="B139" s="42">
        <f>SUM(B140:B142)</f>
        <v>2637005.05</v>
      </c>
      <c r="C139" s="42">
        <f>SUM(C140:C142)</f>
        <v>0</v>
      </c>
      <c r="D139" s="40">
        <f t="shared" si="10"/>
        <v>0</v>
      </c>
      <c r="E139" s="41">
        <f t="shared" si="9"/>
        <v>-2637005.05</v>
      </c>
    </row>
    <row r="140" spans="1:5" ht="50.25" customHeight="1">
      <c r="A140" s="17" t="s">
        <v>178</v>
      </c>
      <c r="B140" s="42">
        <f>Лист9!B93+Лист7!B117</f>
        <v>1579563.69</v>
      </c>
      <c r="C140" s="42">
        <f>Лист1!C109+Лист9!C93</f>
        <v>0</v>
      </c>
      <c r="D140" s="40">
        <f t="shared" si="10"/>
        <v>0</v>
      </c>
      <c r="E140" s="41">
        <f t="shared" si="9"/>
        <v>-1579563.69</v>
      </c>
    </row>
    <row r="141" spans="1:5" ht="44.25" customHeight="1">
      <c r="A141" s="17" t="s">
        <v>190</v>
      </c>
      <c r="B141" s="42">
        <f>Лист9!B94+Лист7!B118</f>
        <v>747240.56</v>
      </c>
      <c r="C141" s="42">
        <f>Лист1!C110+Лист9!C94</f>
        <v>0</v>
      </c>
      <c r="D141" s="40">
        <f t="shared" si="10"/>
        <v>0</v>
      </c>
      <c r="E141" s="41">
        <f t="shared" si="9"/>
        <v>-747240.56</v>
      </c>
    </row>
    <row r="142" spans="1:5" ht="26.25" customHeight="1">
      <c r="A142" s="17" t="s">
        <v>202</v>
      </c>
      <c r="B142" s="42">
        <f>Лист9!B95+Лист7!B119</f>
        <v>310200.8</v>
      </c>
      <c r="C142" s="42">
        <f>Лист1!C111+Лист9!C95</f>
        <v>0</v>
      </c>
      <c r="D142" s="40">
        <f t="shared" si="10"/>
        <v>0</v>
      </c>
      <c r="E142" s="41">
        <f t="shared" si="9"/>
        <v>-310200.8</v>
      </c>
    </row>
    <row r="143" spans="1:5" ht="13.5">
      <c r="A143" s="21" t="s">
        <v>72</v>
      </c>
      <c r="B143" s="70">
        <f>SUM(B144:B153,B154,B159,B163)</f>
        <v>48130472.93</v>
      </c>
      <c r="C143" s="70">
        <f>SUM(C144:C153,C154,C159,C163)</f>
        <v>20987312.070000004</v>
      </c>
      <c r="D143" s="40">
        <f t="shared" si="10"/>
        <v>43.605040200879664</v>
      </c>
      <c r="E143" s="41">
        <f t="shared" si="9"/>
        <v>-27143160.859999996</v>
      </c>
    </row>
    <row r="144" spans="1:5" ht="13.5">
      <c r="A144" s="21" t="s">
        <v>60</v>
      </c>
      <c r="B144" s="42">
        <f>Лист1!B114+Лист2!B96+Лист3!B86+Лист4!B84+Лист5!B89+Лист6!B91+Лист7!B125+Лист8!B91+Лист9!B97+Лист10!B85</f>
        <v>7934831.170000001</v>
      </c>
      <c r="C144" s="42">
        <f>Лист1!C114+Лист2!C96+Лист3!C86+Лист4!C84+Лист5!C89+Лист6!C91+Лист7!C125+Лист8!C91+Лист9!C97+Лист10!C85</f>
        <v>4333798.82</v>
      </c>
      <c r="D144" s="40">
        <f t="shared" si="10"/>
        <v>54.61740429191766</v>
      </c>
      <c r="E144" s="41">
        <f t="shared" si="9"/>
        <v>-3601032.3500000006</v>
      </c>
    </row>
    <row r="145" spans="1:5" ht="27" customHeight="1">
      <c r="A145" s="21" t="s">
        <v>208</v>
      </c>
      <c r="B145" s="42">
        <f>Лист7!B126</f>
        <v>6000</v>
      </c>
      <c r="C145" s="42">
        <f>Лист7!C126</f>
        <v>0</v>
      </c>
      <c r="D145" s="40">
        <f t="shared" si="10"/>
        <v>0</v>
      </c>
      <c r="E145" s="41">
        <f t="shared" si="9"/>
        <v>-6000</v>
      </c>
    </row>
    <row r="146" spans="1:5" ht="27" customHeight="1">
      <c r="A146" s="17" t="s">
        <v>322</v>
      </c>
      <c r="B146" s="42">
        <f>Лист7!B131</f>
        <v>300000</v>
      </c>
      <c r="C146" s="42">
        <f>Лист7!C131</f>
        <v>300000</v>
      </c>
      <c r="D146" s="40">
        <f>IF(B146=0,"   ",C146/B146*100)</f>
        <v>100</v>
      </c>
      <c r="E146" s="41">
        <f t="shared" si="9"/>
        <v>0</v>
      </c>
    </row>
    <row r="147" spans="1:5" ht="23.25" customHeight="1">
      <c r="A147" s="17" t="s">
        <v>237</v>
      </c>
      <c r="B147" s="42">
        <f>Лист7!B141</f>
        <v>805500</v>
      </c>
      <c r="C147" s="42">
        <f>Лист7!C141</f>
        <v>0</v>
      </c>
      <c r="D147" s="40">
        <f t="shared" si="10"/>
        <v>0</v>
      </c>
      <c r="E147" s="41">
        <f t="shared" si="9"/>
        <v>-805500</v>
      </c>
    </row>
    <row r="148" spans="1:5" ht="13.5">
      <c r="A148" s="21" t="s">
        <v>73</v>
      </c>
      <c r="B148" s="42">
        <f>Лист7!B127</f>
        <v>250000</v>
      </c>
      <c r="C148" s="42">
        <f>Лист7!C127</f>
        <v>250000</v>
      </c>
      <c r="D148" s="40">
        <f t="shared" si="10"/>
        <v>100</v>
      </c>
      <c r="E148" s="41">
        <f t="shared" si="9"/>
        <v>0</v>
      </c>
    </row>
    <row r="149" spans="1:5" ht="13.5">
      <c r="A149" s="21" t="s">
        <v>74</v>
      </c>
      <c r="B149" s="42">
        <f>Лист7!B128</f>
        <v>100000</v>
      </c>
      <c r="C149" s="42">
        <f>Лист7!C128</f>
        <v>0</v>
      </c>
      <c r="D149" s="40">
        <f t="shared" si="10"/>
        <v>0</v>
      </c>
      <c r="E149" s="41">
        <f t="shared" si="9"/>
        <v>-100000</v>
      </c>
    </row>
    <row r="150" spans="1:5" ht="13.5">
      <c r="A150" s="21" t="s">
        <v>75</v>
      </c>
      <c r="B150" s="42">
        <f>Лист1!B116+Лист3!B87+Лист4!B85+Лист5!B90+Лист7!B129+Лист8!B93+Лист9!B98+Лист10!B87+Лист6!B92+Лист2!B101</f>
        <v>3166979.64</v>
      </c>
      <c r="C150" s="42">
        <f>Лист1!C116+Лист3!C87+Лист4!C85+Лист5!C90+Лист7!C129+Лист8!C93+Лист9!C98+Лист10!C87+Лист6!C92+Лист2!C101</f>
        <v>2490154.14</v>
      </c>
      <c r="D150" s="40">
        <f t="shared" si="10"/>
        <v>78.6286753646449</v>
      </c>
      <c r="E150" s="41">
        <f t="shared" si="9"/>
        <v>-676825.5</v>
      </c>
    </row>
    <row r="151" spans="1:5" ht="24" customHeight="1">
      <c r="A151" s="21" t="s">
        <v>330</v>
      </c>
      <c r="B151" s="42">
        <f>Лист9!B99</f>
        <v>100000</v>
      </c>
      <c r="C151" s="42">
        <f>Лист9!C99</f>
        <v>52142</v>
      </c>
      <c r="D151" s="40">
        <f>IF(B151=0,"   ",C151/B151*100)</f>
        <v>52.141999999999996</v>
      </c>
      <c r="E151" s="41">
        <f>C151-B151</f>
        <v>-47858</v>
      </c>
    </row>
    <row r="152" spans="1:5" ht="27">
      <c r="A152" s="62" t="s">
        <v>231</v>
      </c>
      <c r="B152" s="42">
        <f>Лист7!B136</f>
        <v>268800</v>
      </c>
      <c r="C152" s="42">
        <f>Лист7!C136</f>
        <v>152418.98</v>
      </c>
      <c r="D152" s="40">
        <f>IF(B152=0,"   ",C152/B152*100)</f>
        <v>56.70348958333334</v>
      </c>
      <c r="E152" s="41">
        <f>C152-B152</f>
        <v>-116381.01999999999</v>
      </c>
    </row>
    <row r="153" spans="1:5" ht="27">
      <c r="A153" s="17" t="s">
        <v>352</v>
      </c>
      <c r="B153" s="42">
        <f>Лист1!B117+Лист3!B93+Лист4!B90+Лист5!B96+Лист7!B130+Лист8!B92+Лист9!B100+Лист10!B86+Лист6!B97+Лист2!B102</f>
        <v>140000</v>
      </c>
      <c r="C153" s="42">
        <f>Лист1!C117+Лист3!C93+Лист4!C90+Лист5!C96+Лист7!C130+Лист8!C92+Лист9!C100+Лист10!C86+Лист6!C97+Лист2!C102</f>
        <v>0</v>
      </c>
      <c r="D153" s="40">
        <f aca="true" t="shared" si="11" ref="D153:D162">IF(B153=0,"   ",C153/B153*100)</f>
        <v>0</v>
      </c>
      <c r="E153" s="41">
        <f t="shared" si="9"/>
        <v>-140000</v>
      </c>
    </row>
    <row r="154" spans="1:5" ht="27">
      <c r="A154" s="17" t="s">
        <v>196</v>
      </c>
      <c r="B154" s="42">
        <f>SUM(B155:B157)</f>
        <v>1310284.4</v>
      </c>
      <c r="C154" s="42">
        <f>SUM(C155:C157)</f>
        <v>104914</v>
      </c>
      <c r="D154" s="40">
        <f t="shared" si="11"/>
        <v>8.00696398430753</v>
      </c>
      <c r="E154" s="41">
        <f>C154-B154</f>
        <v>-1205370.4</v>
      </c>
    </row>
    <row r="155" spans="1:5" ht="41.25">
      <c r="A155" s="17" t="s">
        <v>203</v>
      </c>
      <c r="B155" s="42">
        <f>Лист1!B119+Лист2!B98+Лист4!B87+Лист3!B90</f>
        <v>814717.6</v>
      </c>
      <c r="C155" s="42">
        <f>Лист1!C119+Лист2!C98+Лист4!C87+Лист3!C90</f>
        <v>62948.4</v>
      </c>
      <c r="D155" s="40">
        <f t="shared" si="11"/>
        <v>7.726407285174643</v>
      </c>
      <c r="E155" s="41">
        <f>C155-B155</f>
        <v>-751769.2</v>
      </c>
    </row>
    <row r="156" spans="1:5" ht="41.25">
      <c r="A156" s="17" t="s">
        <v>204</v>
      </c>
      <c r="B156" s="42">
        <f>Лист1!B120+Лист2!B99+Лист4!B88+Лист3!B91</f>
        <v>287035.10000000003</v>
      </c>
      <c r="C156" s="42">
        <f>Лист1!C120+Лист2!C99+Лист4!C88+Лист3!C91</f>
        <v>31474.2</v>
      </c>
      <c r="D156" s="40">
        <f t="shared" si="11"/>
        <v>10.965279159238712</v>
      </c>
      <c r="E156" s="41">
        <f>C156-B156</f>
        <v>-255560.90000000002</v>
      </c>
    </row>
    <row r="157" spans="1:5" ht="24.75" customHeight="1">
      <c r="A157" s="17" t="s">
        <v>205</v>
      </c>
      <c r="B157" s="42">
        <f>Лист1!B121+Лист2!B100+Лист4!B89+Лист3!B92</f>
        <v>208531.69999999998</v>
      </c>
      <c r="C157" s="42">
        <f>Лист1!C121+Лист2!C100+Лист4!C89+Лист3!C92</f>
        <v>10491.4</v>
      </c>
      <c r="D157" s="40">
        <f t="shared" si="11"/>
        <v>5.031081605338661</v>
      </c>
      <c r="E157" s="41">
        <f>C157-B157</f>
        <v>-198040.3</v>
      </c>
    </row>
    <row r="158" spans="1:5" ht="27">
      <c r="A158" s="17" t="s">
        <v>289</v>
      </c>
      <c r="B158" s="39">
        <f>Лист7!B142</f>
        <v>0</v>
      </c>
      <c r="C158" s="39">
        <f>Лист7!C142</f>
        <v>0</v>
      </c>
      <c r="D158" s="40" t="str">
        <f t="shared" si="11"/>
        <v>   </v>
      </c>
      <c r="E158" s="41">
        <f>C158-B158</f>
        <v>0</v>
      </c>
    </row>
    <row r="159" spans="1:5" ht="27">
      <c r="A159" s="17" t="s">
        <v>263</v>
      </c>
      <c r="B159" s="39">
        <f>B160+B162+B161</f>
        <v>27863000.96</v>
      </c>
      <c r="C159" s="39">
        <f>C160+C162+C161</f>
        <v>9885576.08</v>
      </c>
      <c r="D159" s="40">
        <f t="shared" si="11"/>
        <v>35.47922240749189</v>
      </c>
      <c r="E159" s="41">
        <f aca="true" t="shared" si="12" ref="E159:E178">C159-B159</f>
        <v>-17977424.880000003</v>
      </c>
    </row>
    <row r="160" spans="1:5" ht="27">
      <c r="A160" s="17" t="s">
        <v>252</v>
      </c>
      <c r="B160" s="39">
        <f>Лист7!B144</f>
        <v>26191000</v>
      </c>
      <c r="C160" s="39">
        <f>Лист7!C144</f>
        <v>9292441.52</v>
      </c>
      <c r="D160" s="40">
        <f t="shared" si="11"/>
        <v>35.47952166774846</v>
      </c>
      <c r="E160" s="41">
        <f t="shared" si="12"/>
        <v>-16898558.48</v>
      </c>
    </row>
    <row r="161" spans="1:5" ht="27">
      <c r="A161" s="17" t="s">
        <v>264</v>
      </c>
      <c r="B161" s="39">
        <f>Лист7!B145</f>
        <v>1393138.3</v>
      </c>
      <c r="C161" s="39">
        <f>Лист7!C145</f>
        <v>494278.81</v>
      </c>
      <c r="D161" s="40">
        <f t="shared" si="11"/>
        <v>35.47952202591803</v>
      </c>
      <c r="E161" s="41">
        <f t="shared" si="12"/>
        <v>-898859.49</v>
      </c>
    </row>
    <row r="162" spans="1:5" ht="27">
      <c r="A162" s="17" t="s">
        <v>265</v>
      </c>
      <c r="B162" s="39">
        <f>Лист7!B146</f>
        <v>278862.66</v>
      </c>
      <c r="C162" s="39">
        <f>Лист7!C146</f>
        <v>98855.75</v>
      </c>
      <c r="D162" s="40">
        <f t="shared" si="11"/>
        <v>35.4496188195293</v>
      </c>
      <c r="E162" s="41">
        <f t="shared" si="12"/>
        <v>-180006.90999999997</v>
      </c>
    </row>
    <row r="163" spans="1:5" ht="33.75" customHeight="1">
      <c r="A163" s="17" t="s">
        <v>173</v>
      </c>
      <c r="B163" s="39">
        <f>B164+B166+B165</f>
        <v>5885076.760000001</v>
      </c>
      <c r="C163" s="39">
        <f>C164+C166+C165</f>
        <v>3418308.0500000003</v>
      </c>
      <c r="D163" s="50">
        <f>IF(B163=0,"   ",C163/B163)</f>
        <v>0.580843409423941</v>
      </c>
      <c r="E163" s="51">
        <f t="shared" si="12"/>
        <v>-2466768.7100000004</v>
      </c>
    </row>
    <row r="164" spans="1:5" ht="13.5">
      <c r="A164" s="17" t="s">
        <v>171</v>
      </c>
      <c r="B164" s="39">
        <f>Лист7!B133</f>
        <v>5826225.99</v>
      </c>
      <c r="C164" s="39">
        <f>Лист7!C133</f>
        <v>3384124.97</v>
      </c>
      <c r="D164" s="50">
        <f>IF(B164=0,"   ",C164/B164)</f>
        <v>0.5808434097490269</v>
      </c>
      <c r="E164" s="51">
        <f t="shared" si="12"/>
        <v>-2442101.02</v>
      </c>
    </row>
    <row r="165" spans="1:5" ht="13.5">
      <c r="A165" s="17" t="s">
        <v>172</v>
      </c>
      <c r="B165" s="39">
        <f>Лист7!B134</f>
        <v>41195.54</v>
      </c>
      <c r="C165" s="39">
        <f>Лист7!C134</f>
        <v>23928.16</v>
      </c>
      <c r="D165" s="50">
        <f>IF(B165=0,"   ",C165/B165)</f>
        <v>0.5808434602386569</v>
      </c>
      <c r="E165" s="51">
        <f t="shared" si="12"/>
        <v>-17267.38</v>
      </c>
    </row>
    <row r="166" spans="1:5" ht="13.5">
      <c r="A166" s="17" t="s">
        <v>185</v>
      </c>
      <c r="B166" s="39">
        <f>Лист7!B135</f>
        <v>17655.23</v>
      </c>
      <c r="C166" s="39">
        <f>Лист7!C135</f>
        <v>10254.92</v>
      </c>
      <c r="D166" s="50">
        <f>IF(B166=0,"   ",C166/B166)</f>
        <v>0.5808431835778973</v>
      </c>
      <c r="E166" s="51">
        <f t="shared" si="12"/>
        <v>-7400.3099999999995</v>
      </c>
    </row>
    <row r="167" spans="1:5" ht="27">
      <c r="A167" s="62" t="s">
        <v>311</v>
      </c>
      <c r="B167" s="39">
        <f>SUM(B168,)</f>
        <v>1700</v>
      </c>
      <c r="C167" s="39">
        <f>SUM(C168,)</f>
        <v>920</v>
      </c>
      <c r="D167" s="40">
        <f>IF(B167=0,"   ",C167/B167*100)</f>
        <v>54.11764705882353</v>
      </c>
      <c r="E167" s="41">
        <f>C167-B167</f>
        <v>-780</v>
      </c>
    </row>
    <row r="168" spans="1:5" ht="13.5">
      <c r="A168" s="62" t="s">
        <v>262</v>
      </c>
      <c r="B168" s="42">
        <f>Лист1!B123+Лист2!B104+Лист3!B95+Лист4!B92+Лист5!B98+Лист6!B99+Лист8!B99+Лист9!B106+Лист7!B148</f>
        <v>1700</v>
      </c>
      <c r="C168" s="42">
        <f>Лист1!C123+Лист2!C104+Лист3!C95+Лист4!C92+Лист5!C98+Лист6!C99+Лист8!C99+Лист9!C106+Лист7!C148</f>
        <v>920</v>
      </c>
      <c r="D168" s="40">
        <f>IF(B168=0,"   ",C168/B168*100)</f>
        <v>54.11764705882353</v>
      </c>
      <c r="E168" s="41">
        <f>C168-B168</f>
        <v>-780</v>
      </c>
    </row>
    <row r="169" spans="1:5" ht="13.5">
      <c r="A169" s="21" t="s">
        <v>17</v>
      </c>
      <c r="B169" s="42">
        <f>Лист2!B105+Лист4!B93+Лист6!B100+Лист8!B100+Лист10!B92</f>
        <v>40000</v>
      </c>
      <c r="C169" s="42">
        <f>Лист2!C105+Лист4!C93+Лист6!C100+Лист8!C100+Лист10!C92</f>
        <v>0</v>
      </c>
      <c r="D169" s="40">
        <f aca="true" t="shared" si="13" ref="D169:D178">IF(B169=0,"   ",C169/B169*100)</f>
        <v>0</v>
      </c>
      <c r="E169" s="41">
        <f t="shared" si="12"/>
        <v>-40000</v>
      </c>
    </row>
    <row r="170" spans="1:5" ht="27">
      <c r="A170" s="21" t="s">
        <v>41</v>
      </c>
      <c r="B170" s="39">
        <f>SUM(B171,)</f>
        <v>33528491.18</v>
      </c>
      <c r="C170" s="39">
        <f>C171</f>
        <v>13331038.4</v>
      </c>
      <c r="D170" s="40">
        <f t="shared" si="13"/>
        <v>39.760328994321306</v>
      </c>
      <c r="E170" s="41">
        <f t="shared" si="12"/>
        <v>-20197452.78</v>
      </c>
    </row>
    <row r="171" spans="1:5" ht="13.5">
      <c r="A171" s="21" t="s">
        <v>42</v>
      </c>
      <c r="B171" s="42">
        <f>Лист1!B126+Лист2!B107+Лист3!B98+Лист4!B95+Лист5!B101+Лист6!B102+Лист7!B151+Лист8!B102+Лист9!B109+Лист10!B94</f>
        <v>33528491.18</v>
      </c>
      <c r="C171" s="42">
        <f>Лист1!C126+Лист2!C107+Лист3!C98+Лист4!C95+Лист5!C101+Лист6!C102+Лист7!C151+Лист8!C102+Лист9!C109+Лист10!C94</f>
        <v>13331038.4</v>
      </c>
      <c r="D171" s="40">
        <f t="shared" si="13"/>
        <v>39.760328994321306</v>
      </c>
      <c r="E171" s="41">
        <f t="shared" si="12"/>
        <v>-20197452.78</v>
      </c>
    </row>
    <row r="172" spans="1:5" ht="32.25" customHeight="1">
      <c r="A172" s="21" t="s">
        <v>135</v>
      </c>
      <c r="B172" s="42">
        <f>Лист1!B126+Лист2!B108+Лист3!B99+Лист4!B96+Лист5!B101+Лист6!B103+Лист7!B152+Лист8!B102+Лист9!B109+Лист10!B94</f>
        <v>14894100</v>
      </c>
      <c r="C172" s="42">
        <f>Лист1!C126+Лист2!C108+Лист3!C99+Лист4!C95+Лист5!C101+Лист6!C103+Лист7!C152+Лист8!C102+Лист9!C109+Лист10!C94</f>
        <v>12408351.430000002</v>
      </c>
      <c r="D172" s="40">
        <f t="shared" si="13"/>
        <v>83.31051510329594</v>
      </c>
      <c r="E172" s="41">
        <f t="shared" si="12"/>
        <v>-2485748.5699999984</v>
      </c>
    </row>
    <row r="173" spans="1:5" ht="16.5" customHeight="1">
      <c r="A173" s="21" t="s">
        <v>244</v>
      </c>
      <c r="B173" s="42">
        <f>Лист4!B97</f>
        <v>1478072.36</v>
      </c>
      <c r="C173" s="42">
        <f>Лист2!C110</f>
        <v>0</v>
      </c>
      <c r="D173" s="40">
        <f t="shared" si="13"/>
        <v>0</v>
      </c>
      <c r="E173" s="41">
        <f t="shared" si="12"/>
        <v>-1478072.36</v>
      </c>
    </row>
    <row r="174" spans="1:5" ht="24.75" customHeight="1">
      <c r="A174" s="68" t="s">
        <v>286</v>
      </c>
      <c r="B174" s="42">
        <f>Лист6!B104</f>
        <v>0</v>
      </c>
      <c r="C174" s="42">
        <f>Лист6!C104</f>
        <v>0</v>
      </c>
      <c r="D174" s="40" t="str">
        <f>IF(B174=0,"   ",C174/B174*100)</f>
        <v>   </v>
      </c>
      <c r="E174" s="41">
        <f t="shared" si="12"/>
        <v>0</v>
      </c>
    </row>
    <row r="175" spans="1:5" ht="26.25" customHeight="1">
      <c r="A175" s="68" t="s">
        <v>287</v>
      </c>
      <c r="B175" s="42">
        <f>Лист6!B105</f>
        <v>0</v>
      </c>
      <c r="C175" s="42">
        <f>Лист6!C105</f>
        <v>0</v>
      </c>
      <c r="D175" s="40" t="str">
        <f>IF(B175=0,"   ",C175/B175*100)</f>
        <v>   </v>
      </c>
      <c r="E175" s="41">
        <f t="shared" si="12"/>
        <v>0</v>
      </c>
    </row>
    <row r="176" spans="1:5" ht="25.5" customHeight="1">
      <c r="A176" s="21" t="s">
        <v>193</v>
      </c>
      <c r="B176" s="42">
        <f>Лист3!B101+Лист6!B106+Лист2!B109+Лист4!B98</f>
        <v>1154460.82</v>
      </c>
      <c r="C176" s="42">
        <f>Лист3!C101+Лист6!C106+Лист2!C109</f>
        <v>241516.97</v>
      </c>
      <c r="D176" s="40">
        <f t="shared" si="13"/>
        <v>20.920326252388538</v>
      </c>
      <c r="E176" s="41">
        <f t="shared" si="12"/>
        <v>-912943.8500000001</v>
      </c>
    </row>
    <row r="177" spans="1:5" ht="21.75" customHeight="1">
      <c r="A177" s="21" t="s">
        <v>184</v>
      </c>
      <c r="B177" s="42">
        <f>Лист7!B153</f>
        <v>5050500</v>
      </c>
      <c r="C177" s="42">
        <f>Лист7!C153</f>
        <v>0</v>
      </c>
      <c r="D177" s="40">
        <f t="shared" si="13"/>
        <v>0</v>
      </c>
      <c r="E177" s="41">
        <f t="shared" si="12"/>
        <v>-5050500</v>
      </c>
    </row>
    <row r="178" spans="1:5" ht="25.5" customHeight="1">
      <c r="A178" s="21" t="s">
        <v>136</v>
      </c>
      <c r="B178" s="42">
        <f>Лист7!B154</f>
        <v>1409400</v>
      </c>
      <c r="C178" s="42">
        <f>Лист7!C154</f>
        <v>681170</v>
      </c>
      <c r="D178" s="40">
        <f t="shared" si="13"/>
        <v>48.33049524620406</v>
      </c>
      <c r="E178" s="41">
        <f t="shared" si="12"/>
        <v>-728230</v>
      </c>
    </row>
    <row r="179" spans="1:5" ht="30.75" customHeight="1">
      <c r="A179" s="21" t="s">
        <v>306</v>
      </c>
      <c r="B179" s="42">
        <f>Лист7!B156</f>
        <v>9541958</v>
      </c>
      <c r="C179" s="42">
        <f>Лист7!C156</f>
        <v>0</v>
      </c>
      <c r="D179" s="40">
        <f aca="true" t="shared" si="14" ref="D179:D186">IF(B179=0,"   ",C179/B179*100)</f>
        <v>0</v>
      </c>
      <c r="E179" s="41">
        <f aca="true" t="shared" si="15" ref="E179:E186">C179-B179</f>
        <v>-9541958</v>
      </c>
    </row>
    <row r="180" spans="1:5" ht="21" customHeight="1">
      <c r="A180" s="17" t="s">
        <v>307</v>
      </c>
      <c r="B180" s="42">
        <f>Лист7!B157</f>
        <v>8969440</v>
      </c>
      <c r="C180" s="42">
        <f>Лист7!C157</f>
        <v>0</v>
      </c>
      <c r="D180" s="40">
        <f t="shared" si="14"/>
        <v>0</v>
      </c>
      <c r="E180" s="41">
        <f t="shared" si="15"/>
        <v>-8969440</v>
      </c>
    </row>
    <row r="181" spans="1:5" ht="18.75" customHeight="1">
      <c r="A181" s="17" t="s">
        <v>308</v>
      </c>
      <c r="B181" s="42">
        <f>Лист7!B158</f>
        <v>572518</v>
      </c>
      <c r="C181" s="42">
        <f>Лист7!C158</f>
        <v>0</v>
      </c>
      <c r="D181" s="40">
        <f t="shared" si="14"/>
        <v>0</v>
      </c>
      <c r="E181" s="41">
        <f t="shared" si="15"/>
        <v>-572518</v>
      </c>
    </row>
    <row r="182" spans="1:5" ht="21.75" customHeight="1">
      <c r="A182" s="21" t="s">
        <v>222</v>
      </c>
      <c r="B182" s="42">
        <f>SUM(B183,)</f>
        <v>6000</v>
      </c>
      <c r="C182" s="42">
        <f>SUM(C183,)</f>
        <v>0</v>
      </c>
      <c r="D182" s="40">
        <f t="shared" si="14"/>
        <v>0</v>
      </c>
      <c r="E182" s="41">
        <f t="shared" si="15"/>
        <v>-6000</v>
      </c>
    </row>
    <row r="183" spans="1:5" ht="19.5" customHeight="1">
      <c r="A183" s="21" t="s">
        <v>223</v>
      </c>
      <c r="B183" s="42">
        <f>Лист10!B96</f>
        <v>6000</v>
      </c>
      <c r="C183" s="42">
        <f>Лист10!C96</f>
        <v>0</v>
      </c>
      <c r="D183" s="40">
        <f t="shared" si="14"/>
        <v>0</v>
      </c>
      <c r="E183" s="41">
        <f t="shared" si="15"/>
        <v>-6000</v>
      </c>
    </row>
    <row r="184" spans="1:5" ht="20.25" customHeight="1">
      <c r="A184" s="21" t="s">
        <v>119</v>
      </c>
      <c r="B184" s="42">
        <f>SUM(B185)</f>
        <v>260000</v>
      </c>
      <c r="C184" s="42">
        <f>SUM(C185)</f>
        <v>155679</v>
      </c>
      <c r="D184" s="40">
        <f t="shared" si="14"/>
        <v>59.876538461538466</v>
      </c>
      <c r="E184" s="41">
        <f t="shared" si="15"/>
        <v>-104321</v>
      </c>
    </row>
    <row r="185" spans="1:5" ht="19.5" customHeight="1">
      <c r="A185" s="21" t="s">
        <v>269</v>
      </c>
      <c r="B185" s="42">
        <f>Лист1!B128+Лист2!B112+Лист3!B103+Лист4!B100+Лист5!B103+Лист6!B108+Лист7!B160+Лист8!B104+Лист9!B111+Лист10!B98</f>
        <v>260000</v>
      </c>
      <c r="C185" s="42">
        <f>Лист1!C128+Лист2!C112+Лист3!C103+Лист4!C100+Лист5!C103+Лист6!C108+Лист7!C160+Лист8!C104+Лист9!C111+Лист10!C98</f>
        <v>155679</v>
      </c>
      <c r="D185" s="40">
        <f t="shared" si="14"/>
        <v>59.876538461538466</v>
      </c>
      <c r="E185" s="41">
        <f t="shared" si="15"/>
        <v>-104321</v>
      </c>
    </row>
    <row r="186" spans="1:6" ht="25.5" customHeight="1">
      <c r="A186" s="44" t="s">
        <v>15</v>
      </c>
      <c r="B186" s="45">
        <f>B76+B87+B89+B94+B122+B169+B170+B182+B184</f>
        <v>144601860.55</v>
      </c>
      <c r="C186" s="45">
        <f>C76+C87+C89+C94+C122+C169+C170+C182+C184</f>
        <v>62243265.71</v>
      </c>
      <c r="D186" s="46">
        <f t="shared" si="14"/>
        <v>43.04458149656913</v>
      </c>
      <c r="E186" s="47">
        <f t="shared" si="15"/>
        <v>-82358594.84</v>
      </c>
      <c r="F186" s="16"/>
    </row>
    <row r="187" spans="1:5" s="13" customFormat="1" ht="23.25" customHeight="1">
      <c r="A187" s="64" t="s">
        <v>257</v>
      </c>
      <c r="B187" s="65">
        <f>(B73-B186)</f>
        <v>-2231289.3400000334</v>
      </c>
      <c r="C187" s="65">
        <f>(C73-C186)</f>
        <v>7677210.309999995</v>
      </c>
      <c r="D187" s="36"/>
      <c r="E187" s="36"/>
    </row>
    <row r="188" spans="1:5" s="13" customFormat="1" ht="21" customHeight="1">
      <c r="A188" s="64" t="s">
        <v>258</v>
      </c>
      <c r="B188" s="64"/>
      <c r="C188" s="66"/>
      <c r="D188" s="66"/>
      <c r="E188" s="66"/>
    </row>
    <row r="189" spans="1:5" ht="13.5">
      <c r="A189" s="64" t="s">
        <v>259</v>
      </c>
      <c r="B189" s="65">
        <f>SUM(B8+B43+B44+B50+B58)</f>
        <v>22008100</v>
      </c>
      <c r="C189" s="65">
        <f>SUM(C8+C43+C44+C50+C58)</f>
        <v>15269853.309999999</v>
      </c>
      <c r="D189" s="46">
        <f>IF(B189=0,"   ",C189/B189*100)</f>
        <v>69.38287862196191</v>
      </c>
      <c r="E189" s="47">
        <f>C189-B189</f>
        <v>-6738246.690000001</v>
      </c>
    </row>
    <row r="190" spans="1:5" ht="13.5">
      <c r="A190" s="64" t="s">
        <v>260</v>
      </c>
      <c r="B190" s="65">
        <f>SUM(B104)</f>
        <v>23621725.740000002</v>
      </c>
      <c r="C190" s="65">
        <f>SUM(C104)</f>
        <v>13984172.27</v>
      </c>
      <c r="D190" s="46">
        <f>IF(B190=0,"   ",C190/B190*100)</f>
        <v>59.20046834816903</v>
      </c>
      <c r="E190" s="47">
        <f>C190-B190</f>
        <v>-9637553.470000003</v>
      </c>
    </row>
    <row r="191" spans="1:5" ht="13.5">
      <c r="A191" s="64" t="s">
        <v>257</v>
      </c>
      <c r="B191" s="65">
        <f>(B189-B190)</f>
        <v>-1613625.740000002</v>
      </c>
      <c r="C191" s="65">
        <f>(C189-C190)</f>
        <v>1285681.039999999</v>
      </c>
      <c r="D191" s="64"/>
      <c r="E191" s="67"/>
    </row>
    <row r="192" spans="1:5" ht="13.5">
      <c r="A192" s="62" t="s">
        <v>335</v>
      </c>
      <c r="B192" s="62">
        <v>482506.32</v>
      </c>
      <c r="C192" s="35"/>
      <c r="D192" s="62"/>
      <c r="E192" s="69"/>
    </row>
    <row r="193" spans="1:5" ht="13.5">
      <c r="A193" s="62" t="s">
        <v>336</v>
      </c>
      <c r="B193" s="163">
        <v>1131119.42</v>
      </c>
      <c r="C193" s="162"/>
      <c r="D193" s="162"/>
      <c r="E193" s="162"/>
    </row>
    <row r="194" spans="1:5" ht="13.5">
      <c r="A194" s="77"/>
      <c r="B194" s="77"/>
      <c r="C194" s="77"/>
      <c r="D194" s="77"/>
      <c r="E194" s="77"/>
    </row>
    <row r="195" spans="1:5" ht="13.5">
      <c r="A195" s="77"/>
      <c r="B195" s="77"/>
      <c r="C195" s="77"/>
      <c r="D195" s="77"/>
      <c r="E195" s="77"/>
    </row>
    <row r="196" spans="1:5" ht="13.5">
      <c r="A196" s="77"/>
      <c r="B196" s="77"/>
      <c r="C196" s="77"/>
      <c r="D196" s="77"/>
      <c r="E196" s="77"/>
    </row>
    <row r="197" spans="1:5" ht="13.5">
      <c r="A197" s="77"/>
      <c r="B197" s="77"/>
      <c r="C197" s="77"/>
      <c r="D197" s="77"/>
      <c r="E197" s="77"/>
    </row>
    <row r="198" spans="1:5" ht="13.5">
      <c r="A198" s="77"/>
      <c r="B198" s="77"/>
      <c r="C198" s="77"/>
      <c r="D198" s="77"/>
      <c r="E198" s="77"/>
    </row>
    <row r="199" spans="1:5" ht="13.5">
      <c r="A199" s="77"/>
      <c r="B199" s="77"/>
      <c r="C199" s="77"/>
      <c r="D199" s="77"/>
      <c r="E199" s="77"/>
    </row>
    <row r="200" spans="1:5" ht="13.5">
      <c r="A200" s="77"/>
      <c r="B200" s="77"/>
      <c r="C200" s="77"/>
      <c r="D200" s="77"/>
      <c r="E200" s="77"/>
    </row>
    <row r="201" spans="1:5" ht="13.5">
      <c r="A201" s="77"/>
      <c r="B201" s="77"/>
      <c r="C201" s="77"/>
      <c r="D201" s="77"/>
      <c r="E201" s="77"/>
    </row>
    <row r="202" spans="1:5" ht="15">
      <c r="A202" s="76"/>
      <c r="B202" s="76"/>
      <c r="C202" s="76"/>
      <c r="D202" s="76"/>
      <c r="E202" s="76"/>
    </row>
    <row r="203" spans="1:5" ht="15">
      <c r="A203" s="76"/>
      <c r="B203" s="76"/>
      <c r="C203" s="76"/>
      <c r="D203" s="76"/>
      <c r="E203" s="76"/>
    </row>
    <row r="204" spans="1:5" ht="15">
      <c r="A204" s="76"/>
      <c r="B204" s="76"/>
      <c r="C204" s="76"/>
      <c r="D204" s="76"/>
      <c r="E204" s="76"/>
    </row>
    <row r="205" spans="1:5" ht="15">
      <c r="A205" s="76"/>
      <c r="B205" s="76"/>
      <c r="C205" s="76"/>
      <c r="D205" s="76"/>
      <c r="E205" s="76"/>
    </row>
    <row r="206" spans="1:5" ht="15">
      <c r="A206" s="76"/>
      <c r="B206" s="76"/>
      <c r="C206" s="76"/>
      <c r="D206" s="76"/>
      <c r="E206" s="76"/>
    </row>
    <row r="207" spans="1:5" ht="15">
      <c r="A207" s="76"/>
      <c r="B207" s="76"/>
      <c r="C207" s="76"/>
      <c r="D207" s="76"/>
      <c r="E207" s="76"/>
    </row>
    <row r="208" spans="1:5" ht="15">
      <c r="A208" s="76"/>
      <c r="B208" s="76"/>
      <c r="C208" s="76"/>
      <c r="D208" s="76"/>
      <c r="E208" s="76"/>
    </row>
    <row r="209" spans="1:5" ht="15">
      <c r="A209" s="76"/>
      <c r="B209" s="76"/>
      <c r="C209" s="76"/>
      <c r="D209" s="76"/>
      <c r="E209" s="76"/>
    </row>
    <row r="210" spans="1:5" ht="15">
      <c r="A210" s="76"/>
      <c r="B210" s="76"/>
      <c r="C210" s="76"/>
      <c r="D210" s="76"/>
      <c r="E210" s="76"/>
    </row>
    <row r="211" spans="1:5" ht="15">
      <c r="A211" s="76"/>
      <c r="B211" s="76"/>
      <c r="C211" s="76"/>
      <c r="D211" s="76"/>
      <c r="E211" s="76"/>
    </row>
    <row r="212" spans="1:5" ht="15">
      <c r="A212" s="76"/>
      <c r="B212" s="76"/>
      <c r="C212" s="76"/>
      <c r="D212" s="76"/>
      <c r="E212" s="76"/>
    </row>
    <row r="213" spans="1:5" ht="15">
      <c r="A213" s="76"/>
      <c r="B213" s="76"/>
      <c r="C213" s="76"/>
      <c r="D213" s="76"/>
      <c r="E213" s="76"/>
    </row>
    <row r="214" spans="1:5" ht="15">
      <c r="A214" s="76"/>
      <c r="B214" s="76"/>
      <c r="C214" s="76"/>
      <c r="D214" s="76"/>
      <c r="E214" s="76"/>
    </row>
    <row r="215" spans="1:5" ht="15">
      <c r="A215" s="76"/>
      <c r="B215" s="76"/>
      <c r="C215" s="76"/>
      <c r="D215" s="76"/>
      <c r="E215" s="76"/>
    </row>
    <row r="216" spans="1:5" ht="15">
      <c r="A216" s="76"/>
      <c r="B216" s="76"/>
      <c r="C216" s="76"/>
      <c r="D216" s="76"/>
      <c r="E216" s="76"/>
    </row>
    <row r="217" spans="1:5" ht="15">
      <c r="A217" s="76"/>
      <c r="B217" s="76"/>
      <c r="C217" s="76"/>
      <c r="D217" s="76"/>
      <c r="E217" s="76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fitToHeight="4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zoomScalePageLayoutView="0" workbookViewId="0" topLeftCell="A37">
      <selection activeCell="C43" sqref="C43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3.5">
      <c r="A1" s="166" t="s">
        <v>339</v>
      </c>
      <c r="B1" s="166"/>
      <c r="C1" s="166"/>
      <c r="D1" s="166"/>
      <c r="E1" s="166"/>
    </row>
    <row r="2" spans="1:5" ht="14.25" thickBot="1">
      <c r="A2" s="22"/>
      <c r="B2" s="22"/>
      <c r="C2" s="23"/>
      <c r="D2" s="22"/>
      <c r="E2" s="22" t="s">
        <v>0</v>
      </c>
    </row>
    <row r="3" spans="1:5" ht="60.75" customHeight="1">
      <c r="A3" s="24" t="s">
        <v>1</v>
      </c>
      <c r="B3" s="25" t="s">
        <v>293</v>
      </c>
      <c r="C3" s="26" t="s">
        <v>338</v>
      </c>
      <c r="D3" s="25" t="s">
        <v>296</v>
      </c>
      <c r="E3" s="27" t="s">
        <v>295</v>
      </c>
    </row>
    <row r="4" spans="1:5" ht="13.5">
      <c r="A4" s="28">
        <v>1</v>
      </c>
      <c r="B4" s="29">
        <v>2</v>
      </c>
      <c r="C4" s="78">
        <v>3</v>
      </c>
      <c r="D4" s="31">
        <v>4</v>
      </c>
      <c r="E4" s="32">
        <v>5</v>
      </c>
    </row>
    <row r="5" spans="1:5" ht="14.25">
      <c r="A5" s="33" t="s">
        <v>2</v>
      </c>
      <c r="B5" s="34"/>
      <c r="C5" s="35"/>
      <c r="D5" s="36"/>
      <c r="E5" s="37"/>
    </row>
    <row r="6" spans="1:5" ht="15.75" customHeight="1">
      <c r="A6" s="38" t="s">
        <v>45</v>
      </c>
      <c r="B6" s="79">
        <f>SUM(B7)</f>
        <v>24500</v>
      </c>
      <c r="C6" s="79">
        <f>SUM(C7)</f>
        <v>17549.49</v>
      </c>
      <c r="D6" s="40">
        <f aca="true" t="shared" si="0" ref="D6:D112">IF(B6=0,"   ",C6/B6*100)</f>
        <v>71.63057142857143</v>
      </c>
      <c r="E6" s="41">
        <f aca="true" t="shared" si="1" ref="E6:E112">C6-B6</f>
        <v>-6950.509999999998</v>
      </c>
    </row>
    <row r="7" spans="1:5" ht="16.5" customHeight="1">
      <c r="A7" s="21" t="s">
        <v>44</v>
      </c>
      <c r="B7" s="80">
        <v>24500</v>
      </c>
      <c r="C7" s="81">
        <v>17549.49</v>
      </c>
      <c r="D7" s="40">
        <f t="shared" si="0"/>
        <v>71.63057142857143</v>
      </c>
      <c r="E7" s="41">
        <f t="shared" si="1"/>
        <v>-6950.509999999998</v>
      </c>
    </row>
    <row r="8" spans="1:5" ht="12.75" customHeight="1">
      <c r="A8" s="38" t="s">
        <v>129</v>
      </c>
      <c r="B8" s="79">
        <f>SUM(B9)</f>
        <v>712800</v>
      </c>
      <c r="C8" s="79">
        <f>SUM(C9)</f>
        <v>481204.66</v>
      </c>
      <c r="D8" s="40">
        <f t="shared" si="0"/>
        <v>67.50907126823793</v>
      </c>
      <c r="E8" s="41">
        <f t="shared" si="1"/>
        <v>-231595.34000000003</v>
      </c>
    </row>
    <row r="9" spans="1:5" ht="18.75" customHeight="1">
      <c r="A9" s="21" t="s">
        <v>130</v>
      </c>
      <c r="B9" s="80">
        <v>712800</v>
      </c>
      <c r="C9" s="81">
        <v>481204.66</v>
      </c>
      <c r="D9" s="40">
        <f t="shared" si="0"/>
        <v>67.50907126823793</v>
      </c>
      <c r="E9" s="41">
        <f t="shared" si="1"/>
        <v>-231595.34000000003</v>
      </c>
    </row>
    <row r="10" spans="1:5" ht="16.5" customHeight="1">
      <c r="A10" s="21" t="s">
        <v>7</v>
      </c>
      <c r="B10" s="80">
        <f>SUM(B11:B11)</f>
        <v>44700</v>
      </c>
      <c r="C10" s="80">
        <f>SUM(C11:C11)</f>
        <v>60913.5</v>
      </c>
      <c r="D10" s="40">
        <f t="shared" si="0"/>
        <v>136.2718120805369</v>
      </c>
      <c r="E10" s="41">
        <f t="shared" si="1"/>
        <v>16213.5</v>
      </c>
    </row>
    <row r="11" spans="1:5" ht="14.25" customHeight="1">
      <c r="A11" s="21" t="s">
        <v>26</v>
      </c>
      <c r="B11" s="80">
        <v>44700</v>
      </c>
      <c r="C11" s="81">
        <v>60913.5</v>
      </c>
      <c r="D11" s="40">
        <f t="shared" si="0"/>
        <v>136.2718120805369</v>
      </c>
      <c r="E11" s="41">
        <f t="shared" si="1"/>
        <v>16213.5</v>
      </c>
    </row>
    <row r="12" spans="1:5" ht="14.25" customHeight="1">
      <c r="A12" s="21" t="s">
        <v>9</v>
      </c>
      <c r="B12" s="80">
        <f>SUM(B13:B14)</f>
        <v>220000</v>
      </c>
      <c r="C12" s="80">
        <f>SUM(C13:C14)</f>
        <v>20767.27</v>
      </c>
      <c r="D12" s="40">
        <f t="shared" si="0"/>
        <v>9.439668181818183</v>
      </c>
      <c r="E12" s="41">
        <f t="shared" si="1"/>
        <v>-199232.73</v>
      </c>
    </row>
    <row r="13" spans="1:5" ht="12.75" customHeight="1">
      <c r="A13" s="21" t="s">
        <v>27</v>
      </c>
      <c r="B13" s="80">
        <v>71000</v>
      </c>
      <c r="C13" s="81">
        <v>32.64</v>
      </c>
      <c r="D13" s="40">
        <f t="shared" si="0"/>
        <v>0.04597183098591549</v>
      </c>
      <c r="E13" s="41">
        <f t="shared" si="1"/>
        <v>-70967.36</v>
      </c>
    </row>
    <row r="14" spans="1:5" ht="13.5">
      <c r="A14" s="21" t="s">
        <v>152</v>
      </c>
      <c r="B14" s="80">
        <f>SUM(B15:B16)</f>
        <v>149000</v>
      </c>
      <c r="C14" s="80">
        <f>SUM(C15:C16)</f>
        <v>20734.63</v>
      </c>
      <c r="D14" s="40">
        <f t="shared" si="0"/>
        <v>13.915859060402685</v>
      </c>
      <c r="E14" s="41">
        <f t="shared" si="1"/>
        <v>-128265.37</v>
      </c>
    </row>
    <row r="15" spans="1:5" ht="13.5">
      <c r="A15" s="21" t="s">
        <v>153</v>
      </c>
      <c r="B15" s="80">
        <v>5000</v>
      </c>
      <c r="C15" s="81">
        <v>10068.79</v>
      </c>
      <c r="D15" s="40">
        <f t="shared" si="0"/>
        <v>201.37580000000003</v>
      </c>
      <c r="E15" s="41">
        <f t="shared" si="1"/>
        <v>5068.790000000001</v>
      </c>
    </row>
    <row r="16" spans="1:5" ht="13.5">
      <c r="A16" s="21" t="s">
        <v>154</v>
      </c>
      <c r="B16" s="80">
        <v>144000</v>
      </c>
      <c r="C16" s="81">
        <v>10665.84</v>
      </c>
      <c r="D16" s="40">
        <f t="shared" si="0"/>
        <v>7.406833333333333</v>
      </c>
      <c r="E16" s="41">
        <f t="shared" si="1"/>
        <v>-133334.16</v>
      </c>
    </row>
    <row r="17" spans="1:5" ht="13.5">
      <c r="A17" s="21" t="s">
        <v>187</v>
      </c>
      <c r="B17" s="80">
        <v>0</v>
      </c>
      <c r="C17" s="82">
        <v>0</v>
      </c>
      <c r="D17" s="40" t="str">
        <f t="shared" si="0"/>
        <v>   </v>
      </c>
      <c r="E17" s="41">
        <f t="shared" si="1"/>
        <v>0</v>
      </c>
    </row>
    <row r="18" spans="1:5" ht="18" customHeight="1">
      <c r="A18" s="21" t="s">
        <v>85</v>
      </c>
      <c r="B18" s="80">
        <v>0</v>
      </c>
      <c r="C18" s="82">
        <v>0</v>
      </c>
      <c r="D18" s="40" t="str">
        <f t="shared" si="0"/>
        <v>   </v>
      </c>
      <c r="E18" s="41">
        <f t="shared" si="1"/>
        <v>0</v>
      </c>
    </row>
    <row r="19" spans="1:5" ht="16.5" customHeight="1">
      <c r="A19" s="21" t="s">
        <v>78</v>
      </c>
      <c r="B19" s="79">
        <f>B21+B20</f>
        <v>0</v>
      </c>
      <c r="C19" s="79">
        <f>C21+C20</f>
        <v>0</v>
      </c>
      <c r="D19" s="40" t="str">
        <f t="shared" si="0"/>
        <v>   </v>
      </c>
      <c r="E19" s="41">
        <f t="shared" si="1"/>
        <v>0</v>
      </c>
    </row>
    <row r="20" spans="1:5" ht="16.5" customHeight="1">
      <c r="A20" s="21" t="s">
        <v>175</v>
      </c>
      <c r="B20" s="79">
        <v>0</v>
      </c>
      <c r="C20" s="79">
        <v>0</v>
      </c>
      <c r="D20" s="40" t="str">
        <f>IF(B20=0,"   ",C20/B20*100)</f>
        <v>   </v>
      </c>
      <c r="E20" s="41">
        <f>C20-B20</f>
        <v>0</v>
      </c>
    </row>
    <row r="21" spans="1:5" ht="22.5" customHeight="1">
      <c r="A21" s="21" t="s">
        <v>278</v>
      </c>
      <c r="B21" s="80">
        <v>0</v>
      </c>
      <c r="C21" s="82">
        <v>0</v>
      </c>
      <c r="D21" s="40" t="str">
        <f t="shared" si="0"/>
        <v>   </v>
      </c>
      <c r="E21" s="41">
        <f t="shared" si="1"/>
        <v>0</v>
      </c>
    </row>
    <row r="22" spans="1:5" ht="29.25" customHeight="1">
      <c r="A22" s="21" t="s">
        <v>28</v>
      </c>
      <c r="B22" s="80">
        <f>SUM(B23:B24)</f>
        <v>99200</v>
      </c>
      <c r="C22" s="79">
        <f>SUM(C23:C24)</f>
        <v>20339.93</v>
      </c>
      <c r="D22" s="40">
        <f t="shared" si="0"/>
        <v>20.503961693548387</v>
      </c>
      <c r="E22" s="41">
        <f t="shared" si="1"/>
        <v>-78860.07</v>
      </c>
    </row>
    <row r="23" spans="1:5" ht="15.75" customHeight="1">
      <c r="A23" s="21" t="s">
        <v>144</v>
      </c>
      <c r="B23" s="80">
        <v>99200</v>
      </c>
      <c r="C23" s="81">
        <v>20339.93</v>
      </c>
      <c r="D23" s="40">
        <f t="shared" si="0"/>
        <v>20.503961693548387</v>
      </c>
      <c r="E23" s="41">
        <f t="shared" si="1"/>
        <v>-78860.07</v>
      </c>
    </row>
    <row r="24" spans="1:5" ht="15.75" customHeight="1">
      <c r="A24" s="21" t="s">
        <v>30</v>
      </c>
      <c r="B24" s="80">
        <v>0</v>
      </c>
      <c r="C24" s="82">
        <v>0</v>
      </c>
      <c r="D24" s="40" t="str">
        <f t="shared" si="0"/>
        <v>   </v>
      </c>
      <c r="E24" s="41">
        <f t="shared" si="1"/>
        <v>0</v>
      </c>
    </row>
    <row r="25" spans="1:5" ht="18" customHeight="1">
      <c r="A25" s="21" t="s">
        <v>165</v>
      </c>
      <c r="B25" s="79">
        <f>SUM(B26)</f>
        <v>0</v>
      </c>
      <c r="C25" s="79">
        <f>SUM(C26)</f>
        <v>0</v>
      </c>
      <c r="D25" s="40" t="str">
        <f t="shared" si="0"/>
        <v>   </v>
      </c>
      <c r="E25" s="41">
        <f t="shared" si="1"/>
        <v>0</v>
      </c>
    </row>
    <row r="26" spans="1:5" ht="16.5" customHeight="1">
      <c r="A26" s="21" t="s">
        <v>166</v>
      </c>
      <c r="B26" s="80">
        <v>0</v>
      </c>
      <c r="C26" s="82">
        <v>0</v>
      </c>
      <c r="D26" s="40" t="str">
        <f t="shared" si="0"/>
        <v>   </v>
      </c>
      <c r="E26" s="41">
        <f t="shared" si="1"/>
        <v>0</v>
      </c>
    </row>
    <row r="27" spans="1:5" ht="17.25" customHeight="1">
      <c r="A27" s="21" t="s">
        <v>31</v>
      </c>
      <c r="B27" s="80">
        <v>0</v>
      </c>
      <c r="C27" s="82">
        <v>0</v>
      </c>
      <c r="D27" s="40" t="str">
        <f t="shared" si="0"/>
        <v>   </v>
      </c>
      <c r="E27" s="41">
        <f t="shared" si="1"/>
        <v>0</v>
      </c>
    </row>
    <row r="28" spans="1:5" ht="16.5" customHeight="1">
      <c r="A28" s="21" t="s">
        <v>32</v>
      </c>
      <c r="B28" s="80">
        <f>SUM(B29:B31)</f>
        <v>130123.31</v>
      </c>
      <c r="C28" s="80">
        <f>SUM(C29:C31)</f>
        <v>0</v>
      </c>
      <c r="D28" s="40">
        <f t="shared" si="0"/>
        <v>0</v>
      </c>
      <c r="E28" s="41">
        <f t="shared" si="1"/>
        <v>-130123.31</v>
      </c>
    </row>
    <row r="29" spans="1:5" ht="15.75" customHeight="1">
      <c r="A29" s="21" t="s">
        <v>100</v>
      </c>
      <c r="B29" s="80">
        <v>0</v>
      </c>
      <c r="C29" s="80">
        <v>0</v>
      </c>
      <c r="D29" s="40" t="str">
        <f t="shared" si="0"/>
        <v>   </v>
      </c>
      <c r="E29" s="41">
        <f t="shared" si="1"/>
        <v>0</v>
      </c>
    </row>
    <row r="30" spans="1:5" ht="15.75" customHeight="1">
      <c r="A30" s="21" t="s">
        <v>323</v>
      </c>
      <c r="B30" s="80">
        <v>130123.31</v>
      </c>
      <c r="C30" s="80">
        <v>0</v>
      </c>
      <c r="D30" s="40">
        <f t="shared" si="0"/>
        <v>0</v>
      </c>
      <c r="E30" s="41">
        <f t="shared" si="1"/>
        <v>-130123.31</v>
      </c>
    </row>
    <row r="31" spans="1:5" s="8" customFormat="1" ht="15" customHeight="1">
      <c r="A31" s="21" t="s">
        <v>103</v>
      </c>
      <c r="B31" s="80">
        <v>0</v>
      </c>
      <c r="C31" s="79">
        <v>0</v>
      </c>
      <c r="D31" s="40" t="str">
        <f t="shared" si="0"/>
        <v>   </v>
      </c>
      <c r="E31" s="41">
        <f>C31-B31</f>
        <v>0</v>
      </c>
    </row>
    <row r="32" spans="1:5" ht="19.5" customHeight="1">
      <c r="A32" s="44" t="s">
        <v>10</v>
      </c>
      <c r="B32" s="83">
        <f>SUM(B6,B8,B10,B12,B17,B18,B19,B22,B27,B28,B25)</f>
        <v>1231323.31</v>
      </c>
      <c r="C32" s="83">
        <f>SUM(C6,C8,C10,C12,C17,C18,C19,C22,C27,C28,C25)</f>
        <v>600774.85</v>
      </c>
      <c r="D32" s="46">
        <f t="shared" si="0"/>
        <v>48.79099137658654</v>
      </c>
      <c r="E32" s="47">
        <f t="shared" si="1"/>
        <v>-630548.4600000001</v>
      </c>
    </row>
    <row r="33" spans="1:5" ht="19.5" customHeight="1">
      <c r="A33" s="62" t="s">
        <v>132</v>
      </c>
      <c r="B33" s="84">
        <f>SUM(B34:B38,B41:B45,B50)</f>
        <v>5940920</v>
      </c>
      <c r="C33" s="84">
        <f>SUM(C34:C38,C41:C45,C50)</f>
        <v>2574786</v>
      </c>
      <c r="D33" s="46">
        <f t="shared" si="0"/>
        <v>43.33985308672731</v>
      </c>
      <c r="E33" s="47">
        <f t="shared" si="1"/>
        <v>-3366134</v>
      </c>
    </row>
    <row r="34" spans="1:5" ht="18.75" customHeight="1">
      <c r="A34" s="38" t="s">
        <v>34</v>
      </c>
      <c r="B34" s="79">
        <v>2275600</v>
      </c>
      <c r="C34" s="81">
        <v>1518780</v>
      </c>
      <c r="D34" s="40">
        <f t="shared" si="0"/>
        <v>66.74195816487959</v>
      </c>
      <c r="E34" s="41">
        <f t="shared" si="1"/>
        <v>-756820</v>
      </c>
    </row>
    <row r="35" spans="1:5" ht="18.75" customHeight="1">
      <c r="A35" s="38" t="s">
        <v>218</v>
      </c>
      <c r="B35" s="79">
        <v>0</v>
      </c>
      <c r="C35" s="81">
        <v>0</v>
      </c>
      <c r="D35" s="40" t="str">
        <f>IF(B35=0,"   ",C35/B35*100)</f>
        <v>   </v>
      </c>
      <c r="E35" s="41">
        <f>C35-B35</f>
        <v>0</v>
      </c>
    </row>
    <row r="36" spans="1:5" ht="15.75" customHeight="1">
      <c r="A36" s="21" t="s">
        <v>139</v>
      </c>
      <c r="B36" s="80">
        <v>0</v>
      </c>
      <c r="C36" s="82">
        <v>0</v>
      </c>
      <c r="D36" s="40" t="str">
        <f t="shared" si="0"/>
        <v>   </v>
      </c>
      <c r="E36" s="41">
        <f t="shared" si="1"/>
        <v>0</v>
      </c>
    </row>
    <row r="37" spans="1:5" ht="35.25" customHeight="1">
      <c r="A37" s="52" t="s">
        <v>51</v>
      </c>
      <c r="B37" s="85">
        <v>103600</v>
      </c>
      <c r="C37" s="86">
        <v>74300</v>
      </c>
      <c r="D37" s="54">
        <f t="shared" si="0"/>
        <v>71.71814671814671</v>
      </c>
      <c r="E37" s="55">
        <f t="shared" si="1"/>
        <v>-29300</v>
      </c>
    </row>
    <row r="38" spans="1:5" ht="32.25" customHeight="1">
      <c r="A38" s="52" t="s">
        <v>140</v>
      </c>
      <c r="B38" s="85">
        <f>SUM(B39:B40)</f>
        <v>100</v>
      </c>
      <c r="C38" s="85">
        <f>SUM(C39:C40)</f>
        <v>100</v>
      </c>
      <c r="D38" s="54">
        <f t="shared" si="0"/>
        <v>100</v>
      </c>
      <c r="E38" s="55">
        <f t="shared" si="1"/>
        <v>0</v>
      </c>
    </row>
    <row r="39" spans="1:5" ht="15.75" customHeight="1">
      <c r="A39" s="52" t="s">
        <v>155</v>
      </c>
      <c r="B39" s="85">
        <v>100</v>
      </c>
      <c r="C39" s="85">
        <v>100</v>
      </c>
      <c r="D39" s="54">
        <f>IF(B39=0,"   ",C39/B39*100)</f>
        <v>100</v>
      </c>
      <c r="E39" s="55">
        <f>C39-B39</f>
        <v>0</v>
      </c>
    </row>
    <row r="40" spans="1:5" ht="24.75" customHeight="1">
      <c r="A40" s="52" t="s">
        <v>156</v>
      </c>
      <c r="B40" s="85">
        <v>0</v>
      </c>
      <c r="C40" s="85">
        <v>0</v>
      </c>
      <c r="D40" s="54" t="str">
        <f>IF(B40=0,"   ",C40/B40*100)</f>
        <v>   </v>
      </c>
      <c r="E40" s="55">
        <f>C40-B40</f>
        <v>0</v>
      </c>
    </row>
    <row r="41" spans="1:5" ht="26.25" customHeight="1">
      <c r="A41" s="21" t="s">
        <v>275</v>
      </c>
      <c r="B41" s="85">
        <v>0</v>
      </c>
      <c r="C41" s="85">
        <v>0</v>
      </c>
      <c r="D41" s="54" t="str">
        <f t="shared" si="0"/>
        <v>   </v>
      </c>
      <c r="E41" s="55">
        <f t="shared" si="1"/>
        <v>0</v>
      </c>
    </row>
    <row r="42" spans="1:5" ht="25.5" customHeight="1">
      <c r="A42" s="21" t="s">
        <v>332</v>
      </c>
      <c r="B42" s="85">
        <v>46800</v>
      </c>
      <c r="C42" s="85">
        <v>46800</v>
      </c>
      <c r="D42" s="54">
        <f t="shared" si="0"/>
        <v>100</v>
      </c>
      <c r="E42" s="55">
        <f t="shared" si="1"/>
        <v>0</v>
      </c>
    </row>
    <row r="43" spans="1:5" ht="54.75" customHeight="1">
      <c r="A43" s="21" t="s">
        <v>227</v>
      </c>
      <c r="B43" s="85">
        <v>637800</v>
      </c>
      <c r="C43" s="85">
        <v>637800</v>
      </c>
      <c r="D43" s="54">
        <f t="shared" si="0"/>
        <v>100</v>
      </c>
      <c r="E43" s="55">
        <f t="shared" si="1"/>
        <v>0</v>
      </c>
    </row>
    <row r="44" spans="1:5" ht="26.25" customHeight="1">
      <c r="A44" s="21" t="s">
        <v>253</v>
      </c>
      <c r="B44" s="85">
        <v>0</v>
      </c>
      <c r="C44" s="85">
        <v>0</v>
      </c>
      <c r="D44" s="54" t="str">
        <f t="shared" si="0"/>
        <v>   </v>
      </c>
      <c r="E44" s="55">
        <f t="shared" si="1"/>
        <v>0</v>
      </c>
    </row>
    <row r="45" spans="1:5" ht="16.5" customHeight="1">
      <c r="A45" s="21" t="s">
        <v>80</v>
      </c>
      <c r="B45" s="80">
        <f>B49+B46+B48+B47</f>
        <v>2877020</v>
      </c>
      <c r="C45" s="80">
        <f>C49+C46+C48+C47</f>
        <v>297006</v>
      </c>
      <c r="D45" s="40">
        <f t="shared" si="0"/>
        <v>10.323390174555616</v>
      </c>
      <c r="E45" s="41">
        <f t="shared" si="1"/>
        <v>-2580014</v>
      </c>
    </row>
    <row r="46" spans="1:5" ht="15" customHeight="1">
      <c r="A46" s="21" t="s">
        <v>179</v>
      </c>
      <c r="B46" s="80">
        <v>390400</v>
      </c>
      <c r="C46" s="80">
        <v>0</v>
      </c>
      <c r="D46" s="40">
        <f t="shared" si="0"/>
        <v>0</v>
      </c>
      <c r="E46" s="41">
        <f t="shared" si="1"/>
        <v>-390400</v>
      </c>
    </row>
    <row r="47" spans="1:5" ht="15" customHeight="1">
      <c r="A47" s="21" t="s">
        <v>299</v>
      </c>
      <c r="B47" s="80">
        <v>36900</v>
      </c>
      <c r="C47" s="80">
        <v>0</v>
      </c>
      <c r="D47" s="40">
        <f t="shared" si="0"/>
        <v>0</v>
      </c>
      <c r="E47" s="41">
        <f t="shared" si="1"/>
        <v>-36900</v>
      </c>
    </row>
    <row r="48" spans="1:5" ht="15" customHeight="1">
      <c r="A48" s="21" t="s">
        <v>270</v>
      </c>
      <c r="B48" s="80">
        <v>2019820</v>
      </c>
      <c r="C48" s="80">
        <v>0</v>
      </c>
      <c r="D48" s="40">
        <f>IF(B48=0,"   ",C48/B48*100)</f>
        <v>0</v>
      </c>
      <c r="E48" s="41">
        <f>C48-B48</f>
        <v>-2019820</v>
      </c>
    </row>
    <row r="49" spans="1:5" s="6" customFormat="1" ht="16.5" customHeight="1">
      <c r="A49" s="21" t="s">
        <v>104</v>
      </c>
      <c r="B49" s="80">
        <v>429900</v>
      </c>
      <c r="C49" s="80">
        <v>297006</v>
      </c>
      <c r="D49" s="36">
        <f t="shared" si="0"/>
        <v>69.08722958827634</v>
      </c>
      <c r="E49" s="41">
        <f t="shared" si="1"/>
        <v>-132894</v>
      </c>
    </row>
    <row r="50" spans="1:5" s="6" customFormat="1" ht="19.5" customHeight="1">
      <c r="A50" s="21" t="s">
        <v>189</v>
      </c>
      <c r="B50" s="80">
        <v>0</v>
      </c>
      <c r="C50" s="80">
        <v>0</v>
      </c>
      <c r="D50" s="36" t="str">
        <f>IF(B50=0,"   ",C50/B50*100)</f>
        <v>   </v>
      </c>
      <c r="E50" s="41">
        <f>C50-B50</f>
        <v>0</v>
      </c>
    </row>
    <row r="51" spans="1:5" ht="21.75" customHeight="1">
      <c r="A51" s="44" t="s">
        <v>11</v>
      </c>
      <c r="B51" s="83">
        <f>B32+B33</f>
        <v>7172243.3100000005</v>
      </c>
      <c r="C51" s="83">
        <f>C32+C33</f>
        <v>3175560.85</v>
      </c>
      <c r="D51" s="46">
        <f t="shared" si="0"/>
        <v>44.27569886777865</v>
      </c>
      <c r="E51" s="47">
        <f t="shared" si="1"/>
        <v>-3996682.4600000004</v>
      </c>
    </row>
    <row r="52" spans="1:5" ht="13.5">
      <c r="A52" s="44"/>
      <c r="B52" s="79"/>
      <c r="C52" s="80"/>
      <c r="D52" s="40" t="str">
        <f t="shared" si="0"/>
        <v>   </v>
      </c>
      <c r="E52" s="41"/>
    </row>
    <row r="53" spans="1:5" ht="15" thickBot="1">
      <c r="A53" s="87" t="s">
        <v>12</v>
      </c>
      <c r="B53" s="88"/>
      <c r="C53" s="89"/>
      <c r="D53" s="90" t="str">
        <f t="shared" si="0"/>
        <v>   </v>
      </c>
      <c r="E53" s="91"/>
    </row>
    <row r="54" spans="1:5" ht="14.25" thickBot="1">
      <c r="A54" s="92" t="s">
        <v>35</v>
      </c>
      <c r="B54" s="93">
        <f>SUM(B55,B58+B59)</f>
        <v>1335000</v>
      </c>
      <c r="C54" s="93">
        <f>SUM(C55,C58+C59)</f>
        <v>845869.2</v>
      </c>
      <c r="D54" s="94">
        <f t="shared" si="0"/>
        <v>63.36098876404495</v>
      </c>
      <c r="E54" s="95">
        <f t="shared" si="1"/>
        <v>-489130.80000000005</v>
      </c>
    </row>
    <row r="55" spans="1:5" ht="14.25" thickBot="1">
      <c r="A55" s="68" t="s">
        <v>36</v>
      </c>
      <c r="B55" s="96">
        <v>1324500</v>
      </c>
      <c r="C55" s="93">
        <v>845869.2</v>
      </c>
      <c r="D55" s="97">
        <f t="shared" si="0"/>
        <v>63.86328425821064</v>
      </c>
      <c r="E55" s="98">
        <f t="shared" si="1"/>
        <v>-478630.80000000005</v>
      </c>
    </row>
    <row r="56" spans="1:5" ht="13.5">
      <c r="A56" s="21" t="s">
        <v>115</v>
      </c>
      <c r="B56" s="36">
        <v>783410</v>
      </c>
      <c r="C56" s="99">
        <v>510591.06</v>
      </c>
      <c r="D56" s="40">
        <f t="shared" si="0"/>
        <v>65.17545857213975</v>
      </c>
      <c r="E56" s="41">
        <f t="shared" si="1"/>
        <v>-272818.94</v>
      </c>
    </row>
    <row r="57" spans="1:5" ht="13.5">
      <c r="A57" s="21" t="s">
        <v>334</v>
      </c>
      <c r="B57" s="36">
        <v>46800</v>
      </c>
      <c r="C57" s="99">
        <v>46800</v>
      </c>
      <c r="D57" s="40">
        <f>IF(B57=0,"   ",C57/B57*100)</f>
        <v>100</v>
      </c>
      <c r="E57" s="41">
        <f>C57-B57</f>
        <v>0</v>
      </c>
    </row>
    <row r="58" spans="1:5" ht="13.5">
      <c r="A58" s="21" t="s">
        <v>91</v>
      </c>
      <c r="B58" s="36">
        <v>500</v>
      </c>
      <c r="C58" s="99">
        <v>0</v>
      </c>
      <c r="D58" s="40">
        <f t="shared" si="0"/>
        <v>0</v>
      </c>
      <c r="E58" s="41">
        <f t="shared" si="1"/>
        <v>-500</v>
      </c>
    </row>
    <row r="59" spans="1:5" ht="13.5">
      <c r="A59" s="17" t="s">
        <v>53</v>
      </c>
      <c r="B59" s="36">
        <f>SUM(B60)</f>
        <v>10000</v>
      </c>
      <c r="C59" s="36">
        <f>SUM(C60)</f>
        <v>0</v>
      </c>
      <c r="D59" s="90">
        <f t="shared" si="0"/>
        <v>0</v>
      </c>
      <c r="E59" s="91">
        <f t="shared" si="1"/>
        <v>-10000</v>
      </c>
    </row>
    <row r="60" spans="1:5" ht="29.25" customHeight="1" thickBot="1">
      <c r="A60" s="17" t="s">
        <v>235</v>
      </c>
      <c r="B60" s="100">
        <v>10000</v>
      </c>
      <c r="C60" s="101">
        <v>0</v>
      </c>
      <c r="D60" s="90">
        <f t="shared" si="0"/>
        <v>0</v>
      </c>
      <c r="E60" s="91">
        <f t="shared" si="1"/>
        <v>-10000</v>
      </c>
    </row>
    <row r="61" spans="1:5" ht="14.25" thickBot="1">
      <c r="A61" s="92" t="s">
        <v>49</v>
      </c>
      <c r="B61" s="102">
        <f>SUM(B62)</f>
        <v>103600</v>
      </c>
      <c r="C61" s="102">
        <f>SUM(C62)</f>
        <v>60293.14</v>
      </c>
      <c r="D61" s="94">
        <f t="shared" si="0"/>
        <v>58.19801158301158</v>
      </c>
      <c r="E61" s="95">
        <f t="shared" si="1"/>
        <v>-43306.86</v>
      </c>
    </row>
    <row r="62" spans="1:5" ht="16.5" customHeight="1" thickBot="1">
      <c r="A62" s="60" t="s">
        <v>102</v>
      </c>
      <c r="B62" s="100">
        <v>103600</v>
      </c>
      <c r="C62" s="101">
        <v>60293.14</v>
      </c>
      <c r="D62" s="103">
        <f t="shared" si="0"/>
        <v>58.19801158301158</v>
      </c>
      <c r="E62" s="104">
        <f t="shared" si="1"/>
        <v>-43306.86</v>
      </c>
    </row>
    <row r="63" spans="1:5" ht="14.25" thickBot="1">
      <c r="A63" s="92" t="s">
        <v>37</v>
      </c>
      <c r="B63" s="93">
        <f>SUM(B64)</f>
        <v>5000</v>
      </c>
      <c r="C63" s="102">
        <f>SUM(C64)</f>
        <v>0</v>
      </c>
      <c r="D63" s="94">
        <f t="shared" si="0"/>
        <v>0</v>
      </c>
      <c r="E63" s="95">
        <f t="shared" si="1"/>
        <v>-5000</v>
      </c>
    </row>
    <row r="64" spans="1:5" ht="14.25" thickBot="1">
      <c r="A64" s="60" t="s">
        <v>325</v>
      </c>
      <c r="B64" s="100">
        <v>5000</v>
      </c>
      <c r="C64" s="101">
        <v>0</v>
      </c>
      <c r="D64" s="103">
        <f t="shared" si="0"/>
        <v>0</v>
      </c>
      <c r="E64" s="104">
        <f t="shared" si="1"/>
        <v>-5000</v>
      </c>
    </row>
    <row r="65" spans="1:5" ht="14.25" thickBot="1">
      <c r="A65" s="92" t="s">
        <v>38</v>
      </c>
      <c r="B65" s="93">
        <f>B66+B71+B73+B81</f>
        <v>1933958.8900000001</v>
      </c>
      <c r="C65" s="93">
        <f>C66+C71+C73+C81</f>
        <v>1128181.82</v>
      </c>
      <c r="D65" s="94">
        <f t="shared" si="0"/>
        <v>58.33535685962797</v>
      </c>
      <c r="E65" s="95">
        <f t="shared" si="1"/>
        <v>-805777.0700000001</v>
      </c>
    </row>
    <row r="66" spans="1:5" ht="15.75" customHeight="1" thickBot="1">
      <c r="A66" s="60" t="s">
        <v>167</v>
      </c>
      <c r="B66" s="93">
        <f>SUM(B67:B70)</f>
        <v>39200</v>
      </c>
      <c r="C66" s="93">
        <f>SUM(C67+C68)</f>
        <v>0</v>
      </c>
      <c r="D66" s="94">
        <f aca="true" t="shared" si="2" ref="D66:D72">IF(B66=0,"   ",C66/B66*100)</f>
        <v>0</v>
      </c>
      <c r="E66" s="95">
        <f aca="true" t="shared" si="3" ref="E66:E72">C66-B66</f>
        <v>-39200</v>
      </c>
    </row>
    <row r="67" spans="1:5" ht="18" customHeight="1" thickBot="1">
      <c r="A67" s="60" t="s">
        <v>158</v>
      </c>
      <c r="B67" s="105">
        <v>0</v>
      </c>
      <c r="C67" s="93">
        <v>0</v>
      </c>
      <c r="D67" s="94" t="str">
        <f t="shared" si="2"/>
        <v>   </v>
      </c>
      <c r="E67" s="95">
        <f t="shared" si="3"/>
        <v>0</v>
      </c>
    </row>
    <row r="68" spans="1:5" ht="18" customHeight="1" thickBot="1">
      <c r="A68" s="60" t="s">
        <v>180</v>
      </c>
      <c r="B68" s="96">
        <v>0</v>
      </c>
      <c r="C68" s="96">
        <v>0</v>
      </c>
      <c r="D68" s="94" t="str">
        <f t="shared" si="2"/>
        <v>   </v>
      </c>
      <c r="E68" s="95">
        <f t="shared" si="3"/>
        <v>0</v>
      </c>
    </row>
    <row r="69" spans="1:5" ht="18" customHeight="1" thickBot="1">
      <c r="A69" s="60" t="s">
        <v>300</v>
      </c>
      <c r="B69" s="36">
        <v>36900</v>
      </c>
      <c r="C69" s="36">
        <v>0</v>
      </c>
      <c r="D69" s="94">
        <f t="shared" si="2"/>
        <v>0</v>
      </c>
      <c r="E69" s="95">
        <f t="shared" si="3"/>
        <v>-36900</v>
      </c>
    </row>
    <row r="70" spans="1:5" ht="18" customHeight="1" thickBot="1">
      <c r="A70" s="60" t="s">
        <v>301</v>
      </c>
      <c r="B70" s="36">
        <v>2300</v>
      </c>
      <c r="C70" s="36">
        <v>0</v>
      </c>
      <c r="D70" s="94">
        <f t="shared" si="2"/>
        <v>0</v>
      </c>
      <c r="E70" s="95">
        <f t="shared" si="3"/>
        <v>-2300</v>
      </c>
    </row>
    <row r="71" spans="1:5" ht="18" customHeight="1" thickBot="1">
      <c r="A71" s="60" t="s">
        <v>220</v>
      </c>
      <c r="B71" s="106">
        <f>SUM(B72)</f>
        <v>0</v>
      </c>
      <c r="C71" s="106">
        <f>SUM(C72)</f>
        <v>0</v>
      </c>
      <c r="D71" s="94" t="str">
        <f t="shared" si="2"/>
        <v>   </v>
      </c>
      <c r="E71" s="95">
        <f t="shared" si="3"/>
        <v>0</v>
      </c>
    </row>
    <row r="72" spans="1:5" ht="18" customHeight="1" thickBot="1">
      <c r="A72" s="60" t="s">
        <v>221</v>
      </c>
      <c r="B72" s="96">
        <v>0</v>
      </c>
      <c r="C72" s="96">
        <v>0</v>
      </c>
      <c r="D72" s="94" t="str">
        <f t="shared" si="2"/>
        <v>   </v>
      </c>
      <c r="E72" s="95">
        <f t="shared" si="3"/>
        <v>0</v>
      </c>
    </row>
    <row r="73" spans="1:5" ht="13.5">
      <c r="A73" s="68" t="s">
        <v>124</v>
      </c>
      <c r="B73" s="96">
        <f>SUM(B74:B80)</f>
        <v>1834758.8900000001</v>
      </c>
      <c r="C73" s="96">
        <f>SUM(C74:C80)</f>
        <v>1128181.82</v>
      </c>
      <c r="D73" s="97">
        <f t="shared" si="0"/>
        <v>61.489377495263156</v>
      </c>
      <c r="E73" s="98">
        <f t="shared" si="1"/>
        <v>-706577.0700000001</v>
      </c>
    </row>
    <row r="74" spans="1:5" ht="19.5" customHeight="1">
      <c r="A74" s="60" t="s">
        <v>141</v>
      </c>
      <c r="B74" s="36">
        <v>421100</v>
      </c>
      <c r="C74" s="36">
        <v>0</v>
      </c>
      <c r="D74" s="97">
        <f t="shared" si="0"/>
        <v>0</v>
      </c>
      <c r="E74" s="98">
        <f t="shared" si="1"/>
        <v>-421100</v>
      </c>
    </row>
    <row r="75" spans="1:5" ht="27">
      <c r="A75" s="17" t="s">
        <v>238</v>
      </c>
      <c r="B75" s="36">
        <v>227258.89</v>
      </c>
      <c r="C75" s="36">
        <v>89475.82</v>
      </c>
      <c r="D75" s="40">
        <f t="shared" si="0"/>
        <v>39.3717579101086</v>
      </c>
      <c r="E75" s="107">
        <f t="shared" si="1"/>
        <v>-137783.07</v>
      </c>
    </row>
    <row r="76" spans="1:5" ht="27">
      <c r="A76" s="17" t="s">
        <v>239</v>
      </c>
      <c r="B76" s="36">
        <v>0</v>
      </c>
      <c r="C76" s="36">
        <v>0</v>
      </c>
      <c r="D76" s="40" t="str">
        <f t="shared" si="0"/>
        <v>   </v>
      </c>
      <c r="E76" s="107">
        <f t="shared" si="1"/>
        <v>0</v>
      </c>
    </row>
    <row r="77" spans="1:5" ht="27">
      <c r="A77" s="17" t="s">
        <v>240</v>
      </c>
      <c r="B77" s="36">
        <v>637800</v>
      </c>
      <c r="C77" s="36">
        <v>637800</v>
      </c>
      <c r="D77" s="40">
        <f t="shared" si="0"/>
        <v>100</v>
      </c>
      <c r="E77" s="107">
        <f t="shared" si="1"/>
        <v>0</v>
      </c>
    </row>
    <row r="78" spans="1:5" ht="27">
      <c r="A78" s="17" t="s">
        <v>241</v>
      </c>
      <c r="B78" s="36">
        <v>70900</v>
      </c>
      <c r="C78" s="36">
        <v>70900</v>
      </c>
      <c r="D78" s="40">
        <f t="shared" si="0"/>
        <v>100</v>
      </c>
      <c r="E78" s="107">
        <f t="shared" si="1"/>
        <v>0</v>
      </c>
    </row>
    <row r="79" spans="1:5" ht="27">
      <c r="A79" s="17" t="s">
        <v>242</v>
      </c>
      <c r="B79" s="36">
        <v>429900</v>
      </c>
      <c r="C79" s="36">
        <v>297006</v>
      </c>
      <c r="D79" s="40">
        <f t="shared" si="0"/>
        <v>69.08722958827634</v>
      </c>
      <c r="E79" s="107">
        <f t="shared" si="1"/>
        <v>-132894</v>
      </c>
    </row>
    <row r="80" spans="1:5" ht="27.75" thickBot="1">
      <c r="A80" s="17" t="s">
        <v>243</v>
      </c>
      <c r="B80" s="108">
        <v>47800</v>
      </c>
      <c r="C80" s="108">
        <v>33000</v>
      </c>
      <c r="D80" s="90">
        <f t="shared" si="0"/>
        <v>69.0376569037657</v>
      </c>
      <c r="E80" s="91">
        <f t="shared" si="1"/>
        <v>-14800</v>
      </c>
    </row>
    <row r="81" spans="1:5" ht="13.5">
      <c r="A81" s="68" t="s">
        <v>168</v>
      </c>
      <c r="B81" s="109">
        <f>SUM(B82+B83)</f>
        <v>60000</v>
      </c>
      <c r="C81" s="109">
        <f>SUM(C82+C83)</f>
        <v>0</v>
      </c>
      <c r="D81" s="90">
        <f>IF(B81=0,"   ",C81/B81*100)</f>
        <v>0</v>
      </c>
      <c r="E81" s="91">
        <f>C81-B81</f>
        <v>-60000</v>
      </c>
    </row>
    <row r="82" spans="1:5" ht="27">
      <c r="A82" s="62" t="s">
        <v>147</v>
      </c>
      <c r="B82" s="36">
        <v>10000</v>
      </c>
      <c r="C82" s="36">
        <v>0</v>
      </c>
      <c r="D82" s="40">
        <f>IF(B82=0,"   ",C82/B82*100)</f>
        <v>0</v>
      </c>
      <c r="E82" s="107">
        <f>C82-B82</f>
        <v>-10000</v>
      </c>
    </row>
    <row r="83" spans="1:5" ht="27">
      <c r="A83" s="62" t="s">
        <v>169</v>
      </c>
      <c r="B83" s="36">
        <v>50000</v>
      </c>
      <c r="C83" s="36">
        <v>0</v>
      </c>
      <c r="D83" s="40">
        <f>IF(B83=0,"   ",C83/B83*100)</f>
        <v>0</v>
      </c>
      <c r="E83" s="107">
        <f>C83-B83</f>
        <v>-50000</v>
      </c>
    </row>
    <row r="84" spans="1:5" ht="13.5" customHeight="1">
      <c r="A84" s="62" t="s">
        <v>13</v>
      </c>
      <c r="B84" s="36">
        <f>SUM(B95,B94,B85+B103)</f>
        <v>3303313.5999999996</v>
      </c>
      <c r="C84" s="36">
        <f>SUM(C95,C94,C85+C103)</f>
        <v>262935.36</v>
      </c>
      <c r="D84" s="40">
        <f t="shared" si="0"/>
        <v>7.959745632385615</v>
      </c>
      <c r="E84" s="107">
        <f t="shared" si="1"/>
        <v>-3040378.2399999998</v>
      </c>
    </row>
    <row r="85" spans="1:5" ht="13.5" customHeight="1" thickBot="1">
      <c r="A85" s="68" t="s">
        <v>142</v>
      </c>
      <c r="B85" s="96">
        <f>SUM(B86+B87+B88+B89+B90)</f>
        <v>2403439.3</v>
      </c>
      <c r="C85" s="96">
        <f>SUM(C86+C87+C88+C89+C90)</f>
        <v>116216.76</v>
      </c>
      <c r="D85" s="110">
        <f t="shared" si="0"/>
        <v>4.835435619281086</v>
      </c>
      <c r="E85" s="104">
        <f t="shared" si="1"/>
        <v>-2287222.54</v>
      </c>
    </row>
    <row r="86" spans="1:5" ht="30.75" customHeight="1" thickBot="1">
      <c r="A86" s="21" t="s">
        <v>186</v>
      </c>
      <c r="B86" s="96">
        <v>10000</v>
      </c>
      <c r="C86" s="96">
        <v>5116.76</v>
      </c>
      <c r="D86" s="94">
        <f t="shared" si="0"/>
        <v>51.1676</v>
      </c>
      <c r="E86" s="107">
        <f t="shared" si="1"/>
        <v>-4883.24</v>
      </c>
    </row>
    <row r="87" spans="1:5" ht="18" customHeight="1" thickBot="1">
      <c r="A87" s="21" t="s">
        <v>273</v>
      </c>
      <c r="B87" s="96">
        <v>2019820</v>
      </c>
      <c r="C87" s="96">
        <v>0</v>
      </c>
      <c r="D87" s="94">
        <f aca="true" t="shared" si="4" ref="D87:D93">IF(B87=0,"   ",C87/B87*100)</f>
        <v>0</v>
      </c>
      <c r="E87" s="107">
        <f aca="true" t="shared" si="5" ref="E87:E93">C87-B87</f>
        <v>-2019820</v>
      </c>
    </row>
    <row r="88" spans="1:5" ht="18" customHeight="1" thickBot="1">
      <c r="A88" s="17" t="s">
        <v>312</v>
      </c>
      <c r="B88" s="96">
        <v>142320</v>
      </c>
      <c r="C88" s="96">
        <v>0</v>
      </c>
      <c r="D88" s="94">
        <f t="shared" si="4"/>
        <v>0</v>
      </c>
      <c r="E88" s="107">
        <f t="shared" si="5"/>
        <v>-142320</v>
      </c>
    </row>
    <row r="89" spans="1:5" ht="18" customHeight="1" thickBot="1">
      <c r="A89" s="21" t="s">
        <v>326</v>
      </c>
      <c r="B89" s="96">
        <v>231299.3</v>
      </c>
      <c r="C89" s="96">
        <v>111100</v>
      </c>
      <c r="D89" s="94">
        <f t="shared" si="4"/>
        <v>48.03300312625244</v>
      </c>
      <c r="E89" s="107">
        <f t="shared" si="5"/>
        <v>-120199.29999999999</v>
      </c>
    </row>
    <row r="90" spans="1:5" ht="19.5" customHeight="1" thickBot="1">
      <c r="A90" s="17" t="s">
        <v>196</v>
      </c>
      <c r="B90" s="96">
        <f>SUM(B91+B92+B93)</f>
        <v>0</v>
      </c>
      <c r="C90" s="96">
        <f>SUM(C91+C92+C93)</f>
        <v>0</v>
      </c>
      <c r="D90" s="94" t="str">
        <f t="shared" si="4"/>
        <v>   </v>
      </c>
      <c r="E90" s="107">
        <f t="shared" si="5"/>
        <v>0</v>
      </c>
    </row>
    <row r="91" spans="1:5" ht="30.75" customHeight="1" thickBot="1">
      <c r="A91" s="17" t="s">
        <v>206</v>
      </c>
      <c r="B91" s="96">
        <v>0</v>
      </c>
      <c r="C91" s="96">
        <v>0</v>
      </c>
      <c r="D91" s="94" t="str">
        <f t="shared" si="4"/>
        <v>   </v>
      </c>
      <c r="E91" s="107">
        <f t="shared" si="5"/>
        <v>0</v>
      </c>
    </row>
    <row r="92" spans="1:5" ht="30.75" customHeight="1" thickBot="1">
      <c r="A92" s="17" t="s">
        <v>197</v>
      </c>
      <c r="B92" s="96">
        <v>0</v>
      </c>
      <c r="C92" s="96">
        <v>0</v>
      </c>
      <c r="D92" s="94" t="str">
        <f t="shared" si="4"/>
        <v>   </v>
      </c>
      <c r="E92" s="107">
        <f t="shared" si="5"/>
        <v>0</v>
      </c>
    </row>
    <row r="93" spans="1:5" ht="30.75" customHeight="1" thickBot="1">
      <c r="A93" s="17" t="s">
        <v>207</v>
      </c>
      <c r="B93" s="96">
        <v>0</v>
      </c>
      <c r="C93" s="96">
        <v>0</v>
      </c>
      <c r="D93" s="94" t="str">
        <f t="shared" si="4"/>
        <v>   </v>
      </c>
      <c r="E93" s="107">
        <f t="shared" si="5"/>
        <v>0</v>
      </c>
    </row>
    <row r="94" spans="1:5" ht="13.5" customHeight="1" thickBot="1">
      <c r="A94" s="68" t="s">
        <v>84</v>
      </c>
      <c r="B94" s="96">
        <v>0</v>
      </c>
      <c r="C94" s="96">
        <v>0</v>
      </c>
      <c r="D94" s="94" t="str">
        <f t="shared" si="0"/>
        <v>   </v>
      </c>
      <c r="E94" s="107">
        <f t="shared" si="1"/>
        <v>0</v>
      </c>
    </row>
    <row r="95" spans="1:5" ht="13.5">
      <c r="A95" s="21" t="s">
        <v>58</v>
      </c>
      <c r="B95" s="36">
        <f>B96+B101+B97+B102</f>
        <v>899774.2999999999</v>
      </c>
      <c r="C95" s="36">
        <f>C96+C101+C97+C102</f>
        <v>146618.6</v>
      </c>
      <c r="D95" s="40">
        <f t="shared" si="0"/>
        <v>16.2950419899746</v>
      </c>
      <c r="E95" s="41">
        <f t="shared" si="1"/>
        <v>-753155.7</v>
      </c>
    </row>
    <row r="96" spans="1:5" ht="13.5">
      <c r="A96" s="21" t="s">
        <v>56</v>
      </c>
      <c r="B96" s="36">
        <v>170000</v>
      </c>
      <c r="C96" s="107">
        <v>67491.5</v>
      </c>
      <c r="D96" s="40">
        <f t="shared" si="0"/>
        <v>39.70088235294117</v>
      </c>
      <c r="E96" s="41">
        <f t="shared" si="1"/>
        <v>-102508.5</v>
      </c>
    </row>
    <row r="97" spans="1:5" ht="13.5">
      <c r="A97" s="17" t="s">
        <v>196</v>
      </c>
      <c r="B97" s="36">
        <f>SUM(B98:B100)</f>
        <v>650647.2</v>
      </c>
      <c r="C97" s="36">
        <f>SUM(C98:C100)</f>
        <v>0</v>
      </c>
      <c r="D97" s="90">
        <f t="shared" si="0"/>
        <v>0</v>
      </c>
      <c r="E97" s="91">
        <f t="shared" si="1"/>
        <v>-650647.2</v>
      </c>
    </row>
    <row r="98" spans="1:5" ht="27">
      <c r="A98" s="17" t="s">
        <v>203</v>
      </c>
      <c r="B98" s="36">
        <v>390400</v>
      </c>
      <c r="C98" s="107">
        <v>0</v>
      </c>
      <c r="D98" s="90">
        <f t="shared" si="0"/>
        <v>0</v>
      </c>
      <c r="E98" s="91">
        <f t="shared" si="1"/>
        <v>-390400</v>
      </c>
    </row>
    <row r="99" spans="1:5" ht="27">
      <c r="A99" s="17" t="s">
        <v>204</v>
      </c>
      <c r="B99" s="36">
        <v>130123.6</v>
      </c>
      <c r="C99" s="107">
        <v>0</v>
      </c>
      <c r="D99" s="90">
        <f t="shared" si="0"/>
        <v>0</v>
      </c>
      <c r="E99" s="91">
        <f t="shared" si="1"/>
        <v>-130123.6</v>
      </c>
    </row>
    <row r="100" spans="1:5" ht="27">
      <c r="A100" s="17" t="s">
        <v>205</v>
      </c>
      <c r="B100" s="36">
        <v>130123.6</v>
      </c>
      <c r="C100" s="107">
        <v>0</v>
      </c>
      <c r="D100" s="90">
        <f t="shared" si="0"/>
        <v>0</v>
      </c>
      <c r="E100" s="91">
        <f t="shared" si="1"/>
        <v>-130123.6</v>
      </c>
    </row>
    <row r="101" spans="1:5" ht="13.5">
      <c r="A101" s="17" t="s">
        <v>59</v>
      </c>
      <c r="B101" s="36">
        <v>79127.1</v>
      </c>
      <c r="C101" s="107">
        <v>79127.1</v>
      </c>
      <c r="D101" s="40">
        <f t="shared" si="0"/>
        <v>100</v>
      </c>
      <c r="E101" s="107">
        <f t="shared" si="1"/>
        <v>0</v>
      </c>
    </row>
    <row r="102" spans="1:5" ht="27.75" thickBot="1">
      <c r="A102" s="17" t="s">
        <v>274</v>
      </c>
      <c r="B102" s="36">
        <v>0</v>
      </c>
      <c r="C102" s="107">
        <v>0</v>
      </c>
      <c r="D102" s="40" t="str">
        <f t="shared" si="0"/>
        <v>   </v>
      </c>
      <c r="E102" s="107">
        <f t="shared" si="1"/>
        <v>0</v>
      </c>
    </row>
    <row r="103" spans="1:5" ht="14.25" thickBot="1">
      <c r="A103" s="62" t="s">
        <v>311</v>
      </c>
      <c r="B103" s="111">
        <f>SUM(B104)</f>
        <v>100</v>
      </c>
      <c r="C103" s="111">
        <f>SUM(C104)</f>
        <v>100</v>
      </c>
      <c r="D103" s="40">
        <f>IF(B103=0,"   ",C103/B103*100)</f>
        <v>100</v>
      </c>
      <c r="E103" s="107">
        <f>C103-B103</f>
        <v>0</v>
      </c>
    </row>
    <row r="104" spans="1:5" ht="13.5">
      <c r="A104" s="62" t="s">
        <v>262</v>
      </c>
      <c r="B104" s="36">
        <v>100</v>
      </c>
      <c r="C104" s="99">
        <v>100</v>
      </c>
      <c r="D104" s="40">
        <f>IF(B104=0,"   ",C104/B104*100)</f>
        <v>100</v>
      </c>
      <c r="E104" s="107">
        <f>C104-B104</f>
        <v>0</v>
      </c>
    </row>
    <row r="105" spans="1:5" ht="14.25" thickBot="1">
      <c r="A105" s="112" t="s">
        <v>17</v>
      </c>
      <c r="B105" s="106">
        <v>8000</v>
      </c>
      <c r="C105" s="106">
        <v>0</v>
      </c>
      <c r="D105" s="110">
        <f t="shared" si="0"/>
        <v>0</v>
      </c>
      <c r="E105" s="113">
        <f t="shared" si="1"/>
        <v>-8000</v>
      </c>
    </row>
    <row r="106" spans="1:5" ht="14.25" thickBot="1">
      <c r="A106" s="92" t="s">
        <v>41</v>
      </c>
      <c r="B106" s="111">
        <f>B107</f>
        <v>623500</v>
      </c>
      <c r="C106" s="111">
        <f>C107</f>
        <v>623500</v>
      </c>
      <c r="D106" s="94">
        <f t="shared" si="0"/>
        <v>100</v>
      </c>
      <c r="E106" s="95">
        <f t="shared" si="1"/>
        <v>0</v>
      </c>
    </row>
    <row r="107" spans="1:5" ht="13.5">
      <c r="A107" s="68" t="s">
        <v>42</v>
      </c>
      <c r="B107" s="96">
        <f>SUM(B108+B110+B109)</f>
        <v>623500</v>
      </c>
      <c r="C107" s="96">
        <f>SUM(C108+C110+C109)</f>
        <v>623500</v>
      </c>
      <c r="D107" s="97">
        <f t="shared" si="0"/>
        <v>100</v>
      </c>
      <c r="E107" s="98">
        <f t="shared" si="1"/>
        <v>0</v>
      </c>
    </row>
    <row r="108" spans="1:5" ht="13.5">
      <c r="A108" s="21" t="s">
        <v>135</v>
      </c>
      <c r="B108" s="100">
        <v>623500</v>
      </c>
      <c r="C108" s="101">
        <v>623500</v>
      </c>
      <c r="D108" s="103">
        <f t="shared" si="0"/>
        <v>100</v>
      </c>
      <c r="E108" s="104">
        <f t="shared" si="1"/>
        <v>0</v>
      </c>
    </row>
    <row r="109" spans="1:5" ht="13.5">
      <c r="A109" s="68" t="s">
        <v>280</v>
      </c>
      <c r="B109" s="100">
        <v>0</v>
      </c>
      <c r="C109" s="101">
        <v>0</v>
      </c>
      <c r="D109" s="103" t="str">
        <f t="shared" si="0"/>
        <v>   </v>
      </c>
      <c r="E109" s="114">
        <f t="shared" si="1"/>
        <v>0</v>
      </c>
    </row>
    <row r="110" spans="1:5" ht="21.75" customHeight="1" thickBot="1">
      <c r="A110" s="21" t="s">
        <v>244</v>
      </c>
      <c r="B110" s="36">
        <v>0</v>
      </c>
      <c r="C110" s="107">
        <v>0</v>
      </c>
      <c r="D110" s="40" t="str">
        <f t="shared" si="0"/>
        <v>   </v>
      </c>
      <c r="E110" s="107">
        <f t="shared" si="1"/>
        <v>0</v>
      </c>
    </row>
    <row r="111" spans="1:5" ht="14.25" thickBot="1">
      <c r="A111" s="92" t="s">
        <v>119</v>
      </c>
      <c r="B111" s="106">
        <f>SUM(B112,)</f>
        <v>8000</v>
      </c>
      <c r="C111" s="106">
        <f>SUM(C112,)</f>
        <v>0</v>
      </c>
      <c r="D111" s="110">
        <f t="shared" si="0"/>
        <v>0</v>
      </c>
      <c r="E111" s="113">
        <f t="shared" si="1"/>
        <v>-8000</v>
      </c>
    </row>
    <row r="112" spans="1:5" ht="13.5">
      <c r="A112" s="60" t="s">
        <v>43</v>
      </c>
      <c r="B112" s="100">
        <v>8000</v>
      </c>
      <c r="C112" s="115">
        <v>0</v>
      </c>
      <c r="D112" s="103">
        <f t="shared" si="0"/>
        <v>0</v>
      </c>
      <c r="E112" s="104">
        <f t="shared" si="1"/>
        <v>-8000</v>
      </c>
    </row>
    <row r="113" spans="1:5" ht="27" customHeight="1">
      <c r="A113" s="44" t="s">
        <v>15</v>
      </c>
      <c r="B113" s="116">
        <f>SUM(B54,B61,B63,B65,B84,B105,B106,B111,)</f>
        <v>7320372.49</v>
      </c>
      <c r="C113" s="116">
        <f>SUM(C54,C61,C63,C65,C84,C105,C106,C111,)</f>
        <v>2920779.52</v>
      </c>
      <c r="D113" s="46">
        <f>IF(B113=0,"   ",C113/B113*100)</f>
        <v>39.89932922115552</v>
      </c>
      <c r="E113" s="47">
        <f>C113-B113</f>
        <v>-4399592.970000001</v>
      </c>
    </row>
    <row r="114" spans="1:5" s="13" customFormat="1" ht="42.75" customHeight="1">
      <c r="A114" s="71" t="s">
        <v>291</v>
      </c>
      <c r="B114" s="71"/>
      <c r="C114" s="165"/>
      <c r="D114" s="165"/>
      <c r="E114" s="165"/>
    </row>
    <row r="115" spans="1:5" s="13" customFormat="1" ht="18.75" customHeight="1">
      <c r="A115" s="71" t="s">
        <v>146</v>
      </c>
      <c r="B115" s="71"/>
      <c r="C115" s="72" t="s">
        <v>292</v>
      </c>
      <c r="D115" s="73"/>
      <c r="E115" s="74"/>
    </row>
    <row r="116" spans="1:5" ht="13.5">
      <c r="A116" s="71"/>
      <c r="B116" s="71"/>
      <c r="C116" s="117"/>
      <c r="D116" s="71"/>
      <c r="E116" s="118"/>
    </row>
    <row r="117" spans="1:5" ht="13.5">
      <c r="A117" s="71"/>
      <c r="B117" s="71"/>
      <c r="C117" s="117"/>
      <c r="D117" s="71"/>
      <c r="E117" s="118"/>
    </row>
    <row r="118" spans="1:5" ht="13.5">
      <c r="A118" s="119"/>
      <c r="B118" s="119"/>
      <c r="C118" s="120"/>
      <c r="D118" s="119"/>
      <c r="E118" s="121"/>
    </row>
    <row r="119" spans="1:5" ht="13.5">
      <c r="A119" s="119"/>
      <c r="B119" s="119"/>
      <c r="C119" s="120"/>
      <c r="D119" s="119"/>
      <c r="E119" s="121"/>
    </row>
    <row r="120" spans="1:5" ht="13.5">
      <c r="A120" s="122"/>
      <c r="B120" s="122"/>
      <c r="C120" s="122"/>
      <c r="D120" s="122"/>
      <c r="E120" s="122"/>
    </row>
    <row r="121" spans="1:5" ht="13.5">
      <c r="A121" s="122"/>
      <c r="B121" s="122"/>
      <c r="C121" s="122"/>
      <c r="D121" s="122"/>
      <c r="E121" s="122"/>
    </row>
    <row r="122" spans="1:5" ht="13.5">
      <c r="A122" s="122"/>
      <c r="B122" s="122"/>
      <c r="C122" s="122"/>
      <c r="D122" s="122"/>
      <c r="E122" s="122"/>
    </row>
    <row r="123" spans="1:5" ht="13.5">
      <c r="A123" s="122"/>
      <c r="B123" s="122"/>
      <c r="C123" s="122"/>
      <c r="D123" s="122"/>
      <c r="E123" s="122"/>
    </row>
    <row r="124" spans="1:5" ht="13.5">
      <c r="A124" s="122"/>
      <c r="B124" s="122"/>
      <c r="C124" s="122"/>
      <c r="D124" s="122"/>
      <c r="E124" s="122"/>
    </row>
    <row r="125" spans="1:5" ht="13.5">
      <c r="A125" s="122"/>
      <c r="B125" s="122"/>
      <c r="C125" s="122"/>
      <c r="D125" s="122"/>
      <c r="E125" s="122"/>
    </row>
    <row r="126" spans="1:5" ht="13.5">
      <c r="A126" s="122"/>
      <c r="B126" s="122"/>
      <c r="C126" s="122"/>
      <c r="D126" s="122"/>
      <c r="E126" s="122"/>
    </row>
    <row r="127" spans="1:5" ht="13.5">
      <c r="A127" s="122"/>
      <c r="B127" s="122"/>
      <c r="C127" s="122"/>
      <c r="D127" s="122"/>
      <c r="E127" s="122"/>
    </row>
    <row r="128" spans="1:5" ht="13.5">
      <c r="A128" s="122"/>
      <c r="B128" s="122"/>
      <c r="C128" s="122"/>
      <c r="D128" s="122"/>
      <c r="E128" s="122"/>
    </row>
    <row r="129" spans="1:5" ht="13.5">
      <c r="A129" s="122"/>
      <c r="B129" s="122"/>
      <c r="C129" s="122"/>
      <c r="D129" s="122"/>
      <c r="E129" s="122"/>
    </row>
    <row r="130" spans="1:5" ht="13.5">
      <c r="A130" s="122"/>
      <c r="B130" s="122"/>
      <c r="C130" s="122"/>
      <c r="D130" s="122"/>
      <c r="E130" s="122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</sheetData>
  <sheetProtection/>
  <mergeCells count="2">
    <mergeCell ref="A1:E1"/>
    <mergeCell ref="C114:E114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SheetLayoutView="100" zoomScalePageLayoutView="0" workbookViewId="0" topLeftCell="A25">
      <selection activeCell="C42" sqref="C42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3.5">
      <c r="A1" s="166" t="s">
        <v>340</v>
      </c>
      <c r="B1" s="166"/>
      <c r="C1" s="166"/>
      <c r="D1" s="166"/>
      <c r="E1" s="166"/>
    </row>
    <row r="2" spans="1:5" ht="14.25" thickBot="1">
      <c r="A2" s="22"/>
      <c r="B2" s="22"/>
      <c r="C2" s="23"/>
      <c r="D2" s="22"/>
      <c r="E2" s="22" t="s">
        <v>0</v>
      </c>
    </row>
    <row r="3" spans="1:5" ht="76.5" customHeight="1">
      <c r="A3" s="24" t="s">
        <v>1</v>
      </c>
      <c r="B3" s="25" t="s">
        <v>293</v>
      </c>
      <c r="C3" s="26" t="s">
        <v>341</v>
      </c>
      <c r="D3" s="25" t="s">
        <v>294</v>
      </c>
      <c r="E3" s="27" t="s">
        <v>297</v>
      </c>
    </row>
    <row r="4" spans="1:5" ht="13.5">
      <c r="A4" s="28">
        <v>1</v>
      </c>
      <c r="B4" s="29">
        <v>2</v>
      </c>
      <c r="C4" s="78">
        <v>3</v>
      </c>
      <c r="D4" s="31">
        <v>4</v>
      </c>
      <c r="E4" s="32">
        <v>5</v>
      </c>
    </row>
    <row r="5" spans="1:5" ht="14.25">
      <c r="A5" s="33" t="s">
        <v>2</v>
      </c>
      <c r="B5" s="34"/>
      <c r="C5" s="35"/>
      <c r="D5" s="36"/>
      <c r="E5" s="37"/>
    </row>
    <row r="6" spans="1:5" ht="15" customHeight="1">
      <c r="A6" s="38" t="s">
        <v>45</v>
      </c>
      <c r="B6" s="143">
        <f>SUM(B7)</f>
        <v>56900</v>
      </c>
      <c r="C6" s="143">
        <f>SUM(C7)</f>
        <v>62612.85</v>
      </c>
      <c r="D6" s="40">
        <f aca="true" t="shared" si="0" ref="D6:D103">IF(B6=0,"   ",C6/B6*100)</f>
        <v>110.04015817223198</v>
      </c>
      <c r="E6" s="41">
        <f aca="true" t="shared" si="1" ref="E6:E104">C6-B6</f>
        <v>5712.8499999999985</v>
      </c>
    </row>
    <row r="7" spans="1:5" ht="15" customHeight="1">
      <c r="A7" s="21" t="s">
        <v>44</v>
      </c>
      <c r="B7" s="36">
        <v>56900</v>
      </c>
      <c r="C7" s="144">
        <v>62612.85</v>
      </c>
      <c r="D7" s="40">
        <f t="shared" si="0"/>
        <v>110.04015817223198</v>
      </c>
      <c r="E7" s="41">
        <f t="shared" si="1"/>
        <v>5712.8499999999985</v>
      </c>
    </row>
    <row r="8" spans="1:5" ht="15.75" customHeight="1">
      <c r="A8" s="38" t="s">
        <v>129</v>
      </c>
      <c r="B8" s="143">
        <f>SUM(B9)</f>
        <v>398000</v>
      </c>
      <c r="C8" s="143">
        <f>SUM(C9)</f>
        <v>268701.93</v>
      </c>
      <c r="D8" s="40">
        <f t="shared" si="0"/>
        <v>67.51304773869347</v>
      </c>
      <c r="E8" s="41">
        <f t="shared" si="1"/>
        <v>-129298.07</v>
      </c>
    </row>
    <row r="9" spans="1:5" ht="15" customHeight="1">
      <c r="A9" s="21" t="s">
        <v>130</v>
      </c>
      <c r="B9" s="36">
        <v>398000</v>
      </c>
      <c r="C9" s="144">
        <v>268701.93</v>
      </c>
      <c r="D9" s="40">
        <f t="shared" si="0"/>
        <v>67.51304773869347</v>
      </c>
      <c r="E9" s="41">
        <f t="shared" si="1"/>
        <v>-129298.07</v>
      </c>
    </row>
    <row r="10" spans="1:5" ht="16.5" customHeight="1">
      <c r="A10" s="21" t="s">
        <v>7</v>
      </c>
      <c r="B10" s="36">
        <f>B11</f>
        <v>20800</v>
      </c>
      <c r="C10" s="36">
        <f>C11</f>
        <v>18084.69</v>
      </c>
      <c r="D10" s="40">
        <f t="shared" si="0"/>
        <v>86.94562499999999</v>
      </c>
      <c r="E10" s="41">
        <f t="shared" si="1"/>
        <v>-2715.3100000000013</v>
      </c>
    </row>
    <row r="11" spans="1:5" ht="15" customHeight="1">
      <c r="A11" s="21" t="s">
        <v>26</v>
      </c>
      <c r="B11" s="36">
        <v>20800</v>
      </c>
      <c r="C11" s="144">
        <v>18084.69</v>
      </c>
      <c r="D11" s="40">
        <f t="shared" si="0"/>
        <v>86.94562499999999</v>
      </c>
      <c r="E11" s="41">
        <f t="shared" si="1"/>
        <v>-2715.3100000000013</v>
      </c>
    </row>
    <row r="12" spans="1:5" ht="15" customHeight="1">
      <c r="A12" s="21" t="s">
        <v>9</v>
      </c>
      <c r="B12" s="36">
        <f>SUM(B13:B14)</f>
        <v>212000</v>
      </c>
      <c r="C12" s="36">
        <f>SUM(C13:C14)</f>
        <v>17227.78</v>
      </c>
      <c r="D12" s="40">
        <f t="shared" si="0"/>
        <v>8.126311320754716</v>
      </c>
      <c r="E12" s="41">
        <f t="shared" si="1"/>
        <v>-194772.22</v>
      </c>
    </row>
    <row r="13" spans="1:5" ht="12.75" customHeight="1">
      <c r="A13" s="21" t="s">
        <v>27</v>
      </c>
      <c r="B13" s="36">
        <v>92000</v>
      </c>
      <c r="C13" s="144">
        <v>3571.99</v>
      </c>
      <c r="D13" s="40">
        <f t="shared" si="0"/>
        <v>3.8825978260869567</v>
      </c>
      <c r="E13" s="41">
        <f t="shared" si="1"/>
        <v>-88428.01</v>
      </c>
    </row>
    <row r="14" spans="1:5" ht="15" customHeight="1">
      <c r="A14" s="21" t="s">
        <v>152</v>
      </c>
      <c r="B14" s="36">
        <f>SUM(B15:B16)</f>
        <v>120000</v>
      </c>
      <c r="C14" s="36">
        <f>SUM(C15:C16)</f>
        <v>13655.79</v>
      </c>
      <c r="D14" s="40">
        <f t="shared" si="0"/>
        <v>11.379825</v>
      </c>
      <c r="E14" s="41">
        <f t="shared" si="1"/>
        <v>-106344.20999999999</v>
      </c>
    </row>
    <row r="15" spans="1:5" ht="15" customHeight="1">
      <c r="A15" s="21" t="s">
        <v>153</v>
      </c>
      <c r="B15" s="36">
        <v>2500</v>
      </c>
      <c r="C15" s="144">
        <v>2310.43</v>
      </c>
      <c r="D15" s="40">
        <f t="shared" si="0"/>
        <v>92.4172</v>
      </c>
      <c r="E15" s="41">
        <f t="shared" si="1"/>
        <v>-189.57000000000016</v>
      </c>
    </row>
    <row r="16" spans="1:5" ht="15" customHeight="1">
      <c r="A16" s="21" t="s">
        <v>154</v>
      </c>
      <c r="B16" s="36">
        <v>117500</v>
      </c>
      <c r="C16" s="144">
        <v>11345.36</v>
      </c>
      <c r="D16" s="40">
        <f t="shared" si="0"/>
        <v>9.655625531914893</v>
      </c>
      <c r="E16" s="41">
        <f t="shared" si="1"/>
        <v>-106154.64</v>
      </c>
    </row>
    <row r="17" spans="1:5" ht="15" customHeight="1">
      <c r="A17" s="21" t="s">
        <v>187</v>
      </c>
      <c r="B17" s="36">
        <v>0</v>
      </c>
      <c r="C17" s="107">
        <v>0</v>
      </c>
      <c r="D17" s="40" t="str">
        <f t="shared" si="0"/>
        <v>   </v>
      </c>
      <c r="E17" s="41">
        <f t="shared" si="1"/>
        <v>0</v>
      </c>
    </row>
    <row r="18" spans="1:5" ht="27.75" customHeight="1">
      <c r="A18" s="21" t="s">
        <v>85</v>
      </c>
      <c r="B18" s="36">
        <v>0</v>
      </c>
      <c r="C18" s="36">
        <v>0</v>
      </c>
      <c r="D18" s="40" t="str">
        <f t="shared" si="0"/>
        <v>   </v>
      </c>
      <c r="E18" s="41">
        <f t="shared" si="1"/>
        <v>0</v>
      </c>
    </row>
    <row r="19" spans="1:5" ht="27.75" customHeight="1">
      <c r="A19" s="21" t="s">
        <v>28</v>
      </c>
      <c r="B19" s="36">
        <f>SUM(B20:B21)</f>
        <v>76200</v>
      </c>
      <c r="C19" s="36">
        <f>SUM(C20:C21)</f>
        <v>7651.5</v>
      </c>
      <c r="D19" s="40">
        <f t="shared" si="0"/>
        <v>10.041338582677167</v>
      </c>
      <c r="E19" s="41">
        <f t="shared" si="1"/>
        <v>-68548.5</v>
      </c>
    </row>
    <row r="20" spans="1:5" ht="12.75" customHeight="1">
      <c r="A20" s="21" t="s">
        <v>144</v>
      </c>
      <c r="B20" s="36">
        <v>42400</v>
      </c>
      <c r="C20" s="144">
        <v>4830.51</v>
      </c>
      <c r="D20" s="40">
        <f t="shared" si="0"/>
        <v>11.392712264150944</v>
      </c>
      <c r="E20" s="41">
        <f t="shared" si="1"/>
        <v>-37569.49</v>
      </c>
    </row>
    <row r="21" spans="1:5" ht="15.75" customHeight="1">
      <c r="A21" s="21" t="s">
        <v>30</v>
      </c>
      <c r="B21" s="36">
        <v>33800</v>
      </c>
      <c r="C21" s="144">
        <v>2820.99</v>
      </c>
      <c r="D21" s="40">
        <f t="shared" si="0"/>
        <v>8.346124260355028</v>
      </c>
      <c r="E21" s="41">
        <f t="shared" si="1"/>
        <v>-30979.010000000002</v>
      </c>
    </row>
    <row r="22" spans="1:5" ht="15.75" customHeight="1">
      <c r="A22" s="21" t="s">
        <v>88</v>
      </c>
      <c r="B22" s="36">
        <v>0</v>
      </c>
      <c r="C22" s="107">
        <v>6497.46</v>
      </c>
      <c r="D22" s="40" t="str">
        <f t="shared" si="0"/>
        <v>   </v>
      </c>
      <c r="E22" s="41">
        <f t="shared" si="1"/>
        <v>6497.46</v>
      </c>
    </row>
    <row r="23" spans="1:5" ht="15.75" customHeight="1">
      <c r="A23" s="21" t="s">
        <v>78</v>
      </c>
      <c r="B23" s="143">
        <f>B24+B25</f>
        <v>750172</v>
      </c>
      <c r="C23" s="143">
        <f>C24+C25</f>
        <v>778006.28</v>
      </c>
      <c r="D23" s="40">
        <f t="shared" si="0"/>
        <v>103.71038641804813</v>
      </c>
      <c r="E23" s="41">
        <f t="shared" si="1"/>
        <v>27834.280000000028</v>
      </c>
    </row>
    <row r="24" spans="1:5" ht="27.75" customHeight="1">
      <c r="A24" s="21" t="s">
        <v>279</v>
      </c>
      <c r="B24" s="36">
        <v>242172</v>
      </c>
      <c r="C24" s="86">
        <v>269757</v>
      </c>
      <c r="D24" s="40">
        <f t="shared" si="0"/>
        <v>111.3906644863981</v>
      </c>
      <c r="E24" s="41">
        <f t="shared" si="1"/>
        <v>27585</v>
      </c>
    </row>
    <row r="25" spans="1:5" ht="15" customHeight="1">
      <c r="A25" s="21" t="s">
        <v>127</v>
      </c>
      <c r="B25" s="36">
        <v>508000</v>
      </c>
      <c r="C25" s="144">
        <v>508249.28</v>
      </c>
      <c r="D25" s="40">
        <f t="shared" si="0"/>
        <v>100.04907086614175</v>
      </c>
      <c r="E25" s="41">
        <f t="shared" si="1"/>
        <v>249.28000000002794</v>
      </c>
    </row>
    <row r="26" spans="1:5" ht="15" customHeight="1">
      <c r="A26" s="21" t="s">
        <v>290</v>
      </c>
      <c r="B26" s="36">
        <v>0</v>
      </c>
      <c r="C26" s="144">
        <v>0</v>
      </c>
      <c r="D26" s="40" t="str">
        <f>IF(B26=0,"   ",C26/B26*100)</f>
        <v>   </v>
      </c>
      <c r="E26" s="41">
        <f>C26-B26</f>
        <v>0</v>
      </c>
    </row>
    <row r="27" spans="1:5" ht="13.5" customHeight="1">
      <c r="A27" s="21" t="s">
        <v>32</v>
      </c>
      <c r="B27" s="36">
        <f>SUM(B28:B30)</f>
        <v>10491.4</v>
      </c>
      <c r="C27" s="36">
        <f>SUM(C28:C30)</f>
        <v>10488.609999999999</v>
      </c>
      <c r="D27" s="40">
        <f t="shared" si="0"/>
        <v>99.9734067903235</v>
      </c>
      <c r="E27" s="41">
        <f t="shared" si="1"/>
        <v>-2.790000000000873</v>
      </c>
    </row>
    <row r="28" spans="1:5" ht="13.5" customHeight="1">
      <c r="A28" s="21" t="s">
        <v>46</v>
      </c>
      <c r="B28" s="36">
        <v>0</v>
      </c>
      <c r="C28" s="36">
        <v>-2.79</v>
      </c>
      <c r="D28" s="40"/>
      <c r="E28" s="41">
        <f t="shared" si="1"/>
        <v>-2.79</v>
      </c>
    </row>
    <row r="29" spans="1:5" ht="13.5" customHeight="1">
      <c r="A29" s="21" t="s">
        <v>323</v>
      </c>
      <c r="B29" s="36">
        <v>10491.4</v>
      </c>
      <c r="C29" s="36">
        <v>10491.4</v>
      </c>
      <c r="D29" s="40"/>
      <c r="E29" s="41">
        <f>C29-B29</f>
        <v>0</v>
      </c>
    </row>
    <row r="30" spans="1:5" ht="15" customHeight="1">
      <c r="A30" s="21" t="s">
        <v>50</v>
      </c>
      <c r="B30" s="36">
        <v>0</v>
      </c>
      <c r="C30" s="107">
        <v>0</v>
      </c>
      <c r="D30" s="40" t="str">
        <f t="shared" si="0"/>
        <v>   </v>
      </c>
      <c r="E30" s="41">
        <f t="shared" si="1"/>
        <v>0</v>
      </c>
    </row>
    <row r="31" spans="1:5" ht="13.5" customHeight="1">
      <c r="A31" s="21" t="s">
        <v>31</v>
      </c>
      <c r="B31" s="36">
        <v>0</v>
      </c>
      <c r="C31" s="36">
        <v>0</v>
      </c>
      <c r="D31" s="40" t="str">
        <f t="shared" si="0"/>
        <v>   </v>
      </c>
      <c r="E31" s="41">
        <f t="shared" si="1"/>
        <v>0</v>
      </c>
    </row>
    <row r="32" spans="1:5" ht="22.5" customHeight="1">
      <c r="A32" s="44" t="s">
        <v>10</v>
      </c>
      <c r="B32" s="116">
        <f>SUM(B6,B8,B10,B12,B18,B19,B22,B23,B31,B27,B17)</f>
        <v>1524563.4</v>
      </c>
      <c r="C32" s="116">
        <f>SUM(C6,C8,C10,C12,C18,C19,C22,C23,C31,C27,C17,C26)</f>
        <v>1169271.1</v>
      </c>
      <c r="D32" s="46">
        <f t="shared" si="0"/>
        <v>76.69547229062434</v>
      </c>
      <c r="E32" s="47">
        <f t="shared" si="1"/>
        <v>-355292.2999999998</v>
      </c>
    </row>
    <row r="33" spans="1:5" ht="16.5" customHeight="1">
      <c r="A33" s="62" t="s">
        <v>132</v>
      </c>
      <c r="B33" s="145">
        <f>SUM(B34:B37,B40:B43,B48)</f>
        <v>2727948.4</v>
      </c>
      <c r="C33" s="145">
        <f>SUM(C34:C37,C40:C43,C48)</f>
        <v>1995418.4</v>
      </c>
      <c r="D33" s="46">
        <f t="shared" si="0"/>
        <v>73.14721935356255</v>
      </c>
      <c r="E33" s="47">
        <f t="shared" si="1"/>
        <v>-732530</v>
      </c>
    </row>
    <row r="34" spans="1:5" ht="20.25" customHeight="1">
      <c r="A34" s="38" t="s">
        <v>34</v>
      </c>
      <c r="B34" s="143">
        <v>1923700</v>
      </c>
      <c r="C34" s="86">
        <v>1283950</v>
      </c>
      <c r="D34" s="40">
        <f t="shared" si="0"/>
        <v>66.74377501689452</v>
      </c>
      <c r="E34" s="41">
        <f t="shared" si="1"/>
        <v>-639750</v>
      </c>
    </row>
    <row r="35" spans="1:5" ht="20.25" customHeight="1">
      <c r="A35" s="38" t="s">
        <v>218</v>
      </c>
      <c r="B35" s="143">
        <v>0</v>
      </c>
      <c r="C35" s="86">
        <v>0</v>
      </c>
      <c r="D35" s="40" t="str">
        <f>IF(B35=0,"   ",C35/B35*100)</f>
        <v>   </v>
      </c>
      <c r="E35" s="41">
        <f>C35-B35</f>
        <v>0</v>
      </c>
    </row>
    <row r="36" spans="1:5" ht="26.25" customHeight="1">
      <c r="A36" s="52" t="s">
        <v>51</v>
      </c>
      <c r="B36" s="85">
        <v>103700</v>
      </c>
      <c r="C36" s="86">
        <v>74300</v>
      </c>
      <c r="D36" s="54">
        <f t="shared" si="0"/>
        <v>71.648987463838</v>
      </c>
      <c r="E36" s="55">
        <f t="shared" si="1"/>
        <v>-29400</v>
      </c>
    </row>
    <row r="37" spans="1:5" ht="26.25" customHeight="1">
      <c r="A37" s="52" t="s">
        <v>140</v>
      </c>
      <c r="B37" s="85">
        <f>SUM(B38:B39)</f>
        <v>100</v>
      </c>
      <c r="C37" s="85">
        <f>SUM(C38:C39)</f>
        <v>100</v>
      </c>
      <c r="D37" s="54">
        <f t="shared" si="0"/>
        <v>100</v>
      </c>
      <c r="E37" s="55">
        <f t="shared" si="1"/>
        <v>0</v>
      </c>
    </row>
    <row r="38" spans="1:5" ht="17.25" customHeight="1">
      <c r="A38" s="52" t="s">
        <v>155</v>
      </c>
      <c r="B38" s="85">
        <v>100</v>
      </c>
      <c r="C38" s="85">
        <v>100</v>
      </c>
      <c r="D38" s="54">
        <f>IF(B38=0,"   ",C38/B38*100)</f>
        <v>100</v>
      </c>
      <c r="E38" s="55">
        <f>C38-B38</f>
        <v>0</v>
      </c>
    </row>
    <row r="39" spans="1:5" ht="26.25" customHeight="1">
      <c r="A39" s="52" t="s">
        <v>156</v>
      </c>
      <c r="B39" s="85">
        <v>0</v>
      </c>
      <c r="C39" s="85">
        <v>0</v>
      </c>
      <c r="D39" s="54" t="str">
        <f>IF(B39=0,"   ",C39/B39*100)</f>
        <v>   </v>
      </c>
      <c r="E39" s="55">
        <f>C39-B39</f>
        <v>0</v>
      </c>
    </row>
    <row r="40" spans="1:5" ht="44.25" customHeight="1">
      <c r="A40" s="21" t="s">
        <v>98</v>
      </c>
      <c r="B40" s="36">
        <v>0</v>
      </c>
      <c r="C40" s="36">
        <v>0</v>
      </c>
      <c r="D40" s="40" t="str">
        <f t="shared" si="0"/>
        <v>   </v>
      </c>
      <c r="E40" s="41">
        <f t="shared" si="1"/>
        <v>0</v>
      </c>
    </row>
    <row r="41" spans="1:5" ht="33" customHeight="1">
      <c r="A41" s="21" t="s">
        <v>332</v>
      </c>
      <c r="B41" s="36">
        <v>57600</v>
      </c>
      <c r="C41" s="36">
        <v>57600</v>
      </c>
      <c r="D41" s="40">
        <f t="shared" si="0"/>
        <v>100</v>
      </c>
      <c r="E41" s="41">
        <f t="shared" si="1"/>
        <v>0</v>
      </c>
    </row>
    <row r="42" spans="1:5" ht="57" customHeight="1">
      <c r="A42" s="21" t="s">
        <v>227</v>
      </c>
      <c r="B42" s="36">
        <v>333300</v>
      </c>
      <c r="C42" s="36">
        <v>333300</v>
      </c>
      <c r="D42" s="40">
        <f t="shared" si="0"/>
        <v>100</v>
      </c>
      <c r="E42" s="41">
        <f t="shared" si="1"/>
        <v>0</v>
      </c>
    </row>
    <row r="43" spans="1:5" ht="15" customHeight="1">
      <c r="A43" s="21" t="s">
        <v>55</v>
      </c>
      <c r="B43" s="36">
        <f>SUM(B44:B47)</f>
        <v>309548.4</v>
      </c>
      <c r="C43" s="36">
        <f>SUM(C44:C47)</f>
        <v>246168.4</v>
      </c>
      <c r="D43" s="40">
        <f t="shared" si="0"/>
        <v>79.52501127448889</v>
      </c>
      <c r="E43" s="41">
        <f t="shared" si="1"/>
        <v>-63380.00000000003</v>
      </c>
    </row>
    <row r="44" spans="1:5" ht="31.5" customHeight="1">
      <c r="A44" s="21" t="s">
        <v>179</v>
      </c>
      <c r="B44" s="36">
        <v>62948.4</v>
      </c>
      <c r="C44" s="36">
        <v>62948.4</v>
      </c>
      <c r="D44" s="36">
        <f t="shared" si="0"/>
        <v>100</v>
      </c>
      <c r="E44" s="41">
        <f t="shared" si="1"/>
        <v>0</v>
      </c>
    </row>
    <row r="45" spans="1:5" ht="15" customHeight="1">
      <c r="A45" s="21" t="s">
        <v>299</v>
      </c>
      <c r="B45" s="36">
        <v>5900</v>
      </c>
      <c r="C45" s="36">
        <v>0</v>
      </c>
      <c r="D45" s="36">
        <f t="shared" si="0"/>
        <v>0</v>
      </c>
      <c r="E45" s="41">
        <f t="shared" si="1"/>
        <v>-5900</v>
      </c>
    </row>
    <row r="46" spans="1:5" ht="15" customHeight="1">
      <c r="A46" s="21" t="s">
        <v>270</v>
      </c>
      <c r="B46" s="36">
        <v>0</v>
      </c>
      <c r="C46" s="36">
        <v>0</v>
      </c>
      <c r="D46" s="36" t="str">
        <f>IF(B46=0,"   ",C46/B46*100)</f>
        <v>   </v>
      </c>
      <c r="E46" s="41">
        <f>C46-B46</f>
        <v>0</v>
      </c>
    </row>
    <row r="47" spans="1:5" s="6" customFormat="1" ht="18" customHeight="1">
      <c r="A47" s="21" t="s">
        <v>104</v>
      </c>
      <c r="B47" s="36">
        <v>240700</v>
      </c>
      <c r="C47" s="107">
        <v>183220</v>
      </c>
      <c r="D47" s="36">
        <f t="shared" si="0"/>
        <v>76.11965101786457</v>
      </c>
      <c r="E47" s="41">
        <f t="shared" si="1"/>
        <v>-57480</v>
      </c>
    </row>
    <row r="48" spans="1:5" s="6" customFormat="1" ht="18" customHeight="1">
      <c r="A48" s="21" t="s">
        <v>189</v>
      </c>
      <c r="B48" s="36">
        <v>0</v>
      </c>
      <c r="C48" s="107">
        <v>0</v>
      </c>
      <c r="D48" s="36" t="str">
        <f t="shared" si="0"/>
        <v>   </v>
      </c>
      <c r="E48" s="41">
        <f t="shared" si="1"/>
        <v>0</v>
      </c>
    </row>
    <row r="49" spans="1:5" ht="18.75" customHeight="1">
      <c r="A49" s="44" t="s">
        <v>11</v>
      </c>
      <c r="B49" s="116">
        <f>SUM(B32:B33,)</f>
        <v>4252511.8</v>
      </c>
      <c r="C49" s="116">
        <f>SUM(C32:C33,)</f>
        <v>3164689.5</v>
      </c>
      <c r="D49" s="46">
        <f t="shared" si="0"/>
        <v>74.41929967131426</v>
      </c>
      <c r="E49" s="47">
        <f t="shared" si="1"/>
        <v>-1087822.2999999998</v>
      </c>
    </row>
    <row r="50" spans="1:5" ht="15" customHeight="1" thickBot="1">
      <c r="A50" s="87" t="s">
        <v>12</v>
      </c>
      <c r="B50" s="137"/>
      <c r="C50" s="138"/>
      <c r="D50" s="90" t="str">
        <f t="shared" si="0"/>
        <v>   </v>
      </c>
      <c r="E50" s="91">
        <f t="shared" si="1"/>
        <v>0</v>
      </c>
    </row>
    <row r="51" spans="1:5" ht="27.75" customHeight="1" thickBot="1">
      <c r="A51" s="92" t="s">
        <v>35</v>
      </c>
      <c r="B51" s="93">
        <f>SUM(B52,B55:B56)</f>
        <v>1710400</v>
      </c>
      <c r="C51" s="93">
        <f>SUM(C52,C55:C56)</f>
        <v>898620.47</v>
      </c>
      <c r="D51" s="94">
        <f t="shared" si="0"/>
        <v>52.53861494387277</v>
      </c>
      <c r="E51" s="95">
        <f t="shared" si="1"/>
        <v>-811779.53</v>
      </c>
    </row>
    <row r="52" spans="1:5" ht="15.75" customHeight="1">
      <c r="A52" s="68" t="s">
        <v>36</v>
      </c>
      <c r="B52" s="96">
        <v>1609900</v>
      </c>
      <c r="C52" s="96">
        <v>800434.47</v>
      </c>
      <c r="D52" s="97">
        <f t="shared" si="0"/>
        <v>49.719514876700416</v>
      </c>
      <c r="E52" s="98">
        <f t="shared" si="1"/>
        <v>-809465.53</v>
      </c>
    </row>
    <row r="53" spans="1:5" ht="14.25" customHeight="1">
      <c r="A53" s="21" t="s">
        <v>115</v>
      </c>
      <c r="B53" s="36">
        <v>965207</v>
      </c>
      <c r="C53" s="99">
        <v>455921.71</v>
      </c>
      <c r="D53" s="40">
        <f t="shared" si="0"/>
        <v>47.2356406449601</v>
      </c>
      <c r="E53" s="41">
        <f t="shared" si="1"/>
        <v>-509285.29</v>
      </c>
    </row>
    <row r="54" spans="1:5" ht="14.25" customHeight="1">
      <c r="A54" s="21" t="s">
        <v>334</v>
      </c>
      <c r="B54" s="36">
        <v>57600</v>
      </c>
      <c r="C54" s="99">
        <v>57600</v>
      </c>
      <c r="D54" s="40">
        <f>IF(B54=0,"   ",C54/B54*100)</f>
        <v>100</v>
      </c>
      <c r="E54" s="41">
        <f>C54-B54</f>
        <v>0</v>
      </c>
    </row>
    <row r="55" spans="1:5" ht="12.75" customHeight="1">
      <c r="A55" s="21" t="s">
        <v>91</v>
      </c>
      <c r="B55" s="36">
        <v>500</v>
      </c>
      <c r="C55" s="107">
        <v>0</v>
      </c>
      <c r="D55" s="40">
        <f t="shared" si="0"/>
        <v>0</v>
      </c>
      <c r="E55" s="41">
        <f t="shared" si="1"/>
        <v>-500</v>
      </c>
    </row>
    <row r="56" spans="1:5" ht="12.75" customHeight="1">
      <c r="A56" s="21" t="s">
        <v>52</v>
      </c>
      <c r="B56" s="36">
        <f>B58+B57</f>
        <v>100000</v>
      </c>
      <c r="C56" s="36">
        <f>C58+C57</f>
        <v>98186</v>
      </c>
      <c r="D56" s="40">
        <f t="shared" si="0"/>
        <v>98.18599999999999</v>
      </c>
      <c r="E56" s="41">
        <f t="shared" si="1"/>
        <v>-1814</v>
      </c>
    </row>
    <row r="57" spans="1:5" ht="30.75" customHeight="1">
      <c r="A57" s="17" t="s">
        <v>233</v>
      </c>
      <c r="B57" s="36">
        <v>5000</v>
      </c>
      <c r="C57" s="107">
        <v>3500</v>
      </c>
      <c r="D57" s="40">
        <f t="shared" si="0"/>
        <v>70</v>
      </c>
      <c r="E57" s="41">
        <f t="shared" si="1"/>
        <v>-1500</v>
      </c>
    </row>
    <row r="58" spans="1:5" ht="24" customHeight="1" thickBot="1">
      <c r="A58" s="17" t="s">
        <v>226</v>
      </c>
      <c r="B58" s="36">
        <v>95000</v>
      </c>
      <c r="C58" s="107">
        <v>94686</v>
      </c>
      <c r="D58" s="40">
        <f>IF(B58=0,"   ",C58/B58*100)</f>
        <v>99.66947368421053</v>
      </c>
      <c r="E58" s="41">
        <f>C58-B58</f>
        <v>-314</v>
      </c>
    </row>
    <row r="59" spans="1:5" ht="14.25" customHeight="1" thickBot="1">
      <c r="A59" s="92" t="s">
        <v>49</v>
      </c>
      <c r="B59" s="146">
        <f>SUM(B60)</f>
        <v>103700</v>
      </c>
      <c r="C59" s="146">
        <f>SUM(C60)</f>
        <v>60293.23</v>
      </c>
      <c r="D59" s="94">
        <f t="shared" si="0"/>
        <v>58.141976856316305</v>
      </c>
      <c r="E59" s="95">
        <f t="shared" si="1"/>
        <v>-43406.77</v>
      </c>
    </row>
    <row r="60" spans="1:5" ht="22.5" customHeight="1" thickBot="1">
      <c r="A60" s="60" t="s">
        <v>102</v>
      </c>
      <c r="B60" s="100">
        <v>103700</v>
      </c>
      <c r="C60" s="101">
        <v>60293.23</v>
      </c>
      <c r="D60" s="94">
        <f t="shared" si="0"/>
        <v>58.141976856316305</v>
      </c>
      <c r="E60" s="104">
        <f t="shared" si="1"/>
        <v>-43406.77</v>
      </c>
    </row>
    <row r="61" spans="1:5" ht="17.25" customHeight="1" thickBot="1">
      <c r="A61" s="92" t="s">
        <v>37</v>
      </c>
      <c r="B61" s="93">
        <f>SUM(B62)</f>
        <v>1000</v>
      </c>
      <c r="C61" s="93">
        <f>SUM(C62)</f>
        <v>0</v>
      </c>
      <c r="D61" s="94">
        <f t="shared" si="0"/>
        <v>0</v>
      </c>
      <c r="E61" s="95">
        <f t="shared" si="1"/>
        <v>-1000</v>
      </c>
    </row>
    <row r="62" spans="1:5" ht="30" customHeight="1">
      <c r="A62" s="60" t="s">
        <v>325</v>
      </c>
      <c r="B62" s="96">
        <v>1000</v>
      </c>
      <c r="C62" s="114">
        <v>0</v>
      </c>
      <c r="D62" s="97">
        <f t="shared" si="0"/>
        <v>0</v>
      </c>
      <c r="E62" s="98">
        <f t="shared" si="1"/>
        <v>-1000</v>
      </c>
    </row>
    <row r="63" spans="1:5" ht="18.75" customHeight="1" thickBot="1">
      <c r="A63" s="62" t="s">
        <v>38</v>
      </c>
      <c r="B63" s="108">
        <f>B69+B64+B77</f>
        <v>1077190.53</v>
      </c>
      <c r="C63" s="108">
        <f>C69+C64+C77</f>
        <v>820178</v>
      </c>
      <c r="D63" s="90">
        <f t="shared" si="0"/>
        <v>76.14047628138728</v>
      </c>
      <c r="E63" s="91">
        <f t="shared" si="1"/>
        <v>-257012.53000000003</v>
      </c>
    </row>
    <row r="64" spans="1:5" ht="18.75" customHeight="1" thickBot="1">
      <c r="A64" s="60" t="s">
        <v>157</v>
      </c>
      <c r="B64" s="109">
        <f>SUM(B65:B68)</f>
        <v>6300</v>
      </c>
      <c r="C64" s="93">
        <f>SUM(C65:C68)</f>
        <v>0</v>
      </c>
      <c r="D64" s="90">
        <f>IF(B64=0,"   ",C64/B64*100)</f>
        <v>0</v>
      </c>
      <c r="E64" s="91">
        <f>C64-B64</f>
        <v>-6300</v>
      </c>
    </row>
    <row r="65" spans="1:5" ht="18.75" customHeight="1">
      <c r="A65" s="62" t="s">
        <v>158</v>
      </c>
      <c r="B65" s="36">
        <v>0</v>
      </c>
      <c r="C65" s="108">
        <v>0</v>
      </c>
      <c r="D65" s="90" t="str">
        <f>IF(B65=0,"   ",C65/B65*100)</f>
        <v>   </v>
      </c>
      <c r="E65" s="91">
        <f>C65-B65</f>
        <v>0</v>
      </c>
    </row>
    <row r="66" spans="1:5" ht="18.75" customHeight="1">
      <c r="A66" s="62" t="s">
        <v>180</v>
      </c>
      <c r="B66" s="36">
        <v>0</v>
      </c>
      <c r="C66" s="108">
        <v>0</v>
      </c>
      <c r="D66" s="90" t="str">
        <f>IF(B66=0,"   ",C66/B66*100)</f>
        <v>   </v>
      </c>
      <c r="E66" s="91">
        <f>C66-B66</f>
        <v>0</v>
      </c>
    </row>
    <row r="67" spans="1:5" ht="18.75" customHeight="1">
      <c r="A67" s="62" t="s">
        <v>300</v>
      </c>
      <c r="B67" s="36">
        <v>5900</v>
      </c>
      <c r="C67" s="108">
        <v>0</v>
      </c>
      <c r="D67" s="90">
        <f>IF(B67=0,"   ",C67/B67*100)</f>
        <v>0</v>
      </c>
      <c r="E67" s="91">
        <f>C67-B67</f>
        <v>-5900</v>
      </c>
    </row>
    <row r="68" spans="1:5" ht="18.75" customHeight="1">
      <c r="A68" s="62" t="s">
        <v>301</v>
      </c>
      <c r="B68" s="36">
        <v>400</v>
      </c>
      <c r="C68" s="108">
        <v>0</v>
      </c>
      <c r="D68" s="90">
        <f>IF(B68=0,"   ",C68/B68*100)</f>
        <v>0</v>
      </c>
      <c r="E68" s="91">
        <f>C68-B68</f>
        <v>-400</v>
      </c>
    </row>
    <row r="69" spans="1:5" ht="15" customHeight="1">
      <c r="A69" s="62" t="s">
        <v>124</v>
      </c>
      <c r="B69" s="36">
        <f>SUM(B70:B76)</f>
        <v>1002390.53</v>
      </c>
      <c r="C69" s="36">
        <f>SUM(C70:C76)</f>
        <v>772678</v>
      </c>
      <c r="D69" s="90">
        <f t="shared" si="0"/>
        <v>77.08352951019998</v>
      </c>
      <c r="E69" s="91">
        <f t="shared" si="1"/>
        <v>-229712.53000000003</v>
      </c>
    </row>
    <row r="70" spans="1:5" ht="18.75" customHeight="1">
      <c r="A70" s="60" t="s">
        <v>141</v>
      </c>
      <c r="B70" s="36">
        <v>0</v>
      </c>
      <c r="C70" s="36">
        <v>0</v>
      </c>
      <c r="D70" s="90" t="str">
        <f t="shared" si="0"/>
        <v>   </v>
      </c>
      <c r="E70" s="91">
        <f t="shared" si="1"/>
        <v>0</v>
      </c>
    </row>
    <row r="71" spans="1:5" ht="30.75" customHeight="1">
      <c r="A71" s="17" t="s">
        <v>238</v>
      </c>
      <c r="B71" s="36">
        <v>324390.53</v>
      </c>
      <c r="C71" s="36">
        <v>198700</v>
      </c>
      <c r="D71" s="90">
        <f>IF(B71=0,"   ",C71/B71*100)</f>
        <v>61.253329435973356</v>
      </c>
      <c r="E71" s="91">
        <f>C71-B71</f>
        <v>-125690.53000000003</v>
      </c>
    </row>
    <row r="72" spans="1:5" ht="30" customHeight="1">
      <c r="A72" s="17" t="s">
        <v>239</v>
      </c>
      <c r="B72" s="36">
        <v>40100</v>
      </c>
      <c r="C72" s="36">
        <v>0</v>
      </c>
      <c r="D72" s="90">
        <f t="shared" si="0"/>
        <v>0</v>
      </c>
      <c r="E72" s="91">
        <f t="shared" si="1"/>
        <v>-40100</v>
      </c>
    </row>
    <row r="73" spans="1:5" ht="30" customHeight="1">
      <c r="A73" s="17" t="s">
        <v>240</v>
      </c>
      <c r="B73" s="36">
        <v>333300</v>
      </c>
      <c r="C73" s="36">
        <v>333300</v>
      </c>
      <c r="D73" s="90">
        <f t="shared" si="0"/>
        <v>100</v>
      </c>
      <c r="E73" s="91">
        <f t="shared" si="1"/>
        <v>0</v>
      </c>
    </row>
    <row r="74" spans="1:5" ht="30" customHeight="1">
      <c r="A74" s="17" t="s">
        <v>241</v>
      </c>
      <c r="B74" s="36">
        <v>37100</v>
      </c>
      <c r="C74" s="36">
        <v>37100</v>
      </c>
      <c r="D74" s="90">
        <f t="shared" si="0"/>
        <v>100</v>
      </c>
      <c r="E74" s="91">
        <f t="shared" si="1"/>
        <v>0</v>
      </c>
    </row>
    <row r="75" spans="1:5" ht="30" customHeight="1">
      <c r="A75" s="17" t="s">
        <v>242</v>
      </c>
      <c r="B75" s="36">
        <v>240700</v>
      </c>
      <c r="C75" s="36">
        <v>183220</v>
      </c>
      <c r="D75" s="90">
        <f t="shared" si="0"/>
        <v>76.11965101786457</v>
      </c>
      <c r="E75" s="91">
        <f t="shared" si="1"/>
        <v>-57480</v>
      </c>
    </row>
    <row r="76" spans="1:5" ht="30" customHeight="1" thickBot="1">
      <c r="A76" s="17" t="s">
        <v>243</v>
      </c>
      <c r="B76" s="36">
        <v>26800</v>
      </c>
      <c r="C76" s="36">
        <v>20358</v>
      </c>
      <c r="D76" s="90">
        <f t="shared" si="0"/>
        <v>75.96268656716418</v>
      </c>
      <c r="E76" s="91">
        <f t="shared" si="1"/>
        <v>-6442</v>
      </c>
    </row>
    <row r="77" spans="1:5" ht="18" customHeight="1">
      <c r="A77" s="60" t="s">
        <v>168</v>
      </c>
      <c r="B77" s="109">
        <f>SUM(B78)</f>
        <v>68500</v>
      </c>
      <c r="C77" s="109">
        <f>SUM(C78)</f>
        <v>47500</v>
      </c>
      <c r="D77" s="90">
        <f>IF(B77=0,"   ",C77/B77*100)</f>
        <v>69.34306569343066</v>
      </c>
      <c r="E77" s="91">
        <f>C77-B77</f>
        <v>-21000</v>
      </c>
    </row>
    <row r="78" spans="1:5" ht="31.5" customHeight="1">
      <c r="A78" s="62" t="s">
        <v>169</v>
      </c>
      <c r="B78" s="36">
        <v>68500</v>
      </c>
      <c r="C78" s="36">
        <v>47500</v>
      </c>
      <c r="D78" s="40">
        <f>IF(B78=0,"   ",C78/B78*100)</f>
        <v>69.34306569343066</v>
      </c>
      <c r="E78" s="107">
        <f>C78-B78</f>
        <v>-21000</v>
      </c>
    </row>
    <row r="79" spans="1:5" ht="20.25" customHeight="1">
      <c r="A79" s="62" t="s">
        <v>13</v>
      </c>
      <c r="B79" s="36">
        <f>SUM(B85,B80+B94)</f>
        <v>677186</v>
      </c>
      <c r="C79" s="36">
        <f>SUM(C85,C80+C94)</f>
        <v>186814</v>
      </c>
      <c r="D79" s="40">
        <f t="shared" si="0"/>
        <v>27.586807760349448</v>
      </c>
      <c r="E79" s="107">
        <f t="shared" si="1"/>
        <v>-490372</v>
      </c>
    </row>
    <row r="80" spans="1:5" ht="15" customHeight="1" thickBot="1">
      <c r="A80" s="68" t="s">
        <v>142</v>
      </c>
      <c r="B80" s="106">
        <f>SUM(B81+B82+B83+B84)</f>
        <v>352172</v>
      </c>
      <c r="C80" s="106">
        <f>SUM(C81+C82+C83+C84)</f>
        <v>71800</v>
      </c>
      <c r="D80" s="40">
        <f>IF(B80=0,"   ",C80/B80*100)</f>
        <v>20.387765069341118</v>
      </c>
      <c r="E80" s="107">
        <f>C80-B80</f>
        <v>-280372</v>
      </c>
    </row>
    <row r="81" spans="1:5" ht="15" customHeight="1">
      <c r="A81" s="21" t="s">
        <v>273</v>
      </c>
      <c r="B81" s="36">
        <v>0</v>
      </c>
      <c r="C81" s="36">
        <v>0</v>
      </c>
      <c r="D81" s="40" t="str">
        <f>IF(B81=0,"   ",C81/B81*100)</f>
        <v>   </v>
      </c>
      <c r="E81" s="107">
        <f>C81-B81</f>
        <v>0</v>
      </c>
    </row>
    <row r="82" spans="1:5" ht="15" customHeight="1">
      <c r="A82" s="21" t="s">
        <v>276</v>
      </c>
      <c r="B82" s="36">
        <v>0</v>
      </c>
      <c r="C82" s="36">
        <v>0</v>
      </c>
      <c r="D82" s="40" t="str">
        <f>IF(B82=0,"   ",C82/B82*100)</f>
        <v>   </v>
      </c>
      <c r="E82" s="107">
        <f>C82-B82</f>
        <v>0</v>
      </c>
    </row>
    <row r="83" spans="1:5" ht="15" customHeight="1">
      <c r="A83" s="21" t="s">
        <v>326</v>
      </c>
      <c r="B83" s="36">
        <v>332172</v>
      </c>
      <c r="C83" s="36">
        <v>51800</v>
      </c>
      <c r="D83" s="40">
        <f>IF(B83=0,"   ",C83/B83*100)</f>
        <v>15.594330647977554</v>
      </c>
      <c r="E83" s="147">
        <f>C83-B83</f>
        <v>-280372</v>
      </c>
    </row>
    <row r="84" spans="1:5" ht="15" customHeight="1">
      <c r="A84" s="38" t="s">
        <v>266</v>
      </c>
      <c r="B84" s="36">
        <v>20000</v>
      </c>
      <c r="C84" s="36">
        <v>20000</v>
      </c>
      <c r="D84" s="40">
        <f>IF(B84=0,"   ",C84/B84*100)</f>
        <v>100</v>
      </c>
      <c r="E84" s="147">
        <f>C84-B84</f>
        <v>0</v>
      </c>
    </row>
    <row r="85" spans="1:5" ht="15" customHeight="1">
      <c r="A85" s="21" t="s">
        <v>58</v>
      </c>
      <c r="B85" s="36">
        <f>B86+B87+B88+B89+B93</f>
        <v>324914</v>
      </c>
      <c r="C85" s="36">
        <f>C86+C87+C88+C89+C93</f>
        <v>114914</v>
      </c>
      <c r="D85" s="40">
        <f t="shared" si="0"/>
        <v>35.367512634112416</v>
      </c>
      <c r="E85" s="41">
        <f t="shared" si="1"/>
        <v>-210000</v>
      </c>
    </row>
    <row r="86" spans="1:5" ht="15" customHeight="1">
      <c r="A86" s="21" t="s">
        <v>60</v>
      </c>
      <c r="B86" s="36">
        <v>220000</v>
      </c>
      <c r="C86" s="107">
        <v>10000</v>
      </c>
      <c r="D86" s="40">
        <f t="shared" si="0"/>
        <v>4.545454545454546</v>
      </c>
      <c r="E86" s="41">
        <f t="shared" si="1"/>
        <v>-210000</v>
      </c>
    </row>
    <row r="87" spans="1:5" ht="15" customHeight="1">
      <c r="A87" s="17" t="s">
        <v>59</v>
      </c>
      <c r="B87" s="108">
        <v>0</v>
      </c>
      <c r="C87" s="139">
        <v>0</v>
      </c>
      <c r="D87" s="90" t="str">
        <f t="shared" si="0"/>
        <v>   </v>
      </c>
      <c r="E87" s="91">
        <f t="shared" si="1"/>
        <v>0</v>
      </c>
    </row>
    <row r="88" spans="1:5" ht="29.25" customHeight="1">
      <c r="A88" s="17" t="s">
        <v>159</v>
      </c>
      <c r="B88" s="36">
        <v>0</v>
      </c>
      <c r="C88" s="107">
        <v>0</v>
      </c>
      <c r="D88" s="40" t="str">
        <f t="shared" si="0"/>
        <v>   </v>
      </c>
      <c r="E88" s="107">
        <f t="shared" si="1"/>
        <v>0</v>
      </c>
    </row>
    <row r="89" spans="1:5" ht="21.75" customHeight="1">
      <c r="A89" s="17" t="s">
        <v>196</v>
      </c>
      <c r="B89" s="36">
        <f>SUM(B90+B91+B92)</f>
        <v>104914</v>
      </c>
      <c r="C89" s="36">
        <f>SUM(C90+C91+C92)</f>
        <v>104914</v>
      </c>
      <c r="D89" s="40">
        <f>IF(B89=0,"   ",C89/B89*100)</f>
        <v>100</v>
      </c>
      <c r="E89" s="107">
        <f>C89-B89</f>
        <v>0</v>
      </c>
    </row>
    <row r="90" spans="1:5" ht="29.25" customHeight="1">
      <c r="A90" s="17" t="s">
        <v>178</v>
      </c>
      <c r="B90" s="36">
        <v>62948.4</v>
      </c>
      <c r="C90" s="107">
        <v>62948.4</v>
      </c>
      <c r="D90" s="40">
        <f>IF(B90=0,"   ",C90/B90*100)</f>
        <v>100</v>
      </c>
      <c r="E90" s="107">
        <f>C90-B90</f>
        <v>0</v>
      </c>
    </row>
    <row r="91" spans="1:5" ht="29.25" customHeight="1">
      <c r="A91" s="17" t="s">
        <v>181</v>
      </c>
      <c r="B91" s="36">
        <v>31474.2</v>
      </c>
      <c r="C91" s="107">
        <v>31474.2</v>
      </c>
      <c r="D91" s="40">
        <f>IF(B91=0,"   ",C91/B91*100)</f>
        <v>100</v>
      </c>
      <c r="E91" s="107">
        <f>C91-B91</f>
        <v>0</v>
      </c>
    </row>
    <row r="92" spans="1:5" ht="29.25" customHeight="1">
      <c r="A92" s="17" t="s">
        <v>182</v>
      </c>
      <c r="B92" s="36">
        <v>10491.4</v>
      </c>
      <c r="C92" s="107">
        <v>10491.4</v>
      </c>
      <c r="D92" s="40">
        <f>IF(B92=0,"   ",C92/B92*100)</f>
        <v>100</v>
      </c>
      <c r="E92" s="107">
        <f>C92-B92</f>
        <v>0</v>
      </c>
    </row>
    <row r="93" spans="1:5" ht="28.5" customHeight="1" thickBot="1">
      <c r="A93" s="17" t="s">
        <v>274</v>
      </c>
      <c r="B93" s="108">
        <v>0</v>
      </c>
      <c r="C93" s="139">
        <v>0</v>
      </c>
      <c r="D93" s="90" t="str">
        <f t="shared" si="0"/>
        <v>   </v>
      </c>
      <c r="E93" s="139">
        <f t="shared" si="1"/>
        <v>0</v>
      </c>
    </row>
    <row r="94" spans="1:5" ht="21" customHeight="1" thickBot="1">
      <c r="A94" s="62" t="s">
        <v>311</v>
      </c>
      <c r="B94" s="111">
        <f>SUM(B95)</f>
        <v>100</v>
      </c>
      <c r="C94" s="111">
        <f>SUM(C95)</f>
        <v>100</v>
      </c>
      <c r="D94" s="40">
        <f t="shared" si="0"/>
        <v>100</v>
      </c>
      <c r="E94" s="107">
        <f t="shared" si="1"/>
        <v>0</v>
      </c>
    </row>
    <row r="95" spans="1:5" ht="14.25" customHeight="1">
      <c r="A95" s="62" t="s">
        <v>262</v>
      </c>
      <c r="B95" s="36">
        <v>100</v>
      </c>
      <c r="C95" s="99">
        <v>100</v>
      </c>
      <c r="D95" s="40">
        <f t="shared" si="0"/>
        <v>100</v>
      </c>
      <c r="E95" s="107">
        <f t="shared" si="1"/>
        <v>0</v>
      </c>
    </row>
    <row r="96" spans="1:5" ht="18.75" customHeight="1" thickBot="1">
      <c r="A96" s="112" t="s">
        <v>17</v>
      </c>
      <c r="B96" s="106">
        <v>0</v>
      </c>
      <c r="C96" s="106">
        <v>0</v>
      </c>
      <c r="D96" s="110" t="str">
        <f t="shared" si="0"/>
        <v>   </v>
      </c>
      <c r="E96" s="113">
        <f t="shared" si="1"/>
        <v>0</v>
      </c>
    </row>
    <row r="97" spans="1:5" ht="19.5" customHeight="1" thickBot="1">
      <c r="A97" s="92" t="s">
        <v>41</v>
      </c>
      <c r="B97" s="111">
        <f>B98</f>
        <v>820360.8200000001</v>
      </c>
      <c r="C97" s="111">
        <f>C98</f>
        <v>705416.97</v>
      </c>
      <c r="D97" s="94">
        <f t="shared" si="0"/>
        <v>85.98862266484154</v>
      </c>
      <c r="E97" s="95">
        <f t="shared" si="1"/>
        <v>-114943.8500000001</v>
      </c>
    </row>
    <row r="98" spans="1:5" ht="13.5">
      <c r="A98" s="68" t="s">
        <v>42</v>
      </c>
      <c r="B98" s="96">
        <f>SUM(B99:B101)</f>
        <v>820360.8200000001</v>
      </c>
      <c r="C98" s="96">
        <f>SUM(C99:C101)</f>
        <v>705416.97</v>
      </c>
      <c r="D98" s="97">
        <f t="shared" si="0"/>
        <v>85.98862266484154</v>
      </c>
      <c r="E98" s="98">
        <f t="shared" si="1"/>
        <v>-114943.8500000001</v>
      </c>
    </row>
    <row r="99" spans="1:5" ht="13.5">
      <c r="A99" s="21" t="s">
        <v>135</v>
      </c>
      <c r="B99" s="96">
        <v>463900</v>
      </c>
      <c r="C99" s="114">
        <v>463900</v>
      </c>
      <c r="D99" s="97">
        <f t="shared" si="0"/>
        <v>100</v>
      </c>
      <c r="E99" s="98">
        <f t="shared" si="1"/>
        <v>0</v>
      </c>
    </row>
    <row r="100" spans="1:5" ht="13.5">
      <c r="A100" s="21" t="s">
        <v>214</v>
      </c>
      <c r="B100" s="96">
        <v>0</v>
      </c>
      <c r="C100" s="114">
        <v>0</v>
      </c>
      <c r="D100" s="97" t="str">
        <f t="shared" si="0"/>
        <v>   </v>
      </c>
      <c r="E100" s="98">
        <f t="shared" si="1"/>
        <v>0</v>
      </c>
    </row>
    <row r="101" spans="1:5" ht="13.5">
      <c r="A101" s="68" t="s">
        <v>194</v>
      </c>
      <c r="B101" s="96">
        <v>356460.82</v>
      </c>
      <c r="C101" s="114">
        <v>241516.97</v>
      </c>
      <c r="D101" s="97">
        <f t="shared" si="0"/>
        <v>67.75414195590976</v>
      </c>
      <c r="E101" s="98">
        <f t="shared" si="1"/>
        <v>-114943.85</v>
      </c>
    </row>
    <row r="102" spans="1:5" ht="18.75" customHeight="1">
      <c r="A102" s="21" t="s">
        <v>119</v>
      </c>
      <c r="B102" s="36">
        <f>SUM(B103,)</f>
        <v>5000</v>
      </c>
      <c r="C102" s="36">
        <f>SUM(C103,)</f>
        <v>0</v>
      </c>
      <c r="D102" s="40">
        <f t="shared" si="0"/>
        <v>0</v>
      </c>
      <c r="E102" s="41">
        <f t="shared" si="1"/>
        <v>-5000</v>
      </c>
    </row>
    <row r="103" spans="1:5" ht="14.25" customHeight="1">
      <c r="A103" s="17" t="s">
        <v>43</v>
      </c>
      <c r="B103" s="108">
        <v>5000</v>
      </c>
      <c r="C103" s="142">
        <v>0</v>
      </c>
      <c r="D103" s="90">
        <f t="shared" si="0"/>
        <v>0</v>
      </c>
      <c r="E103" s="91">
        <f t="shared" si="1"/>
        <v>-5000</v>
      </c>
    </row>
    <row r="104" spans="1:5" ht="22.5" customHeight="1">
      <c r="A104" s="44" t="s">
        <v>15</v>
      </c>
      <c r="B104" s="116">
        <f>SUM(B51,B59,B61,B63,B79,B96,B97,B102,)</f>
        <v>4394837.350000001</v>
      </c>
      <c r="C104" s="116">
        <f>SUM(C51,C59,C61,C63,C79,C96,C97,C102,)</f>
        <v>2671322.67</v>
      </c>
      <c r="D104" s="46">
        <f>IF(B104=0,"   ",C104/B104*100)</f>
        <v>60.78319758523031</v>
      </c>
      <c r="E104" s="47">
        <f t="shared" si="1"/>
        <v>-1723514.6800000006</v>
      </c>
    </row>
    <row r="105" spans="1:5" ht="42.75" customHeight="1">
      <c r="A105" s="71" t="s">
        <v>291</v>
      </c>
      <c r="B105" s="71"/>
      <c r="C105" s="165"/>
      <c r="D105" s="165"/>
      <c r="E105" s="165"/>
    </row>
    <row r="106" spans="1:5" ht="18" customHeight="1">
      <c r="A106" s="71" t="s">
        <v>146</v>
      </c>
      <c r="B106" s="71"/>
      <c r="C106" s="72" t="s">
        <v>292</v>
      </c>
      <c r="D106" s="73"/>
      <c r="E106" s="74"/>
    </row>
    <row r="107" spans="1:5" s="13" customFormat="1" ht="23.25" customHeight="1">
      <c r="A107" s="71"/>
      <c r="B107" s="71"/>
      <c r="C107" s="117"/>
      <c r="D107" s="71"/>
      <c r="E107" s="118"/>
    </row>
    <row r="108" spans="1:5" s="13" customFormat="1" ht="12" customHeight="1">
      <c r="A108" s="71"/>
      <c r="B108" s="71"/>
      <c r="C108" s="117"/>
      <c r="D108" s="71"/>
      <c r="E108" s="118"/>
    </row>
    <row r="109" spans="1:5" ht="13.5">
      <c r="A109" s="71"/>
      <c r="B109" s="71"/>
      <c r="C109" s="117"/>
      <c r="D109" s="71"/>
      <c r="E109" s="118"/>
    </row>
    <row r="110" spans="1:5" ht="13.5">
      <c r="A110" s="71"/>
      <c r="B110" s="71"/>
      <c r="C110" s="117"/>
      <c r="D110" s="71"/>
      <c r="E110" s="118"/>
    </row>
    <row r="111" spans="1:5" ht="13.5">
      <c r="A111" s="22"/>
      <c r="B111" s="22"/>
      <c r="C111" s="22"/>
      <c r="D111" s="22"/>
      <c r="E111" s="22"/>
    </row>
    <row r="112" spans="1:5" ht="13.5">
      <c r="A112" s="122"/>
      <c r="B112" s="122"/>
      <c r="C112" s="122"/>
      <c r="D112" s="122"/>
      <c r="E112" s="122"/>
    </row>
    <row r="113" spans="1:5" ht="13.5">
      <c r="A113" s="122"/>
      <c r="B113" s="122"/>
      <c r="C113" s="122"/>
      <c r="D113" s="122"/>
      <c r="E113" s="122"/>
    </row>
    <row r="114" spans="1:5" ht="13.5">
      <c r="A114" s="122"/>
      <c r="B114" s="122"/>
      <c r="C114" s="122"/>
      <c r="D114" s="122"/>
      <c r="E114" s="122"/>
    </row>
    <row r="115" spans="1:5" ht="13.5">
      <c r="A115" s="122"/>
      <c r="B115" s="122"/>
      <c r="C115" s="122"/>
      <c r="D115" s="122"/>
      <c r="E115" s="122"/>
    </row>
    <row r="116" spans="1:5" ht="13.5">
      <c r="A116" s="122"/>
      <c r="B116" s="122"/>
      <c r="C116" s="122"/>
      <c r="D116" s="122"/>
      <c r="E116" s="122"/>
    </row>
    <row r="117" spans="1:5" ht="13.5">
      <c r="A117" s="122"/>
      <c r="B117" s="122"/>
      <c r="C117" s="122"/>
      <c r="D117" s="122"/>
      <c r="E117" s="122"/>
    </row>
    <row r="118" spans="1:5" ht="13.5">
      <c r="A118" s="122"/>
      <c r="B118" s="122"/>
      <c r="C118" s="122"/>
      <c r="D118" s="122"/>
      <c r="E118" s="122"/>
    </row>
    <row r="119" spans="1:5" ht="13.5">
      <c r="A119" s="122"/>
      <c r="B119" s="122"/>
      <c r="C119" s="122"/>
      <c r="D119" s="122"/>
      <c r="E119" s="122"/>
    </row>
    <row r="120" spans="1:5" ht="13.5">
      <c r="A120" s="122"/>
      <c r="B120" s="122"/>
      <c r="C120" s="122"/>
      <c r="D120" s="122"/>
      <c r="E120" s="122"/>
    </row>
    <row r="121" spans="1:5" ht="13.5">
      <c r="A121" s="122"/>
      <c r="B121" s="122"/>
      <c r="C121" s="122"/>
      <c r="D121" s="122"/>
      <c r="E121" s="122"/>
    </row>
    <row r="122" spans="1:5" ht="13.5">
      <c r="A122" s="122"/>
      <c r="B122" s="122"/>
      <c r="C122" s="122"/>
      <c r="D122" s="122"/>
      <c r="E122" s="122"/>
    </row>
    <row r="123" spans="1:5" ht="13.5">
      <c r="A123" s="122"/>
      <c r="B123" s="122"/>
      <c r="C123" s="122"/>
      <c r="D123" s="122"/>
      <c r="E123" s="122"/>
    </row>
    <row r="124" spans="1:5" ht="13.5">
      <c r="A124" s="122"/>
      <c r="B124" s="122"/>
      <c r="C124" s="122"/>
      <c r="D124" s="122"/>
      <c r="E124" s="122"/>
    </row>
    <row r="125" spans="1:5" ht="13.5">
      <c r="A125" s="122"/>
      <c r="B125" s="122"/>
      <c r="C125" s="122"/>
      <c r="D125" s="122"/>
      <c r="E125" s="122"/>
    </row>
    <row r="126" spans="1:5" ht="12.75">
      <c r="A126" s="3"/>
      <c r="B126" s="3"/>
      <c r="C126" s="3"/>
      <c r="D126" s="3"/>
      <c r="E126" s="3"/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</sheetData>
  <sheetProtection/>
  <mergeCells count="2">
    <mergeCell ref="A1:E1"/>
    <mergeCell ref="C105:E105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5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PageLayoutView="0" workbookViewId="0" topLeftCell="A1">
      <selection activeCell="C42" sqref="C42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3.5">
      <c r="A1" s="166" t="s">
        <v>342</v>
      </c>
      <c r="B1" s="166"/>
      <c r="C1" s="166"/>
      <c r="D1" s="166"/>
      <c r="E1" s="166"/>
    </row>
    <row r="2" spans="1:5" ht="13.5">
      <c r="A2" s="22"/>
      <c r="B2" s="22"/>
      <c r="C2" s="148"/>
      <c r="D2" s="148"/>
      <c r="E2" s="148"/>
    </row>
    <row r="3" spans="1:5" ht="1.5" customHeight="1" thickBot="1">
      <c r="A3" s="22"/>
      <c r="B3" s="22"/>
      <c r="C3" s="23"/>
      <c r="D3" s="22"/>
      <c r="E3" s="22" t="s">
        <v>0</v>
      </c>
    </row>
    <row r="4" spans="1:5" ht="85.5" customHeight="1">
      <c r="A4" s="24" t="s">
        <v>1</v>
      </c>
      <c r="B4" s="25" t="s">
        <v>293</v>
      </c>
      <c r="C4" s="26" t="s">
        <v>338</v>
      </c>
      <c r="D4" s="25" t="s">
        <v>294</v>
      </c>
      <c r="E4" s="27" t="s">
        <v>295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3.5" customHeight="1">
      <c r="A6" s="33" t="s">
        <v>2</v>
      </c>
      <c r="B6" s="34"/>
      <c r="C6" s="35"/>
      <c r="D6" s="36"/>
      <c r="E6" s="37"/>
    </row>
    <row r="7" spans="1:5" ht="15" customHeight="1">
      <c r="A7" s="38" t="s">
        <v>45</v>
      </c>
      <c r="B7" s="79">
        <f>SUM(B8)</f>
        <v>49900</v>
      </c>
      <c r="C7" s="79">
        <f>SUM(C8)</f>
        <v>21733.43</v>
      </c>
      <c r="D7" s="40">
        <f aca="true" t="shared" si="0" ref="D7:D99">IF(B7=0,"   ",C7/B7*100)</f>
        <v>43.553967935871746</v>
      </c>
      <c r="E7" s="41">
        <f aca="true" t="shared" si="1" ref="E7:E101">C7-B7</f>
        <v>-28166.57</v>
      </c>
    </row>
    <row r="8" spans="1:5" ht="12.75" customHeight="1">
      <c r="A8" s="21" t="s">
        <v>44</v>
      </c>
      <c r="B8" s="80">
        <v>49900</v>
      </c>
      <c r="C8" s="81">
        <v>21733.43</v>
      </c>
      <c r="D8" s="40">
        <f t="shared" si="0"/>
        <v>43.553967935871746</v>
      </c>
      <c r="E8" s="41">
        <f t="shared" si="1"/>
        <v>-28166.57</v>
      </c>
    </row>
    <row r="9" spans="1:5" ht="12.75" customHeight="1">
      <c r="A9" s="38" t="s">
        <v>129</v>
      </c>
      <c r="B9" s="79">
        <f>SUM(B10)</f>
        <v>741400</v>
      </c>
      <c r="C9" s="79">
        <f>SUM(C10)</f>
        <v>500523.11</v>
      </c>
      <c r="D9" s="40">
        <f t="shared" si="0"/>
        <v>67.51053547342865</v>
      </c>
      <c r="E9" s="41">
        <f t="shared" si="1"/>
        <v>-240876.89</v>
      </c>
    </row>
    <row r="10" spans="1:5" ht="12.75" customHeight="1">
      <c r="A10" s="21" t="s">
        <v>130</v>
      </c>
      <c r="B10" s="80">
        <v>741400</v>
      </c>
      <c r="C10" s="81">
        <v>500523.11</v>
      </c>
      <c r="D10" s="40">
        <f t="shared" si="0"/>
        <v>67.51053547342865</v>
      </c>
      <c r="E10" s="41">
        <f t="shared" si="1"/>
        <v>-240876.89</v>
      </c>
    </row>
    <row r="11" spans="1:5" ht="16.5" customHeight="1">
      <c r="A11" s="21" t="s">
        <v>7</v>
      </c>
      <c r="B11" s="80">
        <f>SUM(B12:B12)</f>
        <v>24700</v>
      </c>
      <c r="C11" s="80">
        <f>SUM(C12:C12)</f>
        <v>22318.41</v>
      </c>
      <c r="D11" s="40">
        <f t="shared" si="0"/>
        <v>90.35793522267205</v>
      </c>
      <c r="E11" s="41">
        <f t="shared" si="1"/>
        <v>-2381.59</v>
      </c>
    </row>
    <row r="12" spans="1:5" ht="16.5" customHeight="1">
      <c r="A12" s="21" t="s">
        <v>26</v>
      </c>
      <c r="B12" s="80">
        <v>24700</v>
      </c>
      <c r="C12" s="81">
        <v>22318.41</v>
      </c>
      <c r="D12" s="40">
        <f t="shared" si="0"/>
        <v>90.35793522267205</v>
      </c>
      <c r="E12" s="41">
        <f t="shared" si="1"/>
        <v>-2381.59</v>
      </c>
    </row>
    <row r="13" spans="1:5" ht="15.75" customHeight="1">
      <c r="A13" s="21" t="s">
        <v>9</v>
      </c>
      <c r="B13" s="80">
        <f>SUM(B14:B15)</f>
        <v>479000</v>
      </c>
      <c r="C13" s="80">
        <f>SUM(C14:C15)</f>
        <v>132209.24</v>
      </c>
      <c r="D13" s="40">
        <f t="shared" si="0"/>
        <v>27.60109394572025</v>
      </c>
      <c r="E13" s="41">
        <f t="shared" si="1"/>
        <v>-346790.76</v>
      </c>
    </row>
    <row r="14" spans="1:5" ht="15.75" customHeight="1">
      <c r="A14" s="21" t="s">
        <v>27</v>
      </c>
      <c r="B14" s="80">
        <v>275000</v>
      </c>
      <c r="C14" s="81">
        <v>93198</v>
      </c>
      <c r="D14" s="40">
        <f t="shared" si="0"/>
        <v>33.890181818181816</v>
      </c>
      <c r="E14" s="41">
        <f t="shared" si="1"/>
        <v>-181802</v>
      </c>
    </row>
    <row r="15" spans="1:5" ht="14.25" customHeight="1">
      <c r="A15" s="21" t="s">
        <v>152</v>
      </c>
      <c r="B15" s="80">
        <f>SUM(B16:B17)</f>
        <v>204000</v>
      </c>
      <c r="C15" s="80">
        <f>SUM(C16:C17)</f>
        <v>39011.24</v>
      </c>
      <c r="D15" s="40">
        <f t="shared" si="0"/>
        <v>19.1231568627451</v>
      </c>
      <c r="E15" s="41">
        <f t="shared" si="1"/>
        <v>-164988.76</v>
      </c>
    </row>
    <row r="16" spans="1:5" ht="14.25" customHeight="1">
      <c r="A16" s="21" t="s">
        <v>153</v>
      </c>
      <c r="B16" s="80">
        <v>63200</v>
      </c>
      <c r="C16" s="81">
        <v>22115.14</v>
      </c>
      <c r="D16" s="40">
        <f t="shared" si="0"/>
        <v>34.992310126582275</v>
      </c>
      <c r="E16" s="41">
        <f t="shared" si="1"/>
        <v>-41084.86</v>
      </c>
    </row>
    <row r="17" spans="1:5" ht="14.25" customHeight="1">
      <c r="A17" s="21" t="s">
        <v>154</v>
      </c>
      <c r="B17" s="80">
        <v>140800</v>
      </c>
      <c r="C17" s="81">
        <v>16896.1</v>
      </c>
      <c r="D17" s="40">
        <f t="shared" si="0"/>
        <v>12.00007102272727</v>
      </c>
      <c r="E17" s="41">
        <f t="shared" si="1"/>
        <v>-123903.9</v>
      </c>
    </row>
    <row r="18" spans="1:5" ht="14.25" customHeight="1">
      <c r="A18" s="21" t="s">
        <v>187</v>
      </c>
      <c r="B18" s="80">
        <v>0</v>
      </c>
      <c r="C18" s="81">
        <v>0</v>
      </c>
      <c r="D18" s="40" t="str">
        <f t="shared" si="0"/>
        <v>   </v>
      </c>
      <c r="E18" s="41">
        <f t="shared" si="1"/>
        <v>0</v>
      </c>
    </row>
    <row r="19" spans="1:5" ht="15" customHeight="1">
      <c r="A19" s="21" t="s">
        <v>85</v>
      </c>
      <c r="B19" s="80">
        <v>0</v>
      </c>
      <c r="C19" s="80">
        <v>0</v>
      </c>
      <c r="D19" s="40" t="str">
        <f t="shared" si="0"/>
        <v>   </v>
      </c>
      <c r="E19" s="41">
        <f t="shared" si="1"/>
        <v>0</v>
      </c>
    </row>
    <row r="20" spans="1:5" ht="28.5" customHeight="1">
      <c r="A20" s="21" t="s">
        <v>28</v>
      </c>
      <c r="B20" s="36">
        <f>SUM(B21:B22)</f>
        <v>240600</v>
      </c>
      <c r="C20" s="36">
        <f>SUM(C21:C22)</f>
        <v>55659.14</v>
      </c>
      <c r="D20" s="40">
        <f t="shared" si="0"/>
        <v>23.133474646716543</v>
      </c>
      <c r="E20" s="41">
        <f t="shared" si="1"/>
        <v>-184940.86</v>
      </c>
    </row>
    <row r="21" spans="1:5" ht="13.5" customHeight="1">
      <c r="A21" s="21" t="s">
        <v>144</v>
      </c>
      <c r="B21" s="80">
        <v>140600</v>
      </c>
      <c r="C21" s="81">
        <v>8034</v>
      </c>
      <c r="D21" s="40">
        <f t="shared" si="0"/>
        <v>5.714082503556188</v>
      </c>
      <c r="E21" s="41">
        <f t="shared" si="1"/>
        <v>-132566</v>
      </c>
    </row>
    <row r="22" spans="1:5" ht="15.75" customHeight="1">
      <c r="A22" s="21" t="s">
        <v>30</v>
      </c>
      <c r="B22" s="80">
        <v>100000</v>
      </c>
      <c r="C22" s="81">
        <v>47625.14</v>
      </c>
      <c r="D22" s="40">
        <f t="shared" si="0"/>
        <v>47.62514</v>
      </c>
      <c r="E22" s="41">
        <f t="shared" si="1"/>
        <v>-52374.86</v>
      </c>
    </row>
    <row r="23" spans="1:5" ht="17.25" customHeight="1">
      <c r="A23" s="21" t="s">
        <v>88</v>
      </c>
      <c r="B23" s="80">
        <v>0</v>
      </c>
      <c r="C23" s="81">
        <v>0</v>
      </c>
      <c r="D23" s="40" t="str">
        <f t="shared" si="0"/>
        <v>   </v>
      </c>
      <c r="E23" s="41">
        <f t="shared" si="1"/>
        <v>0</v>
      </c>
    </row>
    <row r="24" spans="1:5" ht="18.75" customHeight="1">
      <c r="A24" s="21" t="s">
        <v>78</v>
      </c>
      <c r="B24" s="80">
        <f>SUM(B25+B26)</f>
        <v>4045165</v>
      </c>
      <c r="C24" s="80">
        <f>SUM(C25+C26)</f>
        <v>4045166.2</v>
      </c>
      <c r="D24" s="40">
        <f t="shared" si="0"/>
        <v>100.00002966504458</v>
      </c>
      <c r="E24" s="41">
        <f t="shared" si="1"/>
        <v>1.2000000001862645</v>
      </c>
    </row>
    <row r="25" spans="1:5" ht="18.75" customHeight="1">
      <c r="A25" s="21" t="s">
        <v>127</v>
      </c>
      <c r="B25" s="80">
        <v>141789</v>
      </c>
      <c r="C25" s="149">
        <v>354614.2</v>
      </c>
      <c r="D25" s="40">
        <f>IF(B25=0,"   ",C25/B25*100)</f>
        <v>250.09993723067376</v>
      </c>
      <c r="E25" s="41">
        <f>C25-B25</f>
        <v>212825.2</v>
      </c>
    </row>
    <row r="26" spans="1:5" ht="22.5" customHeight="1">
      <c r="A26" s="21" t="s">
        <v>188</v>
      </c>
      <c r="B26" s="80">
        <v>3903376</v>
      </c>
      <c r="C26" s="150">
        <v>3690552</v>
      </c>
      <c r="D26" s="40">
        <f t="shared" si="0"/>
        <v>94.54769409864691</v>
      </c>
      <c r="E26" s="41">
        <f t="shared" si="1"/>
        <v>-212824</v>
      </c>
    </row>
    <row r="27" spans="1:5" ht="16.5" customHeight="1">
      <c r="A27" s="21" t="s">
        <v>32</v>
      </c>
      <c r="B27" s="80">
        <f>B28+B30+B29</f>
        <v>67916.67</v>
      </c>
      <c r="C27" s="80">
        <f>C28+C30+C29</f>
        <v>67916.7</v>
      </c>
      <c r="D27" s="40">
        <f t="shared" si="0"/>
        <v>100.00004417177696</v>
      </c>
      <c r="E27" s="41">
        <f t="shared" si="1"/>
        <v>0.029999999998835847</v>
      </c>
    </row>
    <row r="28" spans="1:5" ht="13.5" customHeight="1">
      <c r="A28" s="21" t="s">
        <v>46</v>
      </c>
      <c r="B28" s="80">
        <v>0</v>
      </c>
      <c r="C28" s="82">
        <v>0</v>
      </c>
      <c r="D28" s="40" t="str">
        <f t="shared" si="0"/>
        <v>   </v>
      </c>
      <c r="E28" s="41">
        <f t="shared" si="1"/>
        <v>0</v>
      </c>
    </row>
    <row r="29" spans="1:5" ht="13.5" customHeight="1">
      <c r="A29" s="21" t="s">
        <v>323</v>
      </c>
      <c r="B29" s="80">
        <v>67916.67</v>
      </c>
      <c r="C29" s="82">
        <v>67916.7</v>
      </c>
      <c r="D29" s="40">
        <f t="shared" si="0"/>
        <v>100.00004417177696</v>
      </c>
      <c r="E29" s="41">
        <f t="shared" si="1"/>
        <v>0.029999999998835847</v>
      </c>
    </row>
    <row r="30" spans="1:5" ht="13.5" customHeight="1">
      <c r="A30" s="21" t="s">
        <v>20</v>
      </c>
      <c r="B30" s="80">
        <v>0</v>
      </c>
      <c r="C30" s="82">
        <v>0</v>
      </c>
      <c r="D30" s="40"/>
      <c r="E30" s="41">
        <f t="shared" si="1"/>
        <v>0</v>
      </c>
    </row>
    <row r="31" spans="1:5" ht="12" customHeight="1">
      <c r="A31" s="21" t="s">
        <v>31</v>
      </c>
      <c r="B31" s="80">
        <v>0</v>
      </c>
      <c r="C31" s="80">
        <v>0</v>
      </c>
      <c r="D31" s="40" t="str">
        <f t="shared" si="0"/>
        <v>   </v>
      </c>
      <c r="E31" s="41">
        <f t="shared" si="1"/>
        <v>0</v>
      </c>
    </row>
    <row r="32" spans="1:5" ht="21" customHeight="1">
      <c r="A32" s="44" t="s">
        <v>10</v>
      </c>
      <c r="B32" s="83">
        <f>SUM(B7,B9,B11,B13,B20,B23,B24,B27,B31,B18)</f>
        <v>5648681.67</v>
      </c>
      <c r="C32" s="83">
        <f>SUM(C7,C9,C11,C13,C20,C23,C24,C27,C31,C18)</f>
        <v>4845526.23</v>
      </c>
      <c r="D32" s="46">
        <f t="shared" si="0"/>
        <v>85.78154183717703</v>
      </c>
      <c r="E32" s="47">
        <f t="shared" si="1"/>
        <v>-803155.4399999995</v>
      </c>
    </row>
    <row r="33" spans="1:5" ht="21" customHeight="1">
      <c r="A33" s="64" t="s">
        <v>132</v>
      </c>
      <c r="B33" s="84">
        <f>SUM(B34:B37,B40:B44,B48)</f>
        <v>3772269.2</v>
      </c>
      <c r="C33" s="84">
        <f>SUM(C34:C37,C40:C44,C48)</f>
        <v>2640780</v>
      </c>
      <c r="D33" s="46">
        <f t="shared" si="0"/>
        <v>70.00507811054418</v>
      </c>
      <c r="E33" s="47">
        <f t="shared" si="1"/>
        <v>-1131489.2000000002</v>
      </c>
    </row>
    <row r="34" spans="1:5" ht="18" customHeight="1">
      <c r="A34" s="38" t="s">
        <v>34</v>
      </c>
      <c r="B34" s="79">
        <v>2136800</v>
      </c>
      <c r="C34" s="81">
        <v>1426180</v>
      </c>
      <c r="D34" s="40">
        <f t="shared" si="0"/>
        <v>66.74372894047174</v>
      </c>
      <c r="E34" s="41">
        <f t="shared" si="1"/>
        <v>-710620</v>
      </c>
    </row>
    <row r="35" spans="1:5" ht="18" customHeight="1">
      <c r="A35" s="38" t="s">
        <v>218</v>
      </c>
      <c r="B35" s="79">
        <v>0</v>
      </c>
      <c r="C35" s="81">
        <v>0</v>
      </c>
      <c r="D35" s="54" t="str">
        <f>IF(B35=0,"   ",C35/B35*100)</f>
        <v>   </v>
      </c>
      <c r="E35" s="55">
        <f>C35-B35</f>
        <v>0</v>
      </c>
    </row>
    <row r="36" spans="1:5" ht="28.5" customHeight="1">
      <c r="A36" s="52" t="s">
        <v>51</v>
      </c>
      <c r="B36" s="85">
        <v>103700</v>
      </c>
      <c r="C36" s="86">
        <v>74300</v>
      </c>
      <c r="D36" s="54">
        <f t="shared" si="0"/>
        <v>71.648987463838</v>
      </c>
      <c r="E36" s="55">
        <f t="shared" si="1"/>
        <v>-29400</v>
      </c>
    </row>
    <row r="37" spans="1:5" ht="30.75" customHeight="1">
      <c r="A37" s="52" t="s">
        <v>140</v>
      </c>
      <c r="B37" s="85">
        <f>SUM(B38:B39)</f>
        <v>100</v>
      </c>
      <c r="C37" s="85">
        <f>SUM(C38:C39)</f>
        <v>100</v>
      </c>
      <c r="D37" s="54">
        <f t="shared" si="0"/>
        <v>100</v>
      </c>
      <c r="E37" s="55">
        <f t="shared" si="1"/>
        <v>0</v>
      </c>
    </row>
    <row r="38" spans="1:5" ht="16.5" customHeight="1">
      <c r="A38" s="52" t="s">
        <v>155</v>
      </c>
      <c r="B38" s="151">
        <v>100</v>
      </c>
      <c r="C38" s="152">
        <v>100</v>
      </c>
      <c r="D38" s="54">
        <f aca="true" t="shared" si="2" ref="D38:D43">IF(B38=0,"   ",C38/B38*100)</f>
        <v>100</v>
      </c>
      <c r="E38" s="55">
        <f aca="true" t="shared" si="3" ref="E38:E43">C38-B38</f>
        <v>0</v>
      </c>
    </row>
    <row r="39" spans="1:5" ht="30.75" customHeight="1">
      <c r="A39" s="52" t="s">
        <v>156</v>
      </c>
      <c r="B39" s="85">
        <v>0</v>
      </c>
      <c r="C39" s="153">
        <v>0</v>
      </c>
      <c r="D39" s="54" t="str">
        <f t="shared" si="2"/>
        <v>   </v>
      </c>
      <c r="E39" s="55">
        <f t="shared" si="3"/>
        <v>0</v>
      </c>
    </row>
    <row r="40" spans="1:5" ht="25.5" customHeight="1">
      <c r="A40" s="21" t="s">
        <v>275</v>
      </c>
      <c r="B40" s="85">
        <v>0</v>
      </c>
      <c r="C40" s="85">
        <v>0</v>
      </c>
      <c r="D40" s="54" t="str">
        <f t="shared" si="2"/>
        <v>   </v>
      </c>
      <c r="E40" s="55">
        <f t="shared" si="3"/>
        <v>0</v>
      </c>
    </row>
    <row r="41" spans="1:5" ht="25.5" customHeight="1">
      <c r="A41" s="21" t="s">
        <v>332</v>
      </c>
      <c r="B41" s="85">
        <v>59200</v>
      </c>
      <c r="C41" s="85">
        <v>59200</v>
      </c>
      <c r="D41" s="54">
        <f t="shared" si="2"/>
        <v>100</v>
      </c>
      <c r="E41" s="55">
        <f t="shared" si="3"/>
        <v>0</v>
      </c>
    </row>
    <row r="42" spans="1:5" ht="57.75" customHeight="1">
      <c r="A42" s="21" t="s">
        <v>227</v>
      </c>
      <c r="B42" s="85">
        <v>704900</v>
      </c>
      <c r="C42" s="85">
        <v>701375.5</v>
      </c>
      <c r="D42" s="54">
        <f t="shared" si="2"/>
        <v>99.5</v>
      </c>
      <c r="E42" s="55">
        <f t="shared" si="3"/>
        <v>-3524.5</v>
      </c>
    </row>
    <row r="43" spans="1:5" ht="30.75" customHeight="1">
      <c r="A43" s="21" t="s">
        <v>253</v>
      </c>
      <c r="B43" s="85">
        <v>0</v>
      </c>
      <c r="C43" s="85">
        <v>0</v>
      </c>
      <c r="D43" s="54" t="str">
        <f t="shared" si="2"/>
        <v>   </v>
      </c>
      <c r="E43" s="55">
        <f t="shared" si="3"/>
        <v>0</v>
      </c>
    </row>
    <row r="44" spans="1:5" ht="15" customHeight="1">
      <c r="A44" s="21" t="s">
        <v>81</v>
      </c>
      <c r="B44" s="80">
        <f>SUM(B45:B47)</f>
        <v>767569.2</v>
      </c>
      <c r="C44" s="80">
        <f>SUM(C45:C47)</f>
        <v>379624.5</v>
      </c>
      <c r="D44" s="40">
        <f t="shared" si="0"/>
        <v>49.458016293514646</v>
      </c>
      <c r="E44" s="41">
        <f t="shared" si="1"/>
        <v>-387944.69999999995</v>
      </c>
    </row>
    <row r="45" spans="1:5" ht="15" customHeight="1">
      <c r="A45" s="21" t="s">
        <v>179</v>
      </c>
      <c r="B45" s="80">
        <v>290069.2</v>
      </c>
      <c r="C45" s="80">
        <v>0</v>
      </c>
      <c r="D45" s="40">
        <f t="shared" si="0"/>
        <v>0</v>
      </c>
      <c r="E45" s="41">
        <f t="shared" si="1"/>
        <v>-290069.2</v>
      </c>
    </row>
    <row r="46" spans="1:5" ht="15" customHeight="1">
      <c r="A46" s="21" t="s">
        <v>299</v>
      </c>
      <c r="B46" s="80">
        <v>30000</v>
      </c>
      <c r="C46" s="80">
        <v>0</v>
      </c>
      <c r="D46" s="40">
        <f t="shared" si="0"/>
        <v>0</v>
      </c>
      <c r="E46" s="41">
        <f t="shared" si="1"/>
        <v>-30000</v>
      </c>
    </row>
    <row r="47" spans="1:5" s="6" customFormat="1" ht="15" customHeight="1">
      <c r="A47" s="21" t="s">
        <v>104</v>
      </c>
      <c r="B47" s="80">
        <v>447500</v>
      </c>
      <c r="C47" s="80">
        <v>379624.5</v>
      </c>
      <c r="D47" s="54">
        <f>IF(B47=0,"   ",C47/B47*100)</f>
        <v>84.8322905027933</v>
      </c>
      <c r="E47" s="55">
        <f>C47-B47</f>
        <v>-67875.5</v>
      </c>
    </row>
    <row r="48" spans="1:5" s="6" customFormat="1" ht="15" customHeight="1">
      <c r="A48" s="21" t="s">
        <v>189</v>
      </c>
      <c r="B48" s="80">
        <v>0</v>
      </c>
      <c r="C48" s="80">
        <v>0</v>
      </c>
      <c r="D48" s="36" t="str">
        <f t="shared" si="0"/>
        <v>   </v>
      </c>
      <c r="E48" s="41">
        <f t="shared" si="1"/>
        <v>0</v>
      </c>
    </row>
    <row r="49" spans="1:5" ht="43.5" customHeight="1">
      <c r="A49" s="44" t="s">
        <v>11</v>
      </c>
      <c r="B49" s="116">
        <f>SUM(B32:B33,)</f>
        <v>9420950.870000001</v>
      </c>
      <c r="C49" s="116">
        <f>SUM(C32:C33,)</f>
        <v>7486306.23</v>
      </c>
      <c r="D49" s="40">
        <f t="shared" si="0"/>
        <v>79.4644440174222</v>
      </c>
      <c r="E49" s="41">
        <f t="shared" si="1"/>
        <v>-1934644.6400000006</v>
      </c>
    </row>
    <row r="50" spans="1:5" ht="12.75" customHeight="1">
      <c r="A50" s="33" t="s">
        <v>12</v>
      </c>
      <c r="B50" s="154"/>
      <c r="C50" s="155"/>
      <c r="D50" s="40" t="str">
        <f t="shared" si="0"/>
        <v>   </v>
      </c>
      <c r="E50" s="41">
        <f t="shared" si="1"/>
        <v>0</v>
      </c>
    </row>
    <row r="51" spans="1:5" ht="21" customHeight="1">
      <c r="A51" s="21" t="s">
        <v>35</v>
      </c>
      <c r="B51" s="36">
        <f>SUM(B52,B55,B56)</f>
        <v>1909500</v>
      </c>
      <c r="C51" s="36">
        <f>SUM(C52,C55,C56)</f>
        <v>1144027.28</v>
      </c>
      <c r="D51" s="40">
        <f t="shared" si="0"/>
        <v>59.91240010473946</v>
      </c>
      <c r="E51" s="41">
        <f t="shared" si="1"/>
        <v>-765472.72</v>
      </c>
    </row>
    <row r="52" spans="1:5" ht="15" customHeight="1">
      <c r="A52" s="21" t="s">
        <v>36</v>
      </c>
      <c r="B52" s="36">
        <v>1869000</v>
      </c>
      <c r="C52" s="36">
        <v>1144027.28</v>
      </c>
      <c r="D52" s="40">
        <f t="shared" si="0"/>
        <v>61.210662386302836</v>
      </c>
      <c r="E52" s="41">
        <f t="shared" si="1"/>
        <v>-724972.72</v>
      </c>
    </row>
    <row r="53" spans="1:5" ht="15" customHeight="1">
      <c r="A53" s="21" t="s">
        <v>116</v>
      </c>
      <c r="B53" s="36">
        <v>991705</v>
      </c>
      <c r="C53" s="99">
        <v>476741.65</v>
      </c>
      <c r="D53" s="40">
        <f t="shared" si="0"/>
        <v>48.07292995396817</v>
      </c>
      <c r="E53" s="41">
        <f t="shared" si="1"/>
        <v>-514963.35</v>
      </c>
    </row>
    <row r="54" spans="1:5" ht="15" customHeight="1">
      <c r="A54" s="21" t="s">
        <v>334</v>
      </c>
      <c r="B54" s="36">
        <v>59200</v>
      </c>
      <c r="C54" s="99">
        <v>59200</v>
      </c>
      <c r="D54" s="40">
        <f>IF(B54=0,"   ",C54/B54*100)</f>
        <v>100</v>
      </c>
      <c r="E54" s="41">
        <f>C54-B54</f>
        <v>0</v>
      </c>
    </row>
    <row r="55" spans="1:5" ht="12.75" customHeight="1">
      <c r="A55" s="21" t="s">
        <v>91</v>
      </c>
      <c r="B55" s="36">
        <v>500</v>
      </c>
      <c r="C55" s="107">
        <v>0</v>
      </c>
      <c r="D55" s="40">
        <f t="shared" si="0"/>
        <v>0</v>
      </c>
      <c r="E55" s="41">
        <f t="shared" si="1"/>
        <v>-500</v>
      </c>
    </row>
    <row r="56" spans="1:5" ht="12.75" customHeight="1">
      <c r="A56" s="21" t="s">
        <v>52</v>
      </c>
      <c r="B56" s="107">
        <f>SUM(B58+B57)</f>
        <v>40000</v>
      </c>
      <c r="C56" s="107">
        <f>SUM(C58+C57)</f>
        <v>0</v>
      </c>
      <c r="D56" s="40">
        <f t="shared" si="0"/>
        <v>0</v>
      </c>
      <c r="E56" s="41">
        <f t="shared" si="1"/>
        <v>-40000</v>
      </c>
    </row>
    <row r="57" spans="1:5" ht="18.75" customHeight="1">
      <c r="A57" s="17" t="s">
        <v>225</v>
      </c>
      <c r="B57" s="107">
        <v>0</v>
      </c>
      <c r="C57" s="107">
        <v>0</v>
      </c>
      <c r="D57" s="40" t="str">
        <f>IF(B57=0,"   ",C57/B57*100)</f>
        <v>   </v>
      </c>
      <c r="E57" s="41">
        <f>C57-B57</f>
        <v>0</v>
      </c>
    </row>
    <row r="58" spans="1:5" ht="23.25" customHeight="1">
      <c r="A58" s="17" t="s">
        <v>235</v>
      </c>
      <c r="B58" s="36">
        <v>40000</v>
      </c>
      <c r="C58" s="107">
        <v>0</v>
      </c>
      <c r="D58" s="40">
        <f t="shared" si="0"/>
        <v>0</v>
      </c>
      <c r="E58" s="41">
        <f t="shared" si="1"/>
        <v>-40000</v>
      </c>
    </row>
    <row r="59" spans="1:5" ht="21.75" customHeight="1">
      <c r="A59" s="21" t="s">
        <v>49</v>
      </c>
      <c r="B59" s="107">
        <f>SUM(B60)</f>
        <v>103700</v>
      </c>
      <c r="C59" s="107">
        <f>SUM(C60)</f>
        <v>60055.51</v>
      </c>
      <c r="D59" s="40">
        <f t="shared" si="0"/>
        <v>57.91273866923818</v>
      </c>
      <c r="E59" s="41">
        <f t="shared" si="1"/>
        <v>-43644.49</v>
      </c>
    </row>
    <row r="60" spans="1:5" ht="13.5" customHeight="1">
      <c r="A60" s="21" t="s">
        <v>102</v>
      </c>
      <c r="B60" s="36">
        <v>103700</v>
      </c>
      <c r="C60" s="107">
        <v>60055.51</v>
      </c>
      <c r="D60" s="40">
        <f t="shared" si="0"/>
        <v>57.91273866923818</v>
      </c>
      <c r="E60" s="41">
        <f t="shared" si="1"/>
        <v>-43644.49</v>
      </c>
    </row>
    <row r="61" spans="1:5" ht="16.5" customHeight="1">
      <c r="A61" s="21" t="s">
        <v>37</v>
      </c>
      <c r="B61" s="36">
        <f>SUM(B62)</f>
        <v>1000</v>
      </c>
      <c r="C61" s="107">
        <f>SUM(C62)</f>
        <v>0</v>
      </c>
      <c r="D61" s="40">
        <f t="shared" si="0"/>
        <v>0</v>
      </c>
      <c r="E61" s="41">
        <f t="shared" si="1"/>
        <v>-1000</v>
      </c>
    </row>
    <row r="62" spans="1:5" ht="15" customHeight="1">
      <c r="A62" s="60" t="s">
        <v>325</v>
      </c>
      <c r="B62" s="36">
        <v>1000</v>
      </c>
      <c r="C62" s="107">
        <v>0</v>
      </c>
      <c r="D62" s="40">
        <f t="shared" si="0"/>
        <v>0</v>
      </c>
      <c r="E62" s="41">
        <f t="shared" si="1"/>
        <v>-1000</v>
      </c>
    </row>
    <row r="63" spans="1:5" ht="18.75" customHeight="1" thickBot="1">
      <c r="A63" s="21" t="s">
        <v>38</v>
      </c>
      <c r="B63" s="36">
        <f>SUM(B69,B64,B77)</f>
        <v>2318985.7</v>
      </c>
      <c r="C63" s="36">
        <f>SUM(C69,C64,C77)</f>
        <v>1353338.16</v>
      </c>
      <c r="D63" s="40">
        <f t="shared" si="0"/>
        <v>58.35905585791236</v>
      </c>
      <c r="E63" s="41">
        <f t="shared" si="1"/>
        <v>-965647.5400000003</v>
      </c>
    </row>
    <row r="64" spans="1:5" ht="18.75" customHeight="1" thickBot="1">
      <c r="A64" s="62" t="s">
        <v>157</v>
      </c>
      <c r="B64" s="93">
        <f>SUM(B65:B68)</f>
        <v>32000</v>
      </c>
      <c r="C64" s="36">
        <f>SUM(C65+C66)</f>
        <v>0</v>
      </c>
      <c r="D64" s="40">
        <f>IF(B64=0,"   ",C64/B64*100)</f>
        <v>0</v>
      </c>
      <c r="E64" s="41">
        <f>C64-B64</f>
        <v>-32000</v>
      </c>
    </row>
    <row r="65" spans="1:5" ht="15" customHeight="1">
      <c r="A65" s="62" t="s">
        <v>158</v>
      </c>
      <c r="B65" s="36">
        <v>0</v>
      </c>
      <c r="C65" s="36">
        <v>0</v>
      </c>
      <c r="D65" s="40" t="str">
        <f>IF(B65=0,"   ",C65/B65*100)</f>
        <v>   </v>
      </c>
      <c r="E65" s="41">
        <f>C65-B65</f>
        <v>0</v>
      </c>
    </row>
    <row r="66" spans="1:5" ht="15" customHeight="1">
      <c r="A66" s="62" t="s">
        <v>180</v>
      </c>
      <c r="B66" s="36">
        <v>0</v>
      </c>
      <c r="C66" s="36">
        <v>0</v>
      </c>
      <c r="D66" s="40" t="str">
        <f>IF(B66=0,"   ",C66/B66*100)</f>
        <v>   </v>
      </c>
      <c r="E66" s="41">
        <f>C66-B66</f>
        <v>0</v>
      </c>
    </row>
    <row r="67" spans="1:5" ht="15" customHeight="1">
      <c r="A67" s="62" t="s">
        <v>300</v>
      </c>
      <c r="B67" s="36">
        <v>30000</v>
      </c>
      <c r="C67" s="36"/>
      <c r="D67" s="40">
        <f>IF(B67=0,"   ",C67/B67*100)</f>
        <v>0</v>
      </c>
      <c r="E67" s="41">
        <f>C67-B67</f>
        <v>-30000</v>
      </c>
    </row>
    <row r="68" spans="1:5" ht="15" customHeight="1">
      <c r="A68" s="62" t="s">
        <v>301</v>
      </c>
      <c r="B68" s="36">
        <v>2000</v>
      </c>
      <c r="C68" s="36"/>
      <c r="D68" s="40">
        <f>IF(B68=0,"   ",C68/B68*100)</f>
        <v>0</v>
      </c>
      <c r="E68" s="41">
        <f>C68-B68</f>
        <v>-2000</v>
      </c>
    </row>
    <row r="69" spans="1:5" ht="13.5" customHeight="1">
      <c r="A69" s="21" t="s">
        <v>39</v>
      </c>
      <c r="B69" s="36">
        <f>SUM(B70:B76)</f>
        <v>2078752.54</v>
      </c>
      <c r="C69" s="36">
        <f>SUM(C70:C76)</f>
        <v>1205105</v>
      </c>
      <c r="D69" s="40">
        <f t="shared" si="0"/>
        <v>57.972508839363826</v>
      </c>
      <c r="E69" s="41">
        <f t="shared" si="1"/>
        <v>-873647.54</v>
      </c>
    </row>
    <row r="70" spans="1:5" ht="17.25" customHeight="1">
      <c r="A70" s="60" t="s">
        <v>141</v>
      </c>
      <c r="B70" s="36">
        <v>100000</v>
      </c>
      <c r="C70" s="36">
        <v>0</v>
      </c>
      <c r="D70" s="40">
        <f t="shared" si="0"/>
        <v>0</v>
      </c>
      <c r="E70" s="41">
        <f t="shared" si="1"/>
        <v>-100000</v>
      </c>
    </row>
    <row r="71" spans="1:5" ht="24" customHeight="1">
      <c r="A71" s="17" t="s">
        <v>238</v>
      </c>
      <c r="B71" s="36">
        <v>634952.54</v>
      </c>
      <c r="C71" s="36">
        <v>3916.5</v>
      </c>
      <c r="D71" s="40">
        <f t="shared" si="0"/>
        <v>0.6168177545994225</v>
      </c>
      <c r="E71" s="41">
        <f t="shared" si="1"/>
        <v>-631036.04</v>
      </c>
    </row>
    <row r="72" spans="1:5" ht="24" customHeight="1">
      <c r="A72" s="17" t="s">
        <v>239</v>
      </c>
      <c r="B72" s="36">
        <v>63200</v>
      </c>
      <c r="C72" s="36">
        <v>0</v>
      </c>
      <c r="D72" s="40">
        <f t="shared" si="0"/>
        <v>0</v>
      </c>
      <c r="E72" s="41">
        <f t="shared" si="1"/>
        <v>-63200</v>
      </c>
    </row>
    <row r="73" spans="1:5" ht="24" customHeight="1">
      <c r="A73" s="17" t="s">
        <v>240</v>
      </c>
      <c r="B73" s="36">
        <v>704900</v>
      </c>
      <c r="C73" s="36">
        <v>701375.5</v>
      </c>
      <c r="D73" s="40">
        <f t="shared" si="0"/>
        <v>99.5</v>
      </c>
      <c r="E73" s="41">
        <f t="shared" si="1"/>
        <v>-3524.5</v>
      </c>
    </row>
    <row r="74" spans="1:5" ht="24" customHeight="1">
      <c r="A74" s="17" t="s">
        <v>241</v>
      </c>
      <c r="B74" s="36">
        <v>78400</v>
      </c>
      <c r="C74" s="36">
        <v>78008</v>
      </c>
      <c r="D74" s="40">
        <f t="shared" si="0"/>
        <v>99.5</v>
      </c>
      <c r="E74" s="41">
        <f t="shared" si="1"/>
        <v>-392</v>
      </c>
    </row>
    <row r="75" spans="1:5" ht="24" customHeight="1">
      <c r="A75" s="17" t="s">
        <v>242</v>
      </c>
      <c r="B75" s="36">
        <v>447500</v>
      </c>
      <c r="C75" s="36">
        <v>379624.5</v>
      </c>
      <c r="D75" s="40">
        <f t="shared" si="0"/>
        <v>84.8322905027933</v>
      </c>
      <c r="E75" s="41">
        <f t="shared" si="1"/>
        <v>-67875.5</v>
      </c>
    </row>
    <row r="76" spans="1:5" ht="26.25" customHeight="1">
      <c r="A76" s="62" t="s">
        <v>243</v>
      </c>
      <c r="B76" s="36">
        <v>49800</v>
      </c>
      <c r="C76" s="36">
        <v>42180.5</v>
      </c>
      <c r="D76" s="40">
        <f t="shared" si="0"/>
        <v>84.69979919678715</v>
      </c>
      <c r="E76" s="41">
        <f t="shared" si="1"/>
        <v>-7619.5</v>
      </c>
    </row>
    <row r="77" spans="1:5" ht="18.75" customHeight="1">
      <c r="A77" s="62" t="s">
        <v>168</v>
      </c>
      <c r="B77" s="36">
        <f>B78+B79</f>
        <v>208233.16</v>
      </c>
      <c r="C77" s="36">
        <f>C78+C79</f>
        <v>148233.16</v>
      </c>
      <c r="D77" s="40">
        <f>IF(B77=0,"   ",C77/B77*100)</f>
        <v>71.18614537665374</v>
      </c>
      <c r="E77" s="41">
        <f>C77-B77</f>
        <v>-60000</v>
      </c>
    </row>
    <row r="78" spans="1:5" ht="26.25" customHeight="1">
      <c r="A78" s="17" t="s">
        <v>147</v>
      </c>
      <c r="B78" s="36">
        <v>138233.16</v>
      </c>
      <c r="C78" s="36">
        <v>78233.16</v>
      </c>
      <c r="D78" s="40">
        <f>IF(B78=0,"   ",C78/B78*100)</f>
        <v>56.595074582683345</v>
      </c>
      <c r="E78" s="41">
        <f>C78-B78</f>
        <v>-60000</v>
      </c>
    </row>
    <row r="79" spans="1:5" ht="26.25" customHeight="1">
      <c r="A79" s="62" t="s">
        <v>169</v>
      </c>
      <c r="B79" s="36">
        <v>70000</v>
      </c>
      <c r="C79" s="36">
        <v>70000</v>
      </c>
      <c r="D79" s="40">
        <f>IF(B79=0,"   ",C79/B79*100)</f>
        <v>100</v>
      </c>
      <c r="E79" s="41">
        <f>C79-B79</f>
        <v>0</v>
      </c>
    </row>
    <row r="80" spans="1:5" ht="20.25" customHeight="1">
      <c r="A80" s="21" t="s">
        <v>13</v>
      </c>
      <c r="B80" s="36">
        <f>B83+B81+B91</f>
        <v>1450086.38</v>
      </c>
      <c r="C80" s="36">
        <f>C83+C81+C91</f>
        <v>857214.8300000001</v>
      </c>
      <c r="D80" s="40">
        <f t="shared" si="0"/>
        <v>59.114742530027776</v>
      </c>
      <c r="E80" s="41">
        <f t="shared" si="1"/>
        <v>-592871.5499999998</v>
      </c>
    </row>
    <row r="81" spans="1:5" ht="20.25" customHeight="1">
      <c r="A81" s="21" t="s">
        <v>142</v>
      </c>
      <c r="B81" s="36">
        <f>B82</f>
        <v>10000</v>
      </c>
      <c r="C81" s="36">
        <f>C82</f>
        <v>0</v>
      </c>
      <c r="D81" s="40">
        <f t="shared" si="0"/>
        <v>0</v>
      </c>
      <c r="E81" s="41">
        <f t="shared" si="1"/>
        <v>-10000</v>
      </c>
    </row>
    <row r="82" spans="1:5" ht="20.25" customHeight="1">
      <c r="A82" s="38" t="s">
        <v>266</v>
      </c>
      <c r="B82" s="36">
        <v>10000</v>
      </c>
      <c r="C82" s="36">
        <v>0</v>
      </c>
      <c r="D82" s="40">
        <f t="shared" si="0"/>
        <v>0</v>
      </c>
      <c r="E82" s="41">
        <f t="shared" si="1"/>
        <v>-10000</v>
      </c>
    </row>
    <row r="83" spans="1:5" ht="12.75" customHeight="1">
      <c r="A83" s="21" t="s">
        <v>94</v>
      </c>
      <c r="B83" s="36">
        <f>B84+B85+B90+B86</f>
        <v>1439986.38</v>
      </c>
      <c r="C83" s="36">
        <f>C84+C85+C90+C86</f>
        <v>857114.8300000001</v>
      </c>
      <c r="D83" s="40">
        <f t="shared" si="0"/>
        <v>59.52242617739205</v>
      </c>
      <c r="E83" s="41">
        <f t="shared" si="1"/>
        <v>-582871.5499999998</v>
      </c>
    </row>
    <row r="84" spans="1:5" ht="12.75" customHeight="1">
      <c r="A84" s="21" t="s">
        <v>95</v>
      </c>
      <c r="B84" s="36">
        <v>515692.64</v>
      </c>
      <c r="C84" s="36">
        <v>473954.44</v>
      </c>
      <c r="D84" s="40">
        <f t="shared" si="0"/>
        <v>91.9063805137882</v>
      </c>
      <c r="E84" s="41">
        <f t="shared" si="1"/>
        <v>-41738.20000000001</v>
      </c>
    </row>
    <row r="85" spans="1:5" ht="12.75" customHeight="1">
      <c r="A85" s="21" t="s">
        <v>61</v>
      </c>
      <c r="B85" s="36">
        <v>440870.54</v>
      </c>
      <c r="C85" s="107">
        <v>383160.39</v>
      </c>
      <c r="D85" s="40">
        <v>0</v>
      </c>
      <c r="E85" s="41">
        <f t="shared" si="1"/>
        <v>-57710.149999999965</v>
      </c>
    </row>
    <row r="86" spans="1:5" ht="12.75" customHeight="1">
      <c r="A86" s="17" t="s">
        <v>198</v>
      </c>
      <c r="B86" s="36">
        <f>SUM(B87:B89)</f>
        <v>483423.2</v>
      </c>
      <c r="C86" s="36">
        <f>SUM(C87:C89)</f>
        <v>0</v>
      </c>
      <c r="D86" s="40">
        <v>0</v>
      </c>
      <c r="E86" s="41">
        <f>C86-B86</f>
        <v>-483423.2</v>
      </c>
    </row>
    <row r="87" spans="1:5" ht="29.25" customHeight="1">
      <c r="A87" s="17" t="s">
        <v>199</v>
      </c>
      <c r="B87" s="36">
        <v>290069.2</v>
      </c>
      <c r="C87" s="107">
        <v>0</v>
      </c>
      <c r="D87" s="40">
        <f t="shared" si="0"/>
        <v>0</v>
      </c>
      <c r="E87" s="107">
        <f t="shared" si="1"/>
        <v>-290069.2</v>
      </c>
    </row>
    <row r="88" spans="1:5" ht="25.5" customHeight="1">
      <c r="A88" s="17" t="s">
        <v>200</v>
      </c>
      <c r="B88" s="36">
        <v>125437.3</v>
      </c>
      <c r="C88" s="107">
        <v>0</v>
      </c>
      <c r="D88" s="40">
        <f t="shared" si="0"/>
        <v>0</v>
      </c>
      <c r="E88" s="107">
        <f t="shared" si="1"/>
        <v>-125437.3</v>
      </c>
    </row>
    <row r="89" spans="1:5" ht="23.25" customHeight="1">
      <c r="A89" s="17" t="s">
        <v>201</v>
      </c>
      <c r="B89" s="36">
        <v>67916.7</v>
      </c>
      <c r="C89" s="107">
        <v>0</v>
      </c>
      <c r="D89" s="40">
        <f t="shared" si="0"/>
        <v>0</v>
      </c>
      <c r="E89" s="107">
        <f t="shared" si="1"/>
        <v>-67916.7</v>
      </c>
    </row>
    <row r="90" spans="1:5" ht="19.5" customHeight="1" thickBot="1">
      <c r="A90" s="17" t="s">
        <v>274</v>
      </c>
      <c r="B90" s="100">
        <v>0</v>
      </c>
      <c r="C90" s="101">
        <v>0</v>
      </c>
      <c r="D90" s="40" t="str">
        <f t="shared" si="0"/>
        <v>   </v>
      </c>
      <c r="E90" s="107">
        <f t="shared" si="1"/>
        <v>0</v>
      </c>
    </row>
    <row r="91" spans="1:5" ht="19.5" customHeight="1" thickBot="1">
      <c r="A91" s="62" t="s">
        <v>311</v>
      </c>
      <c r="B91" s="111">
        <f>SUM(B92)</f>
        <v>100</v>
      </c>
      <c r="C91" s="111">
        <f>SUM(C92)</f>
        <v>100</v>
      </c>
      <c r="D91" s="40">
        <f>IF(B91=0,"   ",C91/B91*100)</f>
        <v>100</v>
      </c>
      <c r="E91" s="107">
        <f>C91-B91</f>
        <v>0</v>
      </c>
    </row>
    <row r="92" spans="1:5" ht="19.5" customHeight="1">
      <c r="A92" s="62" t="s">
        <v>262</v>
      </c>
      <c r="B92" s="36">
        <v>100</v>
      </c>
      <c r="C92" s="99">
        <v>100</v>
      </c>
      <c r="D92" s="40">
        <f>IF(B92=0,"   ",C92/B92*100)</f>
        <v>100</v>
      </c>
      <c r="E92" s="107">
        <f>C92-B92</f>
        <v>0</v>
      </c>
    </row>
    <row r="93" spans="1:5" ht="20.25" customHeight="1">
      <c r="A93" s="21" t="s">
        <v>17</v>
      </c>
      <c r="B93" s="36">
        <v>8000</v>
      </c>
      <c r="C93" s="36">
        <v>0</v>
      </c>
      <c r="D93" s="40">
        <f t="shared" si="0"/>
        <v>0</v>
      </c>
      <c r="E93" s="41">
        <f t="shared" si="1"/>
        <v>-8000</v>
      </c>
    </row>
    <row r="94" spans="1:5" ht="18" customHeight="1">
      <c r="A94" s="21" t="s">
        <v>41</v>
      </c>
      <c r="B94" s="143">
        <f>B95</f>
        <v>3779672.3600000003</v>
      </c>
      <c r="C94" s="143">
        <f>C95</f>
        <v>1701600</v>
      </c>
      <c r="D94" s="40">
        <f t="shared" si="0"/>
        <v>45.019775206123946</v>
      </c>
      <c r="E94" s="41">
        <f t="shared" si="1"/>
        <v>-2078072.3600000003</v>
      </c>
    </row>
    <row r="95" spans="1:5" ht="12.75" customHeight="1">
      <c r="A95" s="21" t="s">
        <v>42</v>
      </c>
      <c r="B95" s="36">
        <f>SUM(B96:B98)</f>
        <v>3779672.3600000003</v>
      </c>
      <c r="C95" s="36">
        <f>SUM(C96:C98)</f>
        <v>1701600</v>
      </c>
      <c r="D95" s="40">
        <f t="shared" si="0"/>
        <v>45.019775206123946</v>
      </c>
      <c r="E95" s="41">
        <f t="shared" si="1"/>
        <v>-2078072.3600000003</v>
      </c>
    </row>
    <row r="96" spans="1:5" ht="12.75" customHeight="1">
      <c r="A96" s="21" t="s">
        <v>135</v>
      </c>
      <c r="B96" s="36">
        <v>1701600</v>
      </c>
      <c r="C96" s="107">
        <v>1701600</v>
      </c>
      <c r="D96" s="40">
        <f t="shared" si="0"/>
        <v>100</v>
      </c>
      <c r="E96" s="41">
        <f t="shared" si="1"/>
        <v>0</v>
      </c>
    </row>
    <row r="97" spans="1:5" ht="12.75" customHeight="1">
      <c r="A97" s="21" t="s">
        <v>244</v>
      </c>
      <c r="B97" s="36">
        <v>1478072.36</v>
      </c>
      <c r="C97" s="107">
        <v>0</v>
      </c>
      <c r="D97" s="40">
        <f t="shared" si="0"/>
        <v>0</v>
      </c>
      <c r="E97" s="41">
        <f t="shared" si="1"/>
        <v>-1478072.36</v>
      </c>
    </row>
    <row r="98" spans="1:5" ht="12.75" customHeight="1">
      <c r="A98" s="68" t="s">
        <v>194</v>
      </c>
      <c r="B98" s="36">
        <v>600000</v>
      </c>
      <c r="C98" s="107">
        <v>0</v>
      </c>
      <c r="D98" s="40">
        <f t="shared" si="0"/>
        <v>0</v>
      </c>
      <c r="E98" s="41">
        <f t="shared" si="1"/>
        <v>-600000</v>
      </c>
    </row>
    <row r="99" spans="1:5" ht="16.5" customHeight="1">
      <c r="A99" s="21" t="s">
        <v>119</v>
      </c>
      <c r="B99" s="36">
        <f>SUM(B100:B100)</f>
        <v>12000</v>
      </c>
      <c r="C99" s="36">
        <f>SUM(C100:C100)</f>
        <v>7025</v>
      </c>
      <c r="D99" s="40">
        <f t="shared" si="0"/>
        <v>58.54166666666667</v>
      </c>
      <c r="E99" s="41">
        <f t="shared" si="1"/>
        <v>-4975</v>
      </c>
    </row>
    <row r="100" spans="1:5" ht="16.5" customHeight="1">
      <c r="A100" s="21" t="s">
        <v>43</v>
      </c>
      <c r="B100" s="36">
        <v>12000</v>
      </c>
      <c r="C100" s="36">
        <v>7025</v>
      </c>
      <c r="D100" s="40">
        <f>IF(B100=0,"   ",C100/B100*100)</f>
        <v>58.54166666666667</v>
      </c>
      <c r="E100" s="41">
        <f>C100-B100</f>
        <v>-4975</v>
      </c>
    </row>
    <row r="101" spans="1:5" ht="22.5" customHeight="1">
      <c r="A101" s="44" t="s">
        <v>15</v>
      </c>
      <c r="B101" s="116">
        <f>SUM(B51,B59,B61,B63,B80,B93,B94,B99,)</f>
        <v>9582944.440000001</v>
      </c>
      <c r="C101" s="116">
        <f>SUM(C51,C59,C61,C63,C80,C93,C94,C99,)</f>
        <v>5123260.78</v>
      </c>
      <c r="D101" s="46">
        <f>IF(B101=0,"   ",C101/B101*100)</f>
        <v>53.46228199565769</v>
      </c>
      <c r="E101" s="47">
        <f t="shared" si="1"/>
        <v>-4459683.660000001</v>
      </c>
    </row>
    <row r="102" spans="1:5" s="13" customFormat="1" ht="30" customHeight="1">
      <c r="A102" s="71" t="s">
        <v>291</v>
      </c>
      <c r="B102" s="71"/>
      <c r="C102" s="165"/>
      <c r="D102" s="165"/>
      <c r="E102" s="165"/>
    </row>
    <row r="103" spans="1:5" s="13" customFormat="1" ht="18" customHeight="1">
      <c r="A103" s="71" t="s">
        <v>146</v>
      </c>
      <c r="B103" s="71"/>
      <c r="C103" s="72" t="s">
        <v>292</v>
      </c>
      <c r="D103" s="73"/>
      <c r="E103" s="74"/>
    </row>
    <row r="104" spans="1:5" ht="13.5">
      <c r="A104" s="71"/>
      <c r="B104" s="71"/>
      <c r="C104" s="117"/>
      <c r="D104" s="71"/>
      <c r="E104" s="118"/>
    </row>
    <row r="105" spans="1:5" ht="13.5">
      <c r="A105" s="71"/>
      <c r="B105" s="71"/>
      <c r="C105" s="117"/>
      <c r="D105" s="71"/>
      <c r="E105" s="118"/>
    </row>
    <row r="106" spans="1:5" ht="13.5">
      <c r="A106" s="119"/>
      <c r="B106" s="119"/>
      <c r="C106" s="120"/>
      <c r="D106" s="119"/>
      <c r="E106" s="121"/>
    </row>
    <row r="107" spans="1:5" ht="13.5">
      <c r="A107" s="119"/>
      <c r="B107" s="119"/>
      <c r="C107" s="120"/>
      <c r="D107" s="119"/>
      <c r="E107" s="121"/>
    </row>
  </sheetData>
  <sheetProtection/>
  <mergeCells count="2">
    <mergeCell ref="A1:E1"/>
    <mergeCell ref="C102:E102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zoomScalePageLayoutView="0" workbookViewId="0" topLeftCell="A31">
      <selection activeCell="C38" sqref="C38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3.5">
      <c r="A1" s="166" t="s">
        <v>343</v>
      </c>
      <c r="B1" s="166"/>
      <c r="C1" s="166"/>
      <c r="D1" s="166"/>
      <c r="E1" s="166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62.25" customHeight="1">
      <c r="A4" s="24" t="s">
        <v>1</v>
      </c>
      <c r="B4" s="25" t="s">
        <v>293</v>
      </c>
      <c r="C4" s="26" t="s">
        <v>338</v>
      </c>
      <c r="D4" s="25" t="s">
        <v>296</v>
      </c>
      <c r="E4" s="27" t="s">
        <v>295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3.5">
      <c r="A7" s="38" t="s">
        <v>45</v>
      </c>
      <c r="B7" s="143">
        <f>SUM(B8)</f>
        <v>73200</v>
      </c>
      <c r="C7" s="143">
        <f>SUM(C8)</f>
        <v>46378.28</v>
      </c>
      <c r="D7" s="40">
        <f aca="true" t="shared" si="0" ref="D7:D103">IF(B7=0,"   ",C7/B7*100)</f>
        <v>63.358306010928956</v>
      </c>
      <c r="E7" s="41">
        <f aca="true" t="shared" si="1" ref="E7:E104">C7-B7</f>
        <v>-26821.72</v>
      </c>
    </row>
    <row r="8" spans="1:5" ht="12" customHeight="1">
      <c r="A8" s="21" t="s">
        <v>44</v>
      </c>
      <c r="B8" s="36">
        <v>73200</v>
      </c>
      <c r="C8" s="86">
        <v>46378.28</v>
      </c>
      <c r="D8" s="40">
        <f t="shared" si="0"/>
        <v>63.358306010928956</v>
      </c>
      <c r="E8" s="41">
        <f t="shared" si="1"/>
        <v>-26821.72</v>
      </c>
    </row>
    <row r="9" spans="1:5" ht="16.5" customHeight="1">
      <c r="A9" s="38" t="s">
        <v>129</v>
      </c>
      <c r="B9" s="143">
        <f>SUM(B10)</f>
        <v>1103100</v>
      </c>
      <c r="C9" s="143">
        <f>SUM(C10)</f>
        <v>744637.94</v>
      </c>
      <c r="D9" s="40">
        <f t="shared" si="0"/>
        <v>67.5041193001541</v>
      </c>
      <c r="E9" s="41">
        <f t="shared" si="1"/>
        <v>-358462.06000000006</v>
      </c>
    </row>
    <row r="10" spans="1:5" ht="15" customHeight="1">
      <c r="A10" s="21" t="s">
        <v>130</v>
      </c>
      <c r="B10" s="36">
        <v>1103100</v>
      </c>
      <c r="C10" s="86">
        <v>744637.94</v>
      </c>
      <c r="D10" s="40">
        <f t="shared" si="0"/>
        <v>67.5041193001541</v>
      </c>
      <c r="E10" s="41">
        <f t="shared" si="1"/>
        <v>-358462.06000000006</v>
      </c>
    </row>
    <row r="11" spans="1:5" ht="13.5">
      <c r="A11" s="21" t="s">
        <v>7</v>
      </c>
      <c r="B11" s="36">
        <f>SUM(B12:B12)</f>
        <v>47400</v>
      </c>
      <c r="C11" s="36">
        <f>SUM(C12:C12)</f>
        <v>62057.57</v>
      </c>
      <c r="D11" s="40">
        <f t="shared" si="0"/>
        <v>130.9231434599156</v>
      </c>
      <c r="E11" s="41">
        <f t="shared" si="1"/>
        <v>14657.57</v>
      </c>
    </row>
    <row r="12" spans="1:5" ht="16.5" customHeight="1">
      <c r="A12" s="21" t="s">
        <v>26</v>
      </c>
      <c r="B12" s="36">
        <v>47400</v>
      </c>
      <c r="C12" s="86">
        <v>62057.57</v>
      </c>
      <c r="D12" s="40">
        <f t="shared" si="0"/>
        <v>130.9231434599156</v>
      </c>
      <c r="E12" s="41">
        <f t="shared" si="1"/>
        <v>14657.57</v>
      </c>
    </row>
    <row r="13" spans="1:5" ht="16.5" customHeight="1">
      <c r="A13" s="21" t="s">
        <v>9</v>
      </c>
      <c r="B13" s="36">
        <f>SUM(B14:B15)</f>
        <v>419000</v>
      </c>
      <c r="C13" s="36">
        <f>SUM(C14:C15)</f>
        <v>65415.990000000005</v>
      </c>
      <c r="D13" s="40">
        <f t="shared" si="0"/>
        <v>15.612408114558473</v>
      </c>
      <c r="E13" s="41">
        <f t="shared" si="1"/>
        <v>-353584.01</v>
      </c>
    </row>
    <row r="14" spans="1:5" ht="15" customHeight="1">
      <c r="A14" s="21" t="s">
        <v>27</v>
      </c>
      <c r="B14" s="36">
        <v>231000</v>
      </c>
      <c r="C14" s="86">
        <v>31865.91</v>
      </c>
      <c r="D14" s="40">
        <f t="shared" si="0"/>
        <v>13.794766233766234</v>
      </c>
      <c r="E14" s="41">
        <f t="shared" si="1"/>
        <v>-199134.09</v>
      </c>
    </row>
    <row r="15" spans="1:5" ht="15.75" customHeight="1">
      <c r="A15" s="21" t="s">
        <v>152</v>
      </c>
      <c r="B15" s="36">
        <f>SUM(B16:B17)</f>
        <v>188000</v>
      </c>
      <c r="C15" s="36">
        <f>SUM(C16:C17)</f>
        <v>33550.08</v>
      </c>
      <c r="D15" s="40">
        <f t="shared" si="0"/>
        <v>17.845787234042554</v>
      </c>
      <c r="E15" s="41">
        <f t="shared" si="1"/>
        <v>-154449.91999999998</v>
      </c>
    </row>
    <row r="16" spans="1:5" ht="14.25" customHeight="1">
      <c r="A16" s="21" t="s">
        <v>153</v>
      </c>
      <c r="B16" s="36">
        <v>20100</v>
      </c>
      <c r="C16" s="86">
        <v>21255.16</v>
      </c>
      <c r="D16" s="40">
        <f t="shared" si="0"/>
        <v>105.74706467661692</v>
      </c>
      <c r="E16" s="41">
        <f t="shared" si="1"/>
        <v>1155.1599999999999</v>
      </c>
    </row>
    <row r="17" spans="1:5" ht="12.75" customHeight="1">
      <c r="A17" s="21" t="s">
        <v>154</v>
      </c>
      <c r="B17" s="36">
        <v>167900</v>
      </c>
      <c r="C17" s="86">
        <v>12294.92</v>
      </c>
      <c r="D17" s="40">
        <f t="shared" si="0"/>
        <v>7.322763549731984</v>
      </c>
      <c r="E17" s="41">
        <f t="shared" si="1"/>
        <v>-155605.08</v>
      </c>
    </row>
    <row r="18" spans="1:5" ht="12.75" customHeight="1">
      <c r="A18" s="21" t="s">
        <v>187</v>
      </c>
      <c r="B18" s="36">
        <v>0</v>
      </c>
      <c r="C18" s="86">
        <v>1400</v>
      </c>
      <c r="D18" s="40" t="str">
        <f t="shared" si="0"/>
        <v>   </v>
      </c>
      <c r="E18" s="41">
        <f t="shared" si="1"/>
        <v>1400</v>
      </c>
    </row>
    <row r="19" spans="1:5" ht="13.5" customHeight="1">
      <c r="A19" s="21" t="s">
        <v>85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24.75" customHeight="1">
      <c r="A20" s="21" t="s">
        <v>28</v>
      </c>
      <c r="B20" s="36">
        <f>B21+B22</f>
        <v>39600</v>
      </c>
      <c r="C20" s="36">
        <f>SUM(C21:C22)</f>
        <v>45</v>
      </c>
      <c r="D20" s="40">
        <f t="shared" si="0"/>
        <v>0.11363636363636363</v>
      </c>
      <c r="E20" s="41">
        <f t="shared" si="1"/>
        <v>-39555</v>
      </c>
    </row>
    <row r="21" spans="1:5" ht="14.25" customHeight="1">
      <c r="A21" s="21" t="s">
        <v>144</v>
      </c>
      <c r="B21" s="36">
        <v>39600</v>
      </c>
      <c r="C21" s="36">
        <v>45</v>
      </c>
      <c r="D21" s="40">
        <f t="shared" si="0"/>
        <v>0.11363636363636363</v>
      </c>
      <c r="E21" s="41">
        <f t="shared" si="1"/>
        <v>-39555</v>
      </c>
    </row>
    <row r="22" spans="1:5" ht="12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2.75" customHeight="1">
      <c r="A23" s="21" t="s">
        <v>83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13.5" customHeight="1">
      <c r="A24" s="21" t="s">
        <v>78</v>
      </c>
      <c r="B24" s="36">
        <f>SUM(B25:B25)</f>
        <v>0</v>
      </c>
      <c r="C24" s="36">
        <f>SUM(C25:C25)</f>
        <v>0</v>
      </c>
      <c r="D24" s="40" t="str">
        <f t="shared" si="0"/>
        <v>   </v>
      </c>
      <c r="E24" s="41">
        <f t="shared" si="1"/>
        <v>0</v>
      </c>
    </row>
    <row r="25" spans="1:5" ht="13.5" customHeight="1">
      <c r="A25" s="21" t="s">
        <v>120</v>
      </c>
      <c r="B25" s="36">
        <v>0</v>
      </c>
      <c r="C25" s="36"/>
      <c r="D25" s="40" t="str">
        <f t="shared" si="0"/>
        <v>   </v>
      </c>
      <c r="E25" s="41"/>
    </row>
    <row r="26" spans="1:5" ht="13.5">
      <c r="A26" s="21" t="s">
        <v>32</v>
      </c>
      <c r="B26" s="36">
        <f>B27</f>
        <v>0</v>
      </c>
      <c r="C26" s="36">
        <f>C27</f>
        <v>-3.28</v>
      </c>
      <c r="D26" s="40" t="str">
        <f t="shared" si="0"/>
        <v>   </v>
      </c>
      <c r="E26" s="41">
        <f t="shared" si="1"/>
        <v>-3.28</v>
      </c>
    </row>
    <row r="27" spans="1:5" ht="13.5">
      <c r="A27" s="21" t="s">
        <v>46</v>
      </c>
      <c r="B27" s="36">
        <v>0</v>
      </c>
      <c r="C27" s="36">
        <v>-3.28</v>
      </c>
      <c r="D27" s="40" t="str">
        <f t="shared" si="0"/>
        <v>   </v>
      </c>
      <c r="E27" s="41">
        <f t="shared" si="1"/>
        <v>-3.28</v>
      </c>
    </row>
    <row r="28" spans="1:5" ht="13.5">
      <c r="A28" s="21" t="s">
        <v>31</v>
      </c>
      <c r="B28" s="36">
        <v>0</v>
      </c>
      <c r="C28" s="36">
        <v>0</v>
      </c>
      <c r="D28" s="40" t="str">
        <f t="shared" si="0"/>
        <v>   </v>
      </c>
      <c r="E28" s="41">
        <f t="shared" si="1"/>
        <v>0</v>
      </c>
    </row>
    <row r="29" spans="1:5" ht="18" customHeight="1">
      <c r="A29" s="44" t="s">
        <v>10</v>
      </c>
      <c r="B29" s="156">
        <f>B7+B9+B11+B13+B19+B20+B24+B26+B28+B18</f>
        <v>1682300</v>
      </c>
      <c r="C29" s="156">
        <f>C7+C9+C11+C13+C19+C20+C24+C26+C28+C18</f>
        <v>919931.4999999999</v>
      </c>
      <c r="D29" s="46">
        <f t="shared" si="0"/>
        <v>54.68296379956011</v>
      </c>
      <c r="E29" s="47">
        <f t="shared" si="1"/>
        <v>-762368.5000000001</v>
      </c>
    </row>
    <row r="30" spans="1:5" ht="18" customHeight="1">
      <c r="A30" s="62" t="s">
        <v>132</v>
      </c>
      <c r="B30" s="145">
        <f>SUM(B31:B34,B37,B38,B43,B44,B45)</f>
        <v>6281200</v>
      </c>
      <c r="C30" s="145">
        <f>SUM(C31:C34,C37,C38,C43,C44,C45)</f>
        <v>4595893.8</v>
      </c>
      <c r="D30" s="46">
        <f t="shared" si="0"/>
        <v>73.16904094758962</v>
      </c>
      <c r="E30" s="47">
        <f t="shared" si="1"/>
        <v>-1685306.2000000002</v>
      </c>
    </row>
    <row r="31" spans="1:5" ht="16.5" customHeight="1">
      <c r="A31" s="38" t="s">
        <v>34</v>
      </c>
      <c r="B31" s="143">
        <v>4359000</v>
      </c>
      <c r="C31" s="86">
        <v>2909260</v>
      </c>
      <c r="D31" s="40">
        <f t="shared" si="0"/>
        <v>66.74145446203258</v>
      </c>
      <c r="E31" s="41">
        <f t="shared" si="1"/>
        <v>-1449740</v>
      </c>
    </row>
    <row r="32" spans="1:5" ht="16.5" customHeight="1">
      <c r="A32" s="38" t="s">
        <v>218</v>
      </c>
      <c r="B32" s="143">
        <v>0</v>
      </c>
      <c r="C32" s="86">
        <v>0</v>
      </c>
      <c r="D32" s="40" t="str">
        <f>IF(B32=0,"   ",C32/B32*100)</f>
        <v>   </v>
      </c>
      <c r="E32" s="41">
        <f>C32-B32</f>
        <v>0</v>
      </c>
    </row>
    <row r="33" spans="1:5" ht="27" customHeight="1">
      <c r="A33" s="21" t="s">
        <v>51</v>
      </c>
      <c r="B33" s="36">
        <v>103700</v>
      </c>
      <c r="C33" s="86">
        <v>71700</v>
      </c>
      <c r="D33" s="40">
        <f t="shared" si="0"/>
        <v>69.14175506268082</v>
      </c>
      <c r="E33" s="41">
        <f t="shared" si="1"/>
        <v>-32000</v>
      </c>
    </row>
    <row r="34" spans="1:5" ht="27" customHeight="1">
      <c r="A34" s="21" t="s">
        <v>140</v>
      </c>
      <c r="B34" s="36">
        <f>SUM(B35:B36)</f>
        <v>100</v>
      </c>
      <c r="C34" s="36">
        <f>SUM(C35:C36)</f>
        <v>100</v>
      </c>
      <c r="D34" s="40">
        <f t="shared" si="0"/>
        <v>100</v>
      </c>
      <c r="E34" s="41">
        <f t="shared" si="1"/>
        <v>0</v>
      </c>
    </row>
    <row r="35" spans="1:5" ht="17.25" customHeight="1">
      <c r="A35" s="52" t="s">
        <v>155</v>
      </c>
      <c r="B35" s="36">
        <v>100</v>
      </c>
      <c r="C35" s="36">
        <v>100</v>
      </c>
      <c r="D35" s="40">
        <f t="shared" si="0"/>
        <v>100</v>
      </c>
      <c r="E35" s="41">
        <f t="shared" si="1"/>
        <v>0</v>
      </c>
    </row>
    <row r="36" spans="1:5" ht="27" customHeight="1">
      <c r="A36" s="52" t="s">
        <v>156</v>
      </c>
      <c r="B36" s="36">
        <v>0</v>
      </c>
      <c r="C36" s="36">
        <v>0</v>
      </c>
      <c r="D36" s="40" t="str">
        <f>IF(B36=0,"   ",C36/B36*100)</f>
        <v>   </v>
      </c>
      <c r="E36" s="41">
        <f>C36-B36</f>
        <v>0</v>
      </c>
    </row>
    <row r="37" spans="1:5" ht="54.75" customHeight="1">
      <c r="A37" s="21" t="s">
        <v>227</v>
      </c>
      <c r="B37" s="36">
        <v>978300</v>
      </c>
      <c r="C37" s="36">
        <v>978300</v>
      </c>
      <c r="D37" s="40">
        <f>IF(B37=0,"   ",C37/B37*100)</f>
        <v>100</v>
      </c>
      <c r="E37" s="41">
        <f>C37-B37</f>
        <v>0</v>
      </c>
    </row>
    <row r="38" spans="1:5" ht="17.25" customHeight="1">
      <c r="A38" s="21" t="s">
        <v>55</v>
      </c>
      <c r="B38" s="36">
        <f>B39+B42+B41+B40</f>
        <v>787000</v>
      </c>
      <c r="C38" s="36">
        <f>C39+C42+C41+C40</f>
        <v>583433.8</v>
      </c>
      <c r="D38" s="40">
        <f t="shared" si="0"/>
        <v>74.13390088945363</v>
      </c>
      <c r="E38" s="41">
        <f t="shared" si="1"/>
        <v>-203566.19999999995</v>
      </c>
    </row>
    <row r="39" spans="1:5" s="6" customFormat="1" ht="14.25" customHeight="1">
      <c r="A39" s="21" t="s">
        <v>104</v>
      </c>
      <c r="B39" s="36">
        <v>664700</v>
      </c>
      <c r="C39" s="36">
        <v>583433.8</v>
      </c>
      <c r="D39" s="36">
        <f t="shared" si="0"/>
        <v>87.77400330976381</v>
      </c>
      <c r="E39" s="41">
        <f t="shared" si="1"/>
        <v>-81266.19999999995</v>
      </c>
    </row>
    <row r="40" spans="1:5" s="6" customFormat="1" ht="14.25" customHeight="1">
      <c r="A40" s="21" t="s">
        <v>299</v>
      </c>
      <c r="B40" s="36">
        <v>122300</v>
      </c>
      <c r="C40" s="36">
        <v>0</v>
      </c>
      <c r="D40" s="36">
        <f t="shared" si="0"/>
        <v>0</v>
      </c>
      <c r="E40" s="41">
        <f t="shared" si="1"/>
        <v>-122300</v>
      </c>
    </row>
    <row r="41" spans="1:5" s="6" customFormat="1" ht="14.25" customHeight="1">
      <c r="A41" s="21" t="s">
        <v>270</v>
      </c>
      <c r="B41" s="36">
        <v>0</v>
      </c>
      <c r="C41" s="36">
        <v>0</v>
      </c>
      <c r="D41" s="36" t="str">
        <f t="shared" si="0"/>
        <v>   </v>
      </c>
      <c r="E41" s="41">
        <f t="shared" si="1"/>
        <v>0</v>
      </c>
    </row>
    <row r="42" spans="1:5" s="6" customFormat="1" ht="25.5" customHeight="1">
      <c r="A42" s="21" t="s">
        <v>179</v>
      </c>
      <c r="B42" s="36">
        <v>0</v>
      </c>
      <c r="C42" s="36">
        <v>0</v>
      </c>
      <c r="D42" s="36" t="str">
        <f t="shared" si="0"/>
        <v>   </v>
      </c>
      <c r="E42" s="41">
        <f t="shared" si="1"/>
        <v>0</v>
      </c>
    </row>
    <row r="43" spans="1:5" ht="39" customHeight="1">
      <c r="A43" s="21" t="s">
        <v>98</v>
      </c>
      <c r="B43" s="36">
        <v>0</v>
      </c>
      <c r="C43" s="86">
        <v>0</v>
      </c>
      <c r="D43" s="40" t="str">
        <f t="shared" si="0"/>
        <v>   </v>
      </c>
      <c r="E43" s="41">
        <f t="shared" si="1"/>
        <v>0</v>
      </c>
    </row>
    <row r="44" spans="1:5" ht="29.25" customHeight="1">
      <c r="A44" s="21" t="s">
        <v>333</v>
      </c>
      <c r="B44" s="36">
        <v>53100</v>
      </c>
      <c r="C44" s="86">
        <v>53100</v>
      </c>
      <c r="D44" s="40">
        <f t="shared" si="0"/>
        <v>100</v>
      </c>
      <c r="E44" s="41">
        <f t="shared" si="1"/>
        <v>0</v>
      </c>
    </row>
    <row r="45" spans="1:5" ht="15.75" customHeight="1">
      <c r="A45" s="21" t="s">
        <v>189</v>
      </c>
      <c r="B45" s="36">
        <v>0</v>
      </c>
      <c r="C45" s="36">
        <v>0</v>
      </c>
      <c r="D45" s="40" t="str">
        <f t="shared" si="0"/>
        <v>   </v>
      </c>
      <c r="E45" s="41">
        <f t="shared" si="1"/>
        <v>0</v>
      </c>
    </row>
    <row r="46" spans="1:5" ht="27" customHeight="1">
      <c r="A46" s="44" t="s">
        <v>11</v>
      </c>
      <c r="B46" s="116">
        <f>SUM(B29,B30,)</f>
        <v>7963500</v>
      </c>
      <c r="C46" s="116">
        <f>SUM(C29,C30,)</f>
        <v>5515825.3</v>
      </c>
      <c r="D46" s="46">
        <f t="shared" si="0"/>
        <v>69.26383248571608</v>
      </c>
      <c r="E46" s="47">
        <f t="shared" si="1"/>
        <v>-2447674.7</v>
      </c>
    </row>
    <row r="47" spans="1:5" ht="20.25" customHeight="1">
      <c r="A47" s="44"/>
      <c r="B47" s="143"/>
      <c r="C47" s="36"/>
      <c r="D47" s="40" t="str">
        <f t="shared" si="0"/>
        <v>   </v>
      </c>
      <c r="E47" s="41">
        <f t="shared" si="1"/>
        <v>0</v>
      </c>
    </row>
    <row r="48" spans="1:5" ht="14.25">
      <c r="A48" s="56" t="s">
        <v>12</v>
      </c>
      <c r="B48" s="116"/>
      <c r="C48" s="99"/>
      <c r="D48" s="40" t="str">
        <f t="shared" si="0"/>
        <v>   </v>
      </c>
      <c r="E48" s="41">
        <f t="shared" si="1"/>
        <v>0</v>
      </c>
    </row>
    <row r="49" spans="1:5" ht="19.5" customHeight="1">
      <c r="A49" s="21" t="s">
        <v>35</v>
      </c>
      <c r="B49" s="36">
        <f>SUM(B50,B53,B54)</f>
        <v>1450751.91</v>
      </c>
      <c r="C49" s="36">
        <f>SUM(C50,C53,C54)</f>
        <v>718043.62</v>
      </c>
      <c r="D49" s="40">
        <f t="shared" si="0"/>
        <v>49.494583812059226</v>
      </c>
      <c r="E49" s="41">
        <f t="shared" si="1"/>
        <v>-732708.2899999999</v>
      </c>
    </row>
    <row r="50" spans="1:5" ht="13.5" customHeight="1">
      <c r="A50" s="21" t="s">
        <v>36</v>
      </c>
      <c r="B50" s="36">
        <v>1440251.91</v>
      </c>
      <c r="C50" s="36">
        <v>708043.62</v>
      </c>
      <c r="D50" s="40">
        <f t="shared" si="0"/>
        <v>49.16109571415184</v>
      </c>
      <c r="E50" s="41">
        <f t="shared" si="1"/>
        <v>-732208.2899999999</v>
      </c>
    </row>
    <row r="51" spans="1:5" ht="13.5">
      <c r="A51" s="21" t="s">
        <v>116</v>
      </c>
      <c r="B51" s="36">
        <v>889017</v>
      </c>
      <c r="C51" s="99">
        <v>428162.27</v>
      </c>
      <c r="D51" s="40">
        <f t="shared" si="0"/>
        <v>48.16131412560165</v>
      </c>
      <c r="E51" s="41">
        <f t="shared" si="1"/>
        <v>-460854.73</v>
      </c>
    </row>
    <row r="52" spans="1:5" ht="13.5">
      <c r="A52" s="21" t="s">
        <v>334</v>
      </c>
      <c r="B52" s="36">
        <v>53100</v>
      </c>
      <c r="C52" s="99">
        <v>53100</v>
      </c>
      <c r="D52" s="40">
        <f>IF(B52=0,"   ",C52/B52*100)</f>
        <v>100</v>
      </c>
      <c r="E52" s="41">
        <f>C52-B52</f>
        <v>0</v>
      </c>
    </row>
    <row r="53" spans="1:5" ht="13.5">
      <c r="A53" s="21" t="s">
        <v>91</v>
      </c>
      <c r="B53" s="36">
        <v>500</v>
      </c>
      <c r="C53" s="107">
        <v>0</v>
      </c>
      <c r="D53" s="40">
        <f t="shared" si="0"/>
        <v>0</v>
      </c>
      <c r="E53" s="41">
        <f t="shared" si="1"/>
        <v>-500</v>
      </c>
    </row>
    <row r="54" spans="1:5" ht="13.5">
      <c r="A54" s="21" t="s">
        <v>52</v>
      </c>
      <c r="B54" s="107">
        <f>SUM(B55+B56)</f>
        <v>10000</v>
      </c>
      <c r="C54" s="107">
        <f>SUM(C55+C56)</f>
        <v>10000</v>
      </c>
      <c r="D54" s="40">
        <f>IF(B54=0,"   ",C54/B54*100)</f>
        <v>100</v>
      </c>
      <c r="E54" s="41">
        <f>C54-B54</f>
        <v>0</v>
      </c>
    </row>
    <row r="55" spans="1:5" ht="27">
      <c r="A55" s="17" t="s">
        <v>235</v>
      </c>
      <c r="B55" s="36">
        <v>10000</v>
      </c>
      <c r="C55" s="107">
        <v>10000</v>
      </c>
      <c r="D55" s="40">
        <f>IF(B55=0,"   ",C55/B55*100)</f>
        <v>100</v>
      </c>
      <c r="E55" s="41">
        <f>C55-B55</f>
        <v>0</v>
      </c>
    </row>
    <row r="56" spans="1:5" ht="13.5">
      <c r="A56" s="17" t="s">
        <v>245</v>
      </c>
      <c r="B56" s="36">
        <v>0</v>
      </c>
      <c r="C56" s="107">
        <v>0</v>
      </c>
      <c r="D56" s="40" t="str">
        <f>IF(B56=0,"   ",C56/B56*100)</f>
        <v>   </v>
      </c>
      <c r="E56" s="41">
        <f>C56-B56</f>
        <v>0</v>
      </c>
    </row>
    <row r="57" spans="1:5" ht="18.75" customHeight="1">
      <c r="A57" s="21" t="s">
        <v>49</v>
      </c>
      <c r="B57" s="107">
        <f>SUM(B58)</f>
        <v>103700</v>
      </c>
      <c r="C57" s="107">
        <f>SUM(C58)</f>
        <v>62394.22</v>
      </c>
      <c r="D57" s="40">
        <f t="shared" si="0"/>
        <v>60.16800385728062</v>
      </c>
      <c r="E57" s="41">
        <f t="shared" si="1"/>
        <v>-41305.78</v>
      </c>
    </row>
    <row r="58" spans="1:5" ht="13.5" customHeight="1">
      <c r="A58" s="21" t="s">
        <v>102</v>
      </c>
      <c r="B58" s="36">
        <v>103700</v>
      </c>
      <c r="C58" s="107">
        <v>62394.22</v>
      </c>
      <c r="D58" s="40">
        <f t="shared" si="0"/>
        <v>60.16800385728062</v>
      </c>
      <c r="E58" s="41">
        <f t="shared" si="1"/>
        <v>-41305.78</v>
      </c>
    </row>
    <row r="59" spans="1:5" ht="17.25" customHeight="1">
      <c r="A59" s="21" t="s">
        <v>37</v>
      </c>
      <c r="B59" s="36">
        <f>SUM(B60)</f>
        <v>1000</v>
      </c>
      <c r="C59" s="36">
        <f>SUM(C60)</f>
        <v>0</v>
      </c>
      <c r="D59" s="40">
        <f t="shared" si="0"/>
        <v>0</v>
      </c>
      <c r="E59" s="41">
        <f t="shared" si="1"/>
        <v>-1000</v>
      </c>
    </row>
    <row r="60" spans="1:5" ht="15" customHeight="1">
      <c r="A60" s="60" t="s">
        <v>325</v>
      </c>
      <c r="B60" s="36">
        <v>1000</v>
      </c>
      <c r="C60" s="107">
        <v>0</v>
      </c>
      <c r="D60" s="40">
        <f t="shared" si="0"/>
        <v>0</v>
      </c>
      <c r="E60" s="41">
        <f t="shared" si="1"/>
        <v>-1000</v>
      </c>
    </row>
    <row r="61" spans="1:5" ht="15.75" customHeight="1">
      <c r="A61" s="21" t="s">
        <v>38</v>
      </c>
      <c r="B61" s="36">
        <f>B67+B62+B75</f>
        <v>3108527.09</v>
      </c>
      <c r="C61" s="36">
        <f>C67+C62+C75</f>
        <v>1884464.1900000002</v>
      </c>
      <c r="D61" s="40">
        <f t="shared" si="0"/>
        <v>60.62241490711925</v>
      </c>
      <c r="E61" s="41">
        <f t="shared" si="1"/>
        <v>-1224062.8999999997</v>
      </c>
    </row>
    <row r="62" spans="1:5" ht="15.75" customHeight="1">
      <c r="A62" s="60" t="s">
        <v>157</v>
      </c>
      <c r="B62" s="36">
        <f>SUM(B63:B66)</f>
        <v>130200</v>
      </c>
      <c r="C62" s="36">
        <f>SUM(C63:C66)</f>
        <v>0</v>
      </c>
      <c r="D62" s="40">
        <f>IF(B62=0,"   ",C62/B62*100)</f>
        <v>0</v>
      </c>
      <c r="E62" s="41">
        <f>C62-B62</f>
        <v>-130200</v>
      </c>
    </row>
    <row r="63" spans="1:5" ht="15.75" customHeight="1">
      <c r="A63" s="60" t="s">
        <v>158</v>
      </c>
      <c r="B63" s="36">
        <v>0</v>
      </c>
      <c r="C63" s="36">
        <v>0</v>
      </c>
      <c r="D63" s="40" t="str">
        <f>IF(B63=0,"   ",C63/B63*100)</f>
        <v>   </v>
      </c>
      <c r="E63" s="41">
        <f>C63-B63</f>
        <v>0</v>
      </c>
    </row>
    <row r="64" spans="1:5" ht="15.75" customHeight="1">
      <c r="A64" s="60" t="s">
        <v>180</v>
      </c>
      <c r="B64" s="36">
        <v>0</v>
      </c>
      <c r="C64" s="36">
        <v>0</v>
      </c>
      <c r="D64" s="40" t="str">
        <f>IF(B64=0,"   ",C64/B64*100)</f>
        <v>   </v>
      </c>
      <c r="E64" s="41">
        <f>C64-B64</f>
        <v>0</v>
      </c>
    </row>
    <row r="65" spans="1:5" ht="15.75" customHeight="1">
      <c r="A65" s="60" t="s">
        <v>300</v>
      </c>
      <c r="B65" s="36">
        <v>122300</v>
      </c>
      <c r="C65" s="36">
        <v>0</v>
      </c>
      <c r="D65" s="40">
        <f>IF(B65=0,"   ",C65/B65*100)</f>
        <v>0</v>
      </c>
      <c r="E65" s="41">
        <f>C65-B65</f>
        <v>-122300</v>
      </c>
    </row>
    <row r="66" spans="1:5" ht="15.75" customHeight="1">
      <c r="A66" s="60" t="s">
        <v>301</v>
      </c>
      <c r="B66" s="36">
        <v>7900</v>
      </c>
      <c r="C66" s="36">
        <v>0</v>
      </c>
      <c r="D66" s="40">
        <f>IF(B66=0,"   ",C66/B66*100)</f>
        <v>0</v>
      </c>
      <c r="E66" s="41">
        <f>C66-B66</f>
        <v>-7900</v>
      </c>
    </row>
    <row r="67" spans="1:5" ht="13.5">
      <c r="A67" s="68" t="s">
        <v>124</v>
      </c>
      <c r="B67" s="36">
        <f>SUM(B68:B74)</f>
        <v>2832610</v>
      </c>
      <c r="C67" s="36">
        <f>SUM(C68:C74)</f>
        <v>1818747.1</v>
      </c>
      <c r="D67" s="40">
        <f t="shared" si="0"/>
        <v>64.20746590600189</v>
      </c>
      <c r="E67" s="41">
        <f t="shared" si="1"/>
        <v>-1013862.8999999999</v>
      </c>
    </row>
    <row r="68" spans="1:5" ht="21.75" customHeight="1">
      <c r="A68" s="60" t="s">
        <v>141</v>
      </c>
      <c r="B68" s="36">
        <v>100000</v>
      </c>
      <c r="C68" s="36">
        <v>0</v>
      </c>
      <c r="D68" s="40">
        <f t="shared" si="0"/>
        <v>0</v>
      </c>
      <c r="E68" s="41">
        <f t="shared" si="1"/>
        <v>-100000</v>
      </c>
    </row>
    <row r="69" spans="1:5" ht="30.75" customHeight="1">
      <c r="A69" s="17" t="s">
        <v>238</v>
      </c>
      <c r="B69" s="36">
        <v>525610</v>
      </c>
      <c r="C69" s="36">
        <v>83443.1</v>
      </c>
      <c r="D69" s="40">
        <f t="shared" si="0"/>
        <v>15.875478016019484</v>
      </c>
      <c r="E69" s="41">
        <f t="shared" si="1"/>
        <v>-442166.9</v>
      </c>
    </row>
    <row r="70" spans="1:5" ht="30" customHeight="1">
      <c r="A70" s="17" t="s">
        <v>239</v>
      </c>
      <c r="B70" s="36">
        <v>381400</v>
      </c>
      <c r="C70" s="36">
        <v>0</v>
      </c>
      <c r="D70" s="40">
        <f t="shared" si="0"/>
        <v>0</v>
      </c>
      <c r="E70" s="41">
        <f t="shared" si="1"/>
        <v>-381400</v>
      </c>
    </row>
    <row r="71" spans="1:5" ht="26.25" customHeight="1">
      <c r="A71" s="17" t="s">
        <v>240</v>
      </c>
      <c r="B71" s="36">
        <v>978300</v>
      </c>
      <c r="C71" s="36">
        <v>978300</v>
      </c>
      <c r="D71" s="40">
        <f t="shared" si="0"/>
        <v>100</v>
      </c>
      <c r="E71" s="41">
        <f t="shared" si="1"/>
        <v>0</v>
      </c>
    </row>
    <row r="72" spans="1:5" ht="27" customHeight="1">
      <c r="A72" s="17" t="s">
        <v>241</v>
      </c>
      <c r="B72" s="36">
        <v>108700</v>
      </c>
      <c r="C72" s="36">
        <v>108700</v>
      </c>
      <c r="D72" s="40">
        <f t="shared" si="0"/>
        <v>100</v>
      </c>
      <c r="E72" s="41">
        <f t="shared" si="1"/>
        <v>0</v>
      </c>
    </row>
    <row r="73" spans="1:5" ht="24" customHeight="1">
      <c r="A73" s="17" t="s">
        <v>242</v>
      </c>
      <c r="B73" s="36">
        <v>664700</v>
      </c>
      <c r="C73" s="36">
        <v>583433.8</v>
      </c>
      <c r="D73" s="40">
        <f>IF(B73=0,"   ",C73/B73*100)</f>
        <v>87.77400330976381</v>
      </c>
      <c r="E73" s="41">
        <f>C73-B73</f>
        <v>-81266.19999999995</v>
      </c>
    </row>
    <row r="74" spans="1:5" ht="31.5" customHeight="1">
      <c r="A74" s="17" t="s">
        <v>243</v>
      </c>
      <c r="B74" s="36">
        <v>73900</v>
      </c>
      <c r="C74" s="36">
        <v>64870.2</v>
      </c>
      <c r="D74" s="40">
        <f t="shared" si="0"/>
        <v>87.78105548037888</v>
      </c>
      <c r="E74" s="41">
        <f t="shared" si="1"/>
        <v>-9029.800000000003</v>
      </c>
    </row>
    <row r="75" spans="1:5" ht="23.25" customHeight="1">
      <c r="A75" s="68" t="s">
        <v>168</v>
      </c>
      <c r="B75" s="36">
        <f>SUM(B77+B76)</f>
        <v>145717.09</v>
      </c>
      <c r="C75" s="36">
        <f>SUM(C77+C76)</f>
        <v>65717.09</v>
      </c>
      <c r="D75" s="40">
        <f>IF(B75=0,"   ",C75/B75*100)</f>
        <v>45.09909578897025</v>
      </c>
      <c r="E75" s="41">
        <f>C75-B75</f>
        <v>-80000</v>
      </c>
    </row>
    <row r="76" spans="1:5" ht="23.25" customHeight="1">
      <c r="A76" s="17" t="s">
        <v>147</v>
      </c>
      <c r="B76" s="36">
        <v>95717.09</v>
      </c>
      <c r="C76" s="36">
        <v>65717.09</v>
      </c>
      <c r="D76" s="40">
        <f>IF(B76=0,"   ",C76/B76*100)</f>
        <v>68.65763470243401</v>
      </c>
      <c r="E76" s="41">
        <f>C76-B76</f>
        <v>-30000</v>
      </c>
    </row>
    <row r="77" spans="1:5" ht="23.25" customHeight="1">
      <c r="A77" s="60" t="s">
        <v>169</v>
      </c>
      <c r="B77" s="36">
        <v>50000</v>
      </c>
      <c r="C77" s="36">
        <v>0</v>
      </c>
      <c r="D77" s="40">
        <f>IF(B77=0,"   ",C77/B77*100)</f>
        <v>0</v>
      </c>
      <c r="E77" s="41">
        <f>C77-B77</f>
        <v>-50000</v>
      </c>
    </row>
    <row r="78" spans="1:5" ht="17.25" customHeight="1">
      <c r="A78" s="21" t="s">
        <v>13</v>
      </c>
      <c r="B78" s="36">
        <f>SUM(B88,B79+B97)</f>
        <v>823900</v>
      </c>
      <c r="C78" s="36">
        <f>C79+C88</f>
        <v>159510.52000000002</v>
      </c>
      <c r="D78" s="40">
        <f t="shared" si="0"/>
        <v>19.360422381356962</v>
      </c>
      <c r="E78" s="41">
        <f t="shared" si="1"/>
        <v>-664389.48</v>
      </c>
    </row>
    <row r="79" spans="1:5" ht="15.75" customHeight="1">
      <c r="A79" s="21" t="s">
        <v>87</v>
      </c>
      <c r="B79" s="36">
        <f>SUM(B80+B83+B84)</f>
        <v>441000</v>
      </c>
      <c r="C79" s="36">
        <f>SUM(C80+C83+C84)</f>
        <v>35000</v>
      </c>
      <c r="D79" s="40">
        <f t="shared" si="0"/>
        <v>7.936507936507936</v>
      </c>
      <c r="E79" s="41">
        <f t="shared" si="1"/>
        <v>-406000</v>
      </c>
    </row>
    <row r="80" spans="1:5" ht="15.75" customHeight="1">
      <c r="A80" s="38" t="s">
        <v>266</v>
      </c>
      <c r="B80" s="36">
        <v>35000</v>
      </c>
      <c r="C80" s="36">
        <v>35000</v>
      </c>
      <c r="D80" s="40">
        <f>IF(B80=0,"   ",C80/B80*100)</f>
        <v>100</v>
      </c>
      <c r="E80" s="41">
        <f>C80-B80</f>
        <v>0</v>
      </c>
    </row>
    <row r="81" spans="1:5" ht="15.75" customHeight="1">
      <c r="A81" s="21" t="s">
        <v>273</v>
      </c>
      <c r="B81" s="36">
        <v>0</v>
      </c>
      <c r="C81" s="36">
        <v>0</v>
      </c>
      <c r="D81" s="40" t="str">
        <f>IF(B81=0,"   ",C81/B81*100)</f>
        <v>   </v>
      </c>
      <c r="E81" s="41">
        <f>C81-B81</f>
        <v>0</v>
      </c>
    </row>
    <row r="82" spans="1:5" ht="15.75" customHeight="1">
      <c r="A82" s="21" t="s">
        <v>281</v>
      </c>
      <c r="B82" s="36">
        <v>0</v>
      </c>
      <c r="C82" s="36">
        <v>0</v>
      </c>
      <c r="D82" s="40" t="str">
        <f>IF(B82=0,"   ",C82/B82*100)</f>
        <v>   </v>
      </c>
      <c r="E82" s="41">
        <f>C82-B82</f>
        <v>0</v>
      </c>
    </row>
    <row r="83" spans="1:5" ht="15.75" customHeight="1">
      <c r="A83" s="21" t="s">
        <v>326</v>
      </c>
      <c r="B83" s="36">
        <v>406000</v>
      </c>
      <c r="C83" s="36">
        <v>0</v>
      </c>
      <c r="D83" s="40">
        <f>IF(B83=0,"   ",C83/B83*100)</f>
        <v>0</v>
      </c>
      <c r="E83" s="41">
        <f>C83-B83</f>
        <v>-406000</v>
      </c>
    </row>
    <row r="84" spans="1:5" ht="15.75" customHeight="1">
      <c r="A84" s="17" t="s">
        <v>196</v>
      </c>
      <c r="B84" s="36">
        <f>B86+B85+B87</f>
        <v>0</v>
      </c>
      <c r="C84" s="36">
        <f>C86+C85+C87</f>
        <v>0</v>
      </c>
      <c r="D84" s="40" t="str">
        <f>IF(B84=0,"   ",C84/B84*100)</f>
        <v>   </v>
      </c>
      <c r="E84" s="41">
        <f>C84-B84</f>
        <v>0</v>
      </c>
    </row>
    <row r="85" spans="1:5" ht="27.75" customHeight="1">
      <c r="A85" s="17" t="s">
        <v>178</v>
      </c>
      <c r="B85" s="36">
        <v>0</v>
      </c>
      <c r="C85" s="36">
        <v>0</v>
      </c>
      <c r="D85" s="40" t="str">
        <f t="shared" si="0"/>
        <v>   </v>
      </c>
      <c r="E85" s="41">
        <f t="shared" si="1"/>
        <v>0</v>
      </c>
    </row>
    <row r="86" spans="1:5" ht="27.75" customHeight="1">
      <c r="A86" s="17" t="s">
        <v>190</v>
      </c>
      <c r="B86" s="36">
        <v>0</v>
      </c>
      <c r="C86" s="36">
        <v>0</v>
      </c>
      <c r="D86" s="40" t="str">
        <f t="shared" si="0"/>
        <v>   </v>
      </c>
      <c r="E86" s="41">
        <f t="shared" si="1"/>
        <v>0</v>
      </c>
    </row>
    <row r="87" spans="1:5" ht="27.75" customHeight="1">
      <c r="A87" s="17" t="s">
        <v>202</v>
      </c>
      <c r="B87" s="36">
        <v>0</v>
      </c>
      <c r="C87" s="36">
        <v>0</v>
      </c>
      <c r="D87" s="40" t="str">
        <f t="shared" si="0"/>
        <v>   </v>
      </c>
      <c r="E87" s="41">
        <f t="shared" si="1"/>
        <v>0</v>
      </c>
    </row>
    <row r="88" spans="1:5" ht="13.5">
      <c r="A88" s="21" t="s">
        <v>58</v>
      </c>
      <c r="B88" s="36">
        <f>B89+B90+B91+B92+B96</f>
        <v>382800</v>
      </c>
      <c r="C88" s="36">
        <f>C89+C90+C91+C92+C96</f>
        <v>124510.52</v>
      </c>
      <c r="D88" s="40">
        <f t="shared" si="0"/>
        <v>32.52625914315569</v>
      </c>
      <c r="E88" s="41">
        <f t="shared" si="1"/>
        <v>-258289.47999999998</v>
      </c>
    </row>
    <row r="89" spans="1:5" ht="13.5">
      <c r="A89" s="21" t="s">
        <v>56</v>
      </c>
      <c r="B89" s="36">
        <v>382800</v>
      </c>
      <c r="C89" s="36">
        <v>124510.52</v>
      </c>
      <c r="D89" s="40">
        <f t="shared" si="0"/>
        <v>32.52625914315569</v>
      </c>
      <c r="E89" s="41">
        <f t="shared" si="1"/>
        <v>-258289.47999999998</v>
      </c>
    </row>
    <row r="90" spans="1:5" ht="13.5">
      <c r="A90" s="21" t="s">
        <v>59</v>
      </c>
      <c r="B90" s="36">
        <v>0</v>
      </c>
      <c r="C90" s="107">
        <v>0</v>
      </c>
      <c r="D90" s="40" t="str">
        <f t="shared" si="0"/>
        <v>   </v>
      </c>
      <c r="E90" s="41">
        <f t="shared" si="1"/>
        <v>0</v>
      </c>
    </row>
    <row r="91" spans="1:5" ht="27">
      <c r="A91" s="17" t="s">
        <v>159</v>
      </c>
      <c r="B91" s="36">
        <v>0</v>
      </c>
      <c r="C91" s="107">
        <v>0</v>
      </c>
      <c r="D91" s="40" t="str">
        <f>IF(B91=0,"   ",C91/B91*100)</f>
        <v>   </v>
      </c>
      <c r="E91" s="41">
        <f>C91-B91</f>
        <v>0</v>
      </c>
    </row>
    <row r="92" spans="1:5" ht="13.5">
      <c r="A92" s="17" t="s">
        <v>196</v>
      </c>
      <c r="B92" s="36">
        <f>B94+B93+B95</f>
        <v>0</v>
      </c>
      <c r="C92" s="36">
        <f>C94+C93+C95</f>
        <v>0</v>
      </c>
      <c r="D92" s="40" t="str">
        <f>IF(B92=0,"   ",C92/B92*100)</f>
        <v>   </v>
      </c>
      <c r="E92" s="41">
        <f>C92-B92</f>
        <v>0</v>
      </c>
    </row>
    <row r="93" spans="1:5" ht="27">
      <c r="A93" s="17" t="s">
        <v>178</v>
      </c>
      <c r="B93" s="36">
        <v>0</v>
      </c>
      <c r="C93" s="107">
        <v>0</v>
      </c>
      <c r="D93" s="40" t="str">
        <f>IF(B93=0,"   ",C93/B93*100)</f>
        <v>   </v>
      </c>
      <c r="E93" s="41">
        <f>C93-B93</f>
        <v>0</v>
      </c>
    </row>
    <row r="94" spans="1:5" ht="27">
      <c r="A94" s="17" t="s">
        <v>190</v>
      </c>
      <c r="B94" s="36">
        <v>0</v>
      </c>
      <c r="C94" s="107">
        <v>0</v>
      </c>
      <c r="D94" s="40" t="str">
        <f>IF(B94=0,"   ",C94/B94*100)</f>
        <v>   </v>
      </c>
      <c r="E94" s="41">
        <f>C94-B94</f>
        <v>0</v>
      </c>
    </row>
    <row r="95" spans="1:5" ht="27">
      <c r="A95" s="17" t="s">
        <v>202</v>
      </c>
      <c r="B95" s="36">
        <v>0</v>
      </c>
      <c r="C95" s="107">
        <v>0</v>
      </c>
      <c r="D95" s="40" t="str">
        <f>IF(B95=0,"   ",C95/B95*100)</f>
        <v>   </v>
      </c>
      <c r="E95" s="41">
        <f>C95-B95</f>
        <v>0</v>
      </c>
    </row>
    <row r="96" spans="1:5" ht="27" customHeight="1" thickBot="1">
      <c r="A96" s="17" t="s">
        <v>274</v>
      </c>
      <c r="B96" s="36">
        <v>0</v>
      </c>
      <c r="C96" s="107">
        <v>0</v>
      </c>
      <c r="D96" s="40" t="str">
        <f t="shared" si="0"/>
        <v>   </v>
      </c>
      <c r="E96" s="41">
        <f t="shared" si="1"/>
        <v>0</v>
      </c>
    </row>
    <row r="97" spans="1:5" ht="15.75" customHeight="1" thickBot="1">
      <c r="A97" s="62" t="s">
        <v>311</v>
      </c>
      <c r="B97" s="111">
        <f>SUM(B98)</f>
        <v>100</v>
      </c>
      <c r="C97" s="111">
        <f>SUM(C98)</f>
        <v>0</v>
      </c>
      <c r="D97" s="40">
        <f>IF(B97=0,"   ",C97/B97*100)</f>
        <v>0</v>
      </c>
      <c r="E97" s="41">
        <f>C97-B97</f>
        <v>-100</v>
      </c>
    </row>
    <row r="98" spans="1:5" ht="15" customHeight="1">
      <c r="A98" s="62" t="s">
        <v>262</v>
      </c>
      <c r="B98" s="36">
        <v>100</v>
      </c>
      <c r="C98" s="99">
        <v>0</v>
      </c>
      <c r="D98" s="40">
        <f>IF(B98=0,"   ",C98/B98*100)</f>
        <v>0</v>
      </c>
      <c r="E98" s="41">
        <f>C98-B98</f>
        <v>-100</v>
      </c>
    </row>
    <row r="99" spans="1:5" ht="12.75" customHeight="1">
      <c r="A99" s="21" t="s">
        <v>17</v>
      </c>
      <c r="B99" s="36">
        <v>0</v>
      </c>
      <c r="C99" s="36">
        <v>0</v>
      </c>
      <c r="D99" s="40" t="str">
        <f t="shared" si="0"/>
        <v>   </v>
      </c>
      <c r="E99" s="41">
        <f t="shared" si="1"/>
        <v>0</v>
      </c>
    </row>
    <row r="100" spans="1:5" ht="19.5" customHeight="1">
      <c r="A100" s="21" t="s">
        <v>41</v>
      </c>
      <c r="B100" s="143">
        <f>B101</f>
        <v>2671600</v>
      </c>
      <c r="C100" s="143">
        <f>C101</f>
        <v>2189491</v>
      </c>
      <c r="D100" s="40">
        <f t="shared" si="0"/>
        <v>81.95429705045666</v>
      </c>
      <c r="E100" s="41">
        <f t="shared" si="1"/>
        <v>-482109</v>
      </c>
    </row>
    <row r="101" spans="1:5" ht="15" customHeight="1">
      <c r="A101" s="21" t="s">
        <v>42</v>
      </c>
      <c r="B101" s="36">
        <v>2671600</v>
      </c>
      <c r="C101" s="107">
        <v>2189491</v>
      </c>
      <c r="D101" s="40">
        <f t="shared" si="0"/>
        <v>81.95429705045666</v>
      </c>
      <c r="E101" s="41">
        <f t="shared" si="1"/>
        <v>-482109</v>
      </c>
    </row>
    <row r="102" spans="1:5" ht="14.25" customHeight="1">
      <c r="A102" s="21" t="s">
        <v>119</v>
      </c>
      <c r="B102" s="36">
        <f>SUM(B103,)</f>
        <v>20000</v>
      </c>
      <c r="C102" s="36">
        <f>SUM(C103,)</f>
        <v>0</v>
      </c>
      <c r="D102" s="40">
        <f t="shared" si="0"/>
        <v>0</v>
      </c>
      <c r="E102" s="41">
        <f t="shared" si="1"/>
        <v>-20000</v>
      </c>
    </row>
    <row r="103" spans="1:5" ht="13.5">
      <c r="A103" s="21" t="s">
        <v>43</v>
      </c>
      <c r="B103" s="36">
        <v>20000</v>
      </c>
      <c r="C103" s="99">
        <v>0</v>
      </c>
      <c r="D103" s="40">
        <f t="shared" si="0"/>
        <v>0</v>
      </c>
      <c r="E103" s="41">
        <f t="shared" si="1"/>
        <v>-20000</v>
      </c>
    </row>
    <row r="104" spans="1:5" ht="27.75" customHeight="1">
      <c r="A104" s="44" t="s">
        <v>15</v>
      </c>
      <c r="B104" s="116">
        <f>SUM(B49,B57,B59,B61,B78,B99,B100,B102,)</f>
        <v>8179479</v>
      </c>
      <c r="C104" s="116">
        <f>SUM(C49,C57,C59,C61,C78,C99,C100,C102,)</f>
        <v>5013903.550000001</v>
      </c>
      <c r="D104" s="46">
        <f>IF(B104=0,"   ",C104/B104*100)</f>
        <v>61.29856864966584</v>
      </c>
      <c r="E104" s="47">
        <f t="shared" si="1"/>
        <v>-3165575.4499999993</v>
      </c>
    </row>
    <row r="105" spans="1:5" s="13" customFormat="1" ht="31.5" customHeight="1">
      <c r="A105" s="71" t="s">
        <v>291</v>
      </c>
      <c r="B105" s="71"/>
      <c r="C105" s="165"/>
      <c r="D105" s="165"/>
      <c r="E105" s="165"/>
    </row>
    <row r="106" spans="1:5" s="13" customFormat="1" ht="12" customHeight="1">
      <c r="A106" s="71" t="s">
        <v>146</v>
      </c>
      <c r="B106" s="71"/>
      <c r="C106" s="72" t="s">
        <v>292</v>
      </c>
      <c r="D106" s="73"/>
      <c r="E106" s="74"/>
    </row>
    <row r="107" spans="1:5" ht="13.5">
      <c r="A107" s="71"/>
      <c r="B107" s="71"/>
      <c r="C107" s="117"/>
      <c r="D107" s="71"/>
      <c r="E107" s="118"/>
    </row>
    <row r="108" spans="1:5" ht="13.5">
      <c r="A108" s="71"/>
      <c r="B108" s="71"/>
      <c r="C108" s="117"/>
      <c r="D108" s="71"/>
      <c r="E108" s="118"/>
    </row>
    <row r="109" spans="1:5" ht="13.5">
      <c r="A109" s="22"/>
      <c r="B109" s="22"/>
      <c r="C109" s="22"/>
      <c r="D109" s="22"/>
      <c r="E109" s="22"/>
    </row>
    <row r="110" spans="1:5" ht="13.5">
      <c r="A110" s="22"/>
      <c r="B110" s="22"/>
      <c r="C110" s="22"/>
      <c r="D110" s="22"/>
      <c r="E110" s="22"/>
    </row>
    <row r="111" spans="1:5" ht="15">
      <c r="A111" s="75"/>
      <c r="B111" s="75"/>
      <c r="C111" s="75"/>
      <c r="D111" s="75"/>
      <c r="E111" s="75"/>
    </row>
    <row r="112" spans="1:5" ht="15">
      <c r="A112" s="75"/>
      <c r="B112" s="75"/>
      <c r="C112" s="75"/>
      <c r="D112" s="75"/>
      <c r="E112" s="75"/>
    </row>
    <row r="113" spans="1:5" ht="15">
      <c r="A113" s="75"/>
      <c r="B113" s="75"/>
      <c r="C113" s="75"/>
      <c r="D113" s="75"/>
      <c r="E113" s="75"/>
    </row>
    <row r="114" spans="1:5" ht="12.75">
      <c r="A114" s="15"/>
      <c r="B114" s="15"/>
      <c r="C114" s="15"/>
      <c r="D114" s="15"/>
      <c r="E114" s="15"/>
    </row>
  </sheetData>
  <sheetProtection/>
  <mergeCells count="2">
    <mergeCell ref="A1:E1"/>
    <mergeCell ref="C105:E105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25">
      <selection activeCell="C46" sqref="C46"/>
    </sheetView>
  </sheetViews>
  <sheetFormatPr defaultColWidth="9.00390625" defaultRowHeight="12.75"/>
  <cols>
    <col min="1" max="1" width="119.7539062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3.5">
      <c r="A1" s="166" t="s">
        <v>344</v>
      </c>
      <c r="B1" s="166"/>
      <c r="C1" s="166"/>
      <c r="D1" s="166"/>
      <c r="E1" s="166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54.75">
      <c r="A4" s="24" t="s">
        <v>1</v>
      </c>
      <c r="B4" s="25" t="s">
        <v>293</v>
      </c>
      <c r="C4" s="26" t="s">
        <v>338</v>
      </c>
      <c r="D4" s="25" t="s">
        <v>294</v>
      </c>
      <c r="E4" s="27" t="s">
        <v>295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3.5">
      <c r="A7" s="38" t="s">
        <v>45</v>
      </c>
      <c r="B7" s="143">
        <f>SUM(B8)</f>
        <v>56400</v>
      </c>
      <c r="C7" s="143">
        <f>C8</f>
        <v>56468.21</v>
      </c>
      <c r="D7" s="40">
        <f aca="true" t="shared" si="0" ref="D7:D108">IF(B7=0,"   ",C7/B7*100)</f>
        <v>100.12093971631207</v>
      </c>
      <c r="E7" s="41">
        <f aca="true" t="shared" si="1" ref="E7:E109">C7-B7</f>
        <v>68.20999999999913</v>
      </c>
    </row>
    <row r="8" spans="1:5" ht="13.5">
      <c r="A8" s="21" t="s">
        <v>44</v>
      </c>
      <c r="B8" s="36">
        <v>56400</v>
      </c>
      <c r="C8" s="86">
        <v>56468.21</v>
      </c>
      <c r="D8" s="40">
        <f t="shared" si="0"/>
        <v>100.12093971631207</v>
      </c>
      <c r="E8" s="41">
        <f t="shared" si="1"/>
        <v>68.20999999999913</v>
      </c>
    </row>
    <row r="9" spans="1:5" ht="13.5">
      <c r="A9" s="38" t="s">
        <v>129</v>
      </c>
      <c r="B9" s="143">
        <f>SUM(B10)</f>
        <v>509900</v>
      </c>
      <c r="C9" s="143">
        <f>SUM(C10)</f>
        <v>344219.42</v>
      </c>
      <c r="D9" s="40">
        <f t="shared" si="0"/>
        <v>67.50724063541871</v>
      </c>
      <c r="E9" s="41">
        <f t="shared" si="1"/>
        <v>-165680.58000000002</v>
      </c>
    </row>
    <row r="10" spans="1:5" ht="13.5">
      <c r="A10" s="21" t="s">
        <v>130</v>
      </c>
      <c r="B10" s="36">
        <v>509900</v>
      </c>
      <c r="C10" s="86">
        <v>344219.42</v>
      </c>
      <c r="D10" s="40">
        <f t="shared" si="0"/>
        <v>67.50724063541871</v>
      </c>
      <c r="E10" s="41">
        <f t="shared" si="1"/>
        <v>-165680.58000000002</v>
      </c>
    </row>
    <row r="11" spans="1:5" ht="13.5" customHeight="1">
      <c r="A11" s="21" t="s">
        <v>7</v>
      </c>
      <c r="B11" s="36">
        <f>SUM(B12:B12)</f>
        <v>148000</v>
      </c>
      <c r="C11" s="36">
        <f>SUM(C12:C12)</f>
        <v>165051.9</v>
      </c>
      <c r="D11" s="40">
        <f t="shared" si="0"/>
        <v>111.52155405405404</v>
      </c>
      <c r="E11" s="41">
        <f t="shared" si="1"/>
        <v>17051.899999999994</v>
      </c>
    </row>
    <row r="12" spans="1:5" ht="13.5" customHeight="1">
      <c r="A12" s="21" t="s">
        <v>26</v>
      </c>
      <c r="B12" s="36">
        <v>148000</v>
      </c>
      <c r="C12" s="86">
        <v>165051.9</v>
      </c>
      <c r="D12" s="40">
        <f t="shared" si="0"/>
        <v>111.52155405405404</v>
      </c>
      <c r="E12" s="41">
        <f t="shared" si="1"/>
        <v>17051.899999999994</v>
      </c>
    </row>
    <row r="13" spans="1:5" ht="13.5">
      <c r="A13" s="21" t="s">
        <v>9</v>
      </c>
      <c r="B13" s="36">
        <f>SUM(B14:B15)</f>
        <v>381000</v>
      </c>
      <c r="C13" s="36">
        <f>SUM(C14:C15)</f>
        <v>6582.420000000002</v>
      </c>
      <c r="D13" s="40">
        <f t="shared" si="0"/>
        <v>1.7276692913385832</v>
      </c>
      <c r="E13" s="41">
        <f t="shared" si="1"/>
        <v>-374417.58</v>
      </c>
    </row>
    <row r="14" spans="1:5" ht="19.5" customHeight="1">
      <c r="A14" s="21" t="s">
        <v>27</v>
      </c>
      <c r="B14" s="36">
        <v>122000</v>
      </c>
      <c r="C14" s="86">
        <v>12526.61</v>
      </c>
      <c r="D14" s="40">
        <f t="shared" si="0"/>
        <v>10.267713114754098</v>
      </c>
      <c r="E14" s="41">
        <f t="shared" si="1"/>
        <v>-109473.39</v>
      </c>
    </row>
    <row r="15" spans="1:5" ht="18.75" customHeight="1">
      <c r="A15" s="21" t="s">
        <v>152</v>
      </c>
      <c r="B15" s="36">
        <f>SUM(B16:B17)</f>
        <v>259000</v>
      </c>
      <c r="C15" s="36">
        <f>SUM(C16:C17)</f>
        <v>-5944.189999999999</v>
      </c>
      <c r="D15" s="40">
        <f t="shared" si="0"/>
        <v>-2.2950540540540536</v>
      </c>
      <c r="E15" s="41">
        <f t="shared" si="1"/>
        <v>-264944.19</v>
      </c>
    </row>
    <row r="16" spans="1:5" ht="18.75" customHeight="1">
      <c r="A16" s="21" t="s">
        <v>153</v>
      </c>
      <c r="B16" s="36">
        <v>27000</v>
      </c>
      <c r="C16" s="86">
        <v>-26333.07</v>
      </c>
      <c r="D16" s="40">
        <f t="shared" si="0"/>
        <v>-97.52988888888888</v>
      </c>
      <c r="E16" s="41">
        <f t="shared" si="1"/>
        <v>-53333.07</v>
      </c>
    </row>
    <row r="17" spans="1:5" ht="18" customHeight="1">
      <c r="A17" s="21" t="s">
        <v>154</v>
      </c>
      <c r="B17" s="36">
        <v>232000</v>
      </c>
      <c r="C17" s="86">
        <v>20388.88</v>
      </c>
      <c r="D17" s="40">
        <f t="shared" si="0"/>
        <v>8.788310344827586</v>
      </c>
      <c r="E17" s="41">
        <f t="shared" si="1"/>
        <v>-211611.12</v>
      </c>
    </row>
    <row r="18" spans="1:5" ht="18" customHeight="1">
      <c r="A18" s="21" t="s">
        <v>187</v>
      </c>
      <c r="B18" s="36">
        <v>0</v>
      </c>
      <c r="C18" s="86">
        <v>0</v>
      </c>
      <c r="D18" s="40" t="str">
        <f t="shared" si="0"/>
        <v>   </v>
      </c>
      <c r="E18" s="41">
        <f t="shared" si="1"/>
        <v>0</v>
      </c>
    </row>
    <row r="19" spans="1:5" ht="15" customHeight="1">
      <c r="A19" s="21" t="s">
        <v>85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14.25" customHeight="1">
      <c r="A20" s="21" t="s">
        <v>28</v>
      </c>
      <c r="B20" s="36">
        <f>B22+B21</f>
        <v>88800</v>
      </c>
      <c r="C20" s="143">
        <f>SUM(C21:C22)</f>
        <v>37379.03</v>
      </c>
      <c r="D20" s="40">
        <f t="shared" si="0"/>
        <v>42.09350225225225</v>
      </c>
      <c r="E20" s="41">
        <f t="shared" si="1"/>
        <v>-51420.97</v>
      </c>
    </row>
    <row r="21" spans="1:5" ht="15.75" customHeight="1">
      <c r="A21" s="21" t="s">
        <v>144</v>
      </c>
      <c r="B21" s="36">
        <v>88800</v>
      </c>
      <c r="C21" s="107">
        <v>37379.03</v>
      </c>
      <c r="D21" s="40">
        <f t="shared" si="0"/>
        <v>42.09350225225225</v>
      </c>
      <c r="E21" s="41">
        <f t="shared" si="1"/>
        <v>-51420.97</v>
      </c>
    </row>
    <row r="22" spans="1:5" ht="15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8.75" customHeight="1">
      <c r="A23" s="21" t="s">
        <v>88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18.75" customHeight="1">
      <c r="A24" s="21" t="s">
        <v>76</v>
      </c>
      <c r="B24" s="36">
        <f>SUM(B25)</f>
        <v>0</v>
      </c>
      <c r="C24" s="36">
        <f>SUM(C25)</f>
        <v>0</v>
      </c>
      <c r="D24" s="40" t="str">
        <f t="shared" si="0"/>
        <v>   </v>
      </c>
      <c r="E24" s="41">
        <f t="shared" si="1"/>
        <v>0</v>
      </c>
    </row>
    <row r="25" spans="1:5" ht="24.75" customHeight="1">
      <c r="A25" s="21" t="s">
        <v>77</v>
      </c>
      <c r="B25" s="36">
        <v>0</v>
      </c>
      <c r="C25" s="107">
        <v>0</v>
      </c>
      <c r="D25" s="40" t="str">
        <f t="shared" si="0"/>
        <v>   </v>
      </c>
      <c r="E25" s="41">
        <f t="shared" si="1"/>
        <v>0</v>
      </c>
    </row>
    <row r="26" spans="1:5" ht="15" customHeight="1">
      <c r="A26" s="21" t="s">
        <v>31</v>
      </c>
      <c r="B26" s="36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7.25" customHeight="1">
      <c r="A27" s="21" t="s">
        <v>32</v>
      </c>
      <c r="B27" s="143">
        <f>B28+B29</f>
        <v>0</v>
      </c>
      <c r="C27" s="143">
        <f>C28+C29</f>
        <v>-0.74</v>
      </c>
      <c r="D27" s="40" t="str">
        <f t="shared" si="0"/>
        <v>   </v>
      </c>
      <c r="E27" s="41">
        <f t="shared" si="1"/>
        <v>-0.74</v>
      </c>
    </row>
    <row r="28" spans="1:5" ht="14.25" customHeight="1">
      <c r="A28" s="21" t="s">
        <v>128</v>
      </c>
      <c r="B28" s="36">
        <v>0</v>
      </c>
      <c r="C28" s="107">
        <v>-0.74</v>
      </c>
      <c r="D28" s="40" t="str">
        <f t="shared" si="0"/>
        <v>   </v>
      </c>
      <c r="E28" s="41">
        <f t="shared" si="1"/>
        <v>-0.74</v>
      </c>
    </row>
    <row r="29" spans="1:5" ht="14.25" customHeight="1">
      <c r="A29" s="21" t="s">
        <v>105</v>
      </c>
      <c r="B29" s="36">
        <v>0</v>
      </c>
      <c r="C29" s="36">
        <v>0</v>
      </c>
      <c r="D29" s="40" t="str">
        <f t="shared" si="0"/>
        <v>   </v>
      </c>
      <c r="E29" s="41">
        <f t="shared" si="1"/>
        <v>0</v>
      </c>
    </row>
    <row r="30" spans="1:5" ht="18" customHeight="1">
      <c r="A30" s="44" t="s">
        <v>10</v>
      </c>
      <c r="B30" s="116">
        <f>SUM(B7,B9,B11,B13,B19,B20,B23,B24,B26,B28,B29,B18)</f>
        <v>1184100</v>
      </c>
      <c r="C30" s="116">
        <f>SUM(C7,C9,C11,C13,C19,C20,C23,C24,C26,C28,C29,C18)</f>
        <v>609700.2400000001</v>
      </c>
      <c r="D30" s="46">
        <f t="shared" si="0"/>
        <v>51.49060383413564</v>
      </c>
      <c r="E30" s="47">
        <f t="shared" si="1"/>
        <v>-574399.7599999999</v>
      </c>
    </row>
    <row r="31" spans="1:5" ht="18" customHeight="1">
      <c r="A31" s="62" t="s">
        <v>132</v>
      </c>
      <c r="B31" s="145">
        <f>SUM(B32:B35,B38,B39,B40,B45+B47)</f>
        <v>2499400</v>
      </c>
      <c r="C31" s="145">
        <f>SUM(C32:C35,C38,C39,C40,C45+C47)</f>
        <v>1833020</v>
      </c>
      <c r="D31" s="46">
        <f t="shared" si="0"/>
        <v>73.33840121629191</v>
      </c>
      <c r="E31" s="47">
        <f t="shared" si="1"/>
        <v>-666380</v>
      </c>
    </row>
    <row r="32" spans="1:5" ht="16.5" customHeight="1">
      <c r="A32" s="38" t="s">
        <v>34</v>
      </c>
      <c r="B32" s="143">
        <v>1570200</v>
      </c>
      <c r="C32" s="86">
        <v>1048000</v>
      </c>
      <c r="D32" s="40">
        <f t="shared" si="0"/>
        <v>66.74309005222264</v>
      </c>
      <c r="E32" s="41">
        <f t="shared" si="1"/>
        <v>-522200</v>
      </c>
    </row>
    <row r="33" spans="1:5" ht="16.5" customHeight="1">
      <c r="A33" s="38" t="s">
        <v>218</v>
      </c>
      <c r="B33" s="143">
        <v>0</v>
      </c>
      <c r="C33" s="86">
        <v>0</v>
      </c>
      <c r="D33" s="40" t="str">
        <f>IF(B33=0,"   ",C33/B33*100)</f>
        <v>   </v>
      </c>
      <c r="E33" s="41">
        <f>C33-B33</f>
        <v>0</v>
      </c>
    </row>
    <row r="34" spans="1:5" ht="31.5" customHeight="1">
      <c r="A34" s="21" t="s">
        <v>51</v>
      </c>
      <c r="B34" s="36">
        <v>103700</v>
      </c>
      <c r="C34" s="86">
        <v>73400</v>
      </c>
      <c r="D34" s="40">
        <f t="shared" si="0"/>
        <v>70.7810993249759</v>
      </c>
      <c r="E34" s="41">
        <f t="shared" si="1"/>
        <v>-30300</v>
      </c>
    </row>
    <row r="35" spans="1:5" ht="15.75" customHeight="1">
      <c r="A35" s="21" t="s">
        <v>140</v>
      </c>
      <c r="B35" s="36">
        <f>SUM(B36:B37)</f>
        <v>100</v>
      </c>
      <c r="C35" s="36">
        <f>SUM(C36:C37)</f>
        <v>100</v>
      </c>
      <c r="D35" s="40">
        <f t="shared" si="0"/>
        <v>100</v>
      </c>
      <c r="E35" s="41">
        <f t="shared" si="1"/>
        <v>0</v>
      </c>
    </row>
    <row r="36" spans="1:5" ht="16.5" customHeight="1">
      <c r="A36" s="52" t="s">
        <v>155</v>
      </c>
      <c r="B36" s="36">
        <v>100</v>
      </c>
      <c r="C36" s="107">
        <v>100</v>
      </c>
      <c r="D36" s="40">
        <f>IF(B36=0,"   ",C36/B36*100)</f>
        <v>100</v>
      </c>
      <c r="E36" s="41">
        <f>C36-B36</f>
        <v>0</v>
      </c>
    </row>
    <row r="37" spans="1:5" ht="26.25" customHeight="1">
      <c r="A37" s="52" t="s">
        <v>156</v>
      </c>
      <c r="B37" s="36">
        <v>0</v>
      </c>
      <c r="C37" s="107">
        <v>0</v>
      </c>
      <c r="D37" s="40" t="str">
        <f>IF(B37=0,"   ",C37/B37*100)</f>
        <v>   </v>
      </c>
      <c r="E37" s="41">
        <f>C37-B37</f>
        <v>0</v>
      </c>
    </row>
    <row r="38" spans="1:5" ht="61.5" customHeight="1">
      <c r="A38" s="21" t="s">
        <v>227</v>
      </c>
      <c r="B38" s="36">
        <v>434000</v>
      </c>
      <c r="C38" s="107">
        <v>434000</v>
      </c>
      <c r="D38" s="40">
        <f>IF(B38=0,"   ",C38/B38*100)</f>
        <v>100</v>
      </c>
      <c r="E38" s="41">
        <f>C38-B38</f>
        <v>0</v>
      </c>
    </row>
    <row r="39" spans="1:5" ht="26.25" customHeight="1">
      <c r="A39" s="21" t="s">
        <v>283</v>
      </c>
      <c r="B39" s="36">
        <v>0</v>
      </c>
      <c r="C39" s="107">
        <v>0</v>
      </c>
      <c r="D39" s="40" t="str">
        <f>IF(B39=0,"   ",C39/B39*100)</f>
        <v>   </v>
      </c>
      <c r="E39" s="41">
        <f>C39-B39</f>
        <v>0</v>
      </c>
    </row>
    <row r="40" spans="1:5" ht="14.25" customHeight="1">
      <c r="A40" s="21" t="s">
        <v>80</v>
      </c>
      <c r="B40" s="36">
        <f>B41+B44+B43+B42</f>
        <v>345000</v>
      </c>
      <c r="C40" s="36">
        <f>C41+C44+C43+C42</f>
        <v>231120</v>
      </c>
      <c r="D40" s="40">
        <f t="shared" si="0"/>
        <v>66.99130434782609</v>
      </c>
      <c r="E40" s="41">
        <f t="shared" si="1"/>
        <v>-113880</v>
      </c>
    </row>
    <row r="41" spans="1:5" ht="16.5" customHeight="1">
      <c r="A41" s="21" t="s">
        <v>104</v>
      </c>
      <c r="B41" s="36">
        <v>308100</v>
      </c>
      <c r="C41" s="107">
        <v>231120</v>
      </c>
      <c r="D41" s="40">
        <f t="shared" si="0"/>
        <v>75.01460564751704</v>
      </c>
      <c r="E41" s="41">
        <f t="shared" si="1"/>
        <v>-76980</v>
      </c>
    </row>
    <row r="42" spans="1:5" ht="16.5" customHeight="1">
      <c r="A42" s="21" t="s">
        <v>299</v>
      </c>
      <c r="B42" s="36">
        <v>36900</v>
      </c>
      <c r="C42" s="107">
        <v>0</v>
      </c>
      <c r="D42" s="40">
        <f t="shared" si="0"/>
        <v>0</v>
      </c>
      <c r="E42" s="41">
        <f t="shared" si="1"/>
        <v>-36900</v>
      </c>
    </row>
    <row r="43" spans="1:5" ht="16.5" customHeight="1">
      <c r="A43" s="21" t="s">
        <v>270</v>
      </c>
      <c r="B43" s="36">
        <v>0</v>
      </c>
      <c r="C43" s="107">
        <v>0</v>
      </c>
      <c r="D43" s="40" t="str">
        <f t="shared" si="0"/>
        <v>   </v>
      </c>
      <c r="E43" s="41">
        <f t="shared" si="1"/>
        <v>0</v>
      </c>
    </row>
    <row r="44" spans="1:5" ht="16.5" customHeight="1">
      <c r="A44" s="21" t="s">
        <v>179</v>
      </c>
      <c r="B44" s="36">
        <v>0</v>
      </c>
      <c r="C44" s="107">
        <v>0</v>
      </c>
      <c r="D44" s="40" t="str">
        <f t="shared" si="0"/>
        <v>   </v>
      </c>
      <c r="E44" s="41">
        <f t="shared" si="1"/>
        <v>0</v>
      </c>
    </row>
    <row r="45" spans="1:5" ht="27" customHeight="1">
      <c r="A45" s="21" t="s">
        <v>332</v>
      </c>
      <c r="B45" s="36">
        <v>46400</v>
      </c>
      <c r="C45" s="107">
        <v>46400</v>
      </c>
      <c r="D45" s="40">
        <f t="shared" si="0"/>
        <v>100</v>
      </c>
      <c r="E45" s="41">
        <f t="shared" si="1"/>
        <v>0</v>
      </c>
    </row>
    <row r="46" spans="1:5" ht="28.5" customHeight="1">
      <c r="A46" s="21" t="s">
        <v>98</v>
      </c>
      <c r="B46" s="36">
        <v>0</v>
      </c>
      <c r="C46" s="36">
        <v>0</v>
      </c>
      <c r="D46" s="40" t="str">
        <f t="shared" si="0"/>
        <v>   </v>
      </c>
      <c r="E46" s="41">
        <f t="shared" si="1"/>
        <v>0</v>
      </c>
    </row>
    <row r="47" spans="1:5" ht="15" customHeight="1">
      <c r="A47" s="21" t="s">
        <v>189</v>
      </c>
      <c r="B47" s="36">
        <v>0</v>
      </c>
      <c r="C47" s="86">
        <v>0</v>
      </c>
      <c r="D47" s="40" t="str">
        <f t="shared" si="0"/>
        <v>   </v>
      </c>
      <c r="E47" s="41">
        <f t="shared" si="1"/>
        <v>0</v>
      </c>
    </row>
    <row r="48" spans="1:5" ht="27" customHeight="1">
      <c r="A48" s="44" t="s">
        <v>11</v>
      </c>
      <c r="B48" s="116">
        <f>SUM(B30,B31,)</f>
        <v>3683500</v>
      </c>
      <c r="C48" s="116">
        <f>SUM(C30,C31,)</f>
        <v>2442720.24</v>
      </c>
      <c r="D48" s="46">
        <f t="shared" si="0"/>
        <v>66.3151958734899</v>
      </c>
      <c r="E48" s="47">
        <f t="shared" si="1"/>
        <v>-1240779.7599999998</v>
      </c>
    </row>
    <row r="49" spans="1:5" ht="21.75" customHeight="1">
      <c r="A49" s="56" t="s">
        <v>12</v>
      </c>
      <c r="B49" s="116"/>
      <c r="C49" s="99"/>
      <c r="D49" s="40" t="str">
        <f t="shared" si="0"/>
        <v>   </v>
      </c>
      <c r="E49" s="41">
        <f t="shared" si="1"/>
        <v>0</v>
      </c>
    </row>
    <row r="50" spans="1:5" ht="16.5" customHeight="1">
      <c r="A50" s="21" t="s">
        <v>35</v>
      </c>
      <c r="B50" s="36">
        <f>SUM(B51,B54:B55)</f>
        <v>1280900</v>
      </c>
      <c r="C50" s="36">
        <f>SUM(C51,C54:C55)</f>
        <v>727507.47</v>
      </c>
      <c r="D50" s="40">
        <f t="shared" si="0"/>
        <v>56.796585994222816</v>
      </c>
      <c r="E50" s="41">
        <f t="shared" si="1"/>
        <v>-553392.53</v>
      </c>
    </row>
    <row r="51" spans="1:5" ht="13.5" customHeight="1">
      <c r="A51" s="21" t="s">
        <v>36</v>
      </c>
      <c r="B51" s="36">
        <v>1280400</v>
      </c>
      <c r="C51" s="36">
        <v>727507.47</v>
      </c>
      <c r="D51" s="40">
        <f t="shared" si="0"/>
        <v>56.81876522961574</v>
      </c>
      <c r="E51" s="41">
        <f t="shared" si="1"/>
        <v>-552892.53</v>
      </c>
    </row>
    <row r="52" spans="1:5" ht="13.5">
      <c r="A52" s="21" t="s">
        <v>117</v>
      </c>
      <c r="B52" s="36">
        <v>778418</v>
      </c>
      <c r="C52" s="99">
        <v>426781.05</v>
      </c>
      <c r="D52" s="40">
        <f t="shared" si="0"/>
        <v>54.82671906353656</v>
      </c>
      <c r="E52" s="41">
        <f t="shared" si="1"/>
        <v>-351636.95</v>
      </c>
    </row>
    <row r="53" spans="1:5" ht="13.5">
      <c r="A53" s="21" t="s">
        <v>334</v>
      </c>
      <c r="B53" s="36">
        <v>46400</v>
      </c>
      <c r="C53" s="99">
        <v>46400</v>
      </c>
      <c r="D53" s="40">
        <f>IF(B53=0,"   ",C53/B53*100)</f>
        <v>100</v>
      </c>
      <c r="E53" s="41">
        <f>C53-B53</f>
        <v>0</v>
      </c>
    </row>
    <row r="54" spans="1:5" ht="13.5">
      <c r="A54" s="21" t="s">
        <v>91</v>
      </c>
      <c r="B54" s="36">
        <v>500</v>
      </c>
      <c r="C54" s="107">
        <v>0</v>
      </c>
      <c r="D54" s="40">
        <f t="shared" si="0"/>
        <v>0</v>
      </c>
      <c r="E54" s="41">
        <f t="shared" si="1"/>
        <v>-500</v>
      </c>
    </row>
    <row r="55" spans="1:5" ht="13.5">
      <c r="A55" s="21" t="s">
        <v>52</v>
      </c>
      <c r="B55" s="107">
        <f>SUM(B56)</f>
        <v>0</v>
      </c>
      <c r="C55" s="107">
        <f>SUM(C56)</f>
        <v>0</v>
      </c>
      <c r="D55" s="40" t="str">
        <f t="shared" si="0"/>
        <v>   </v>
      </c>
      <c r="E55" s="41">
        <f t="shared" si="1"/>
        <v>0</v>
      </c>
    </row>
    <row r="56" spans="1:5" ht="27">
      <c r="A56" s="17" t="s">
        <v>235</v>
      </c>
      <c r="B56" s="36">
        <v>0</v>
      </c>
      <c r="C56" s="107">
        <v>0</v>
      </c>
      <c r="D56" s="40" t="str">
        <f t="shared" si="0"/>
        <v>   </v>
      </c>
      <c r="E56" s="41">
        <f t="shared" si="1"/>
        <v>0</v>
      </c>
    </row>
    <row r="57" spans="1:5" ht="16.5" customHeight="1">
      <c r="A57" s="21" t="s">
        <v>49</v>
      </c>
      <c r="B57" s="107">
        <f>SUM(B58)</f>
        <v>103700</v>
      </c>
      <c r="C57" s="107">
        <f>SUM(C58)</f>
        <v>60293.14</v>
      </c>
      <c r="D57" s="40">
        <f t="shared" si="0"/>
        <v>58.14189006750241</v>
      </c>
      <c r="E57" s="41">
        <f t="shared" si="1"/>
        <v>-43406.86</v>
      </c>
    </row>
    <row r="58" spans="1:5" ht="17.25" customHeight="1">
      <c r="A58" s="21" t="s">
        <v>102</v>
      </c>
      <c r="B58" s="36">
        <v>103700</v>
      </c>
      <c r="C58" s="107">
        <v>60293.14</v>
      </c>
      <c r="D58" s="40">
        <f t="shared" si="0"/>
        <v>58.14189006750241</v>
      </c>
      <c r="E58" s="41">
        <f t="shared" si="1"/>
        <v>-43406.86</v>
      </c>
    </row>
    <row r="59" spans="1:5" ht="22.5" customHeight="1">
      <c r="A59" s="21" t="s">
        <v>37</v>
      </c>
      <c r="B59" s="36">
        <f>SUM(B60)</f>
        <v>2000</v>
      </c>
      <c r="C59" s="107">
        <f>SUM(C60)</f>
        <v>0</v>
      </c>
      <c r="D59" s="40">
        <f t="shared" si="0"/>
        <v>0</v>
      </c>
      <c r="E59" s="41">
        <f t="shared" si="1"/>
        <v>-2000</v>
      </c>
    </row>
    <row r="60" spans="1:5" ht="17.25" customHeight="1">
      <c r="A60" s="60" t="s">
        <v>325</v>
      </c>
      <c r="B60" s="36">
        <v>2000</v>
      </c>
      <c r="C60" s="107">
        <v>0</v>
      </c>
      <c r="D60" s="40">
        <f t="shared" si="0"/>
        <v>0</v>
      </c>
      <c r="E60" s="41">
        <f t="shared" si="1"/>
        <v>-2000</v>
      </c>
    </row>
    <row r="61" spans="1:5" ht="18.75" customHeight="1">
      <c r="A61" s="21" t="s">
        <v>38</v>
      </c>
      <c r="B61" s="36">
        <f>B69+B62+B77+B67</f>
        <v>1370062.02</v>
      </c>
      <c r="C61" s="36">
        <f>C69+C62+C77+C67</f>
        <v>992800</v>
      </c>
      <c r="D61" s="40">
        <f t="shared" si="0"/>
        <v>72.46387283985874</v>
      </c>
      <c r="E61" s="41">
        <f t="shared" si="1"/>
        <v>-377262.02</v>
      </c>
    </row>
    <row r="62" spans="1:5" ht="18.75" customHeight="1">
      <c r="A62" s="60" t="s">
        <v>157</v>
      </c>
      <c r="B62" s="36">
        <f>SUM(B65,B66)</f>
        <v>39200</v>
      </c>
      <c r="C62" s="36">
        <f>SUM(C65,C66)</f>
        <v>0</v>
      </c>
      <c r="D62" s="40">
        <f aca="true" t="shared" si="2" ref="D62:D68">IF(B62=0,"   ",C62/B62*100)</f>
        <v>0</v>
      </c>
      <c r="E62" s="41">
        <f aca="true" t="shared" si="3" ref="E62:E68">C62-B62</f>
        <v>-39200</v>
      </c>
    </row>
    <row r="63" spans="1:5" ht="18.75" customHeight="1">
      <c r="A63" s="60" t="s">
        <v>158</v>
      </c>
      <c r="B63" s="36">
        <v>0</v>
      </c>
      <c r="C63" s="36">
        <v>0</v>
      </c>
      <c r="D63" s="40" t="str">
        <f t="shared" si="2"/>
        <v>   </v>
      </c>
      <c r="E63" s="41">
        <f t="shared" si="3"/>
        <v>0</v>
      </c>
    </row>
    <row r="64" spans="1:5" ht="18.75" customHeight="1">
      <c r="A64" s="60" t="s">
        <v>180</v>
      </c>
      <c r="B64" s="36">
        <v>0</v>
      </c>
      <c r="C64" s="36">
        <v>0</v>
      </c>
      <c r="D64" s="40" t="str">
        <f t="shared" si="2"/>
        <v>   </v>
      </c>
      <c r="E64" s="41">
        <f t="shared" si="3"/>
        <v>0</v>
      </c>
    </row>
    <row r="65" spans="1:5" ht="18.75" customHeight="1">
      <c r="A65" s="60" t="s">
        <v>300</v>
      </c>
      <c r="B65" s="36">
        <v>36900</v>
      </c>
      <c r="C65" s="36">
        <v>0</v>
      </c>
      <c r="D65" s="40">
        <f t="shared" si="2"/>
        <v>0</v>
      </c>
      <c r="E65" s="41">
        <f t="shared" si="3"/>
        <v>-36900</v>
      </c>
    </row>
    <row r="66" spans="1:5" ht="18.75" customHeight="1">
      <c r="A66" s="60" t="s">
        <v>301</v>
      </c>
      <c r="B66" s="36">
        <v>2300</v>
      </c>
      <c r="C66" s="36">
        <v>0</v>
      </c>
      <c r="D66" s="40">
        <f t="shared" si="2"/>
        <v>0</v>
      </c>
      <c r="E66" s="41">
        <f t="shared" si="3"/>
        <v>-2300</v>
      </c>
    </row>
    <row r="67" spans="1:5" ht="18.75" customHeight="1">
      <c r="A67" s="62" t="s">
        <v>220</v>
      </c>
      <c r="B67" s="36">
        <f>SUM(B68)</f>
        <v>0</v>
      </c>
      <c r="C67" s="36">
        <f>SUM(C68)</f>
        <v>0</v>
      </c>
      <c r="D67" s="40" t="str">
        <f t="shared" si="2"/>
        <v>   </v>
      </c>
      <c r="E67" s="41">
        <f t="shared" si="3"/>
        <v>0</v>
      </c>
    </row>
    <row r="68" spans="1:5" ht="18.75" customHeight="1">
      <c r="A68" s="62" t="s">
        <v>221</v>
      </c>
      <c r="B68" s="36">
        <v>0</v>
      </c>
      <c r="C68" s="36">
        <v>0</v>
      </c>
      <c r="D68" s="40" t="str">
        <f t="shared" si="2"/>
        <v>   </v>
      </c>
      <c r="E68" s="41">
        <f t="shared" si="3"/>
        <v>0</v>
      </c>
    </row>
    <row r="69" spans="1:5" ht="13.5">
      <c r="A69" s="62" t="s">
        <v>124</v>
      </c>
      <c r="B69" s="36">
        <f>SUM(B70:B76)</f>
        <v>1290862.02</v>
      </c>
      <c r="C69" s="36">
        <f>SUM(C70:C76)</f>
        <v>992800</v>
      </c>
      <c r="D69" s="40">
        <f t="shared" si="0"/>
        <v>76.90984664650681</v>
      </c>
      <c r="E69" s="41">
        <f t="shared" si="1"/>
        <v>-298062.02</v>
      </c>
    </row>
    <row r="70" spans="1:5" ht="16.5" customHeight="1">
      <c r="A70" s="60" t="s">
        <v>141</v>
      </c>
      <c r="B70" s="36">
        <v>40000</v>
      </c>
      <c r="C70" s="36">
        <v>0</v>
      </c>
      <c r="D70" s="40">
        <f t="shared" si="0"/>
        <v>0</v>
      </c>
      <c r="E70" s="41">
        <f t="shared" si="1"/>
        <v>-40000</v>
      </c>
    </row>
    <row r="71" spans="1:5" ht="27" customHeight="1">
      <c r="A71" s="17" t="s">
        <v>238</v>
      </c>
      <c r="B71" s="36">
        <v>408862.02</v>
      </c>
      <c r="C71" s="36">
        <v>236400</v>
      </c>
      <c r="D71" s="40">
        <f>IF(B71=0,"   ",C71/B71*100)</f>
        <v>57.81901679202191</v>
      </c>
      <c r="E71" s="41">
        <f>C71-B71</f>
        <v>-172462.02000000002</v>
      </c>
    </row>
    <row r="72" spans="1:5" ht="27">
      <c r="A72" s="17" t="s">
        <v>239</v>
      </c>
      <c r="B72" s="36">
        <v>17300</v>
      </c>
      <c r="C72" s="36">
        <v>17300</v>
      </c>
      <c r="D72" s="40">
        <f t="shared" si="0"/>
        <v>100</v>
      </c>
      <c r="E72" s="41">
        <f t="shared" si="1"/>
        <v>0</v>
      </c>
    </row>
    <row r="73" spans="1:5" ht="27">
      <c r="A73" s="17" t="s">
        <v>240</v>
      </c>
      <c r="B73" s="36">
        <v>434000</v>
      </c>
      <c r="C73" s="36">
        <v>434000</v>
      </c>
      <c r="D73" s="40">
        <f t="shared" si="0"/>
        <v>100</v>
      </c>
      <c r="E73" s="41">
        <f t="shared" si="1"/>
        <v>0</v>
      </c>
    </row>
    <row r="74" spans="1:5" ht="27">
      <c r="A74" s="17" t="s">
        <v>241</v>
      </c>
      <c r="B74" s="36">
        <v>48300</v>
      </c>
      <c r="C74" s="36">
        <v>48300</v>
      </c>
      <c r="D74" s="40">
        <f t="shared" si="0"/>
        <v>100</v>
      </c>
      <c r="E74" s="41">
        <f t="shared" si="1"/>
        <v>0</v>
      </c>
    </row>
    <row r="75" spans="1:5" ht="27">
      <c r="A75" s="17" t="s">
        <v>242</v>
      </c>
      <c r="B75" s="36">
        <v>308100</v>
      </c>
      <c r="C75" s="36">
        <v>231120</v>
      </c>
      <c r="D75" s="40">
        <f t="shared" si="0"/>
        <v>75.01460564751704</v>
      </c>
      <c r="E75" s="41">
        <f t="shared" si="1"/>
        <v>-76980</v>
      </c>
    </row>
    <row r="76" spans="1:5" ht="27.75" thickBot="1">
      <c r="A76" s="62" t="s">
        <v>243</v>
      </c>
      <c r="B76" s="36">
        <v>34300</v>
      </c>
      <c r="C76" s="36">
        <v>25680</v>
      </c>
      <c r="D76" s="40">
        <f t="shared" si="0"/>
        <v>74.86880466472303</v>
      </c>
      <c r="E76" s="41">
        <f t="shared" si="1"/>
        <v>-8620</v>
      </c>
    </row>
    <row r="77" spans="1:5" ht="14.25" thickBot="1">
      <c r="A77" s="62" t="s">
        <v>168</v>
      </c>
      <c r="B77" s="93">
        <f>SUM(B78)</f>
        <v>40000</v>
      </c>
      <c r="C77" s="93">
        <f>SUM(C78)</f>
        <v>0</v>
      </c>
      <c r="D77" s="40">
        <f>IF(B77=0,"   ",C77/B77*100)</f>
        <v>0</v>
      </c>
      <c r="E77" s="41">
        <f>C77-B77</f>
        <v>-40000</v>
      </c>
    </row>
    <row r="78" spans="1:5" ht="27">
      <c r="A78" s="17" t="s">
        <v>147</v>
      </c>
      <c r="B78" s="36">
        <v>40000</v>
      </c>
      <c r="C78" s="36">
        <v>0</v>
      </c>
      <c r="D78" s="40">
        <f>IF(B78=0,"   ",C78/B78*100)</f>
        <v>0</v>
      </c>
      <c r="E78" s="41">
        <f>C78-B78</f>
        <v>-40000</v>
      </c>
    </row>
    <row r="79" spans="1:5" ht="21.75" customHeight="1">
      <c r="A79" s="21" t="s">
        <v>13</v>
      </c>
      <c r="B79" s="36">
        <f>B90+B80+B98</f>
        <v>456893.51</v>
      </c>
      <c r="C79" s="36">
        <f>C90+C80+C98</f>
        <v>104244.38</v>
      </c>
      <c r="D79" s="40">
        <f t="shared" si="0"/>
        <v>22.8159029879851</v>
      </c>
      <c r="E79" s="41">
        <f t="shared" si="1"/>
        <v>-352649.13</v>
      </c>
    </row>
    <row r="80" spans="1:5" ht="17.25" customHeight="1">
      <c r="A80" s="21" t="s">
        <v>142</v>
      </c>
      <c r="B80" s="36">
        <f>B85+B81+B82+B83+B84</f>
        <v>196793.51</v>
      </c>
      <c r="C80" s="36">
        <f>C85+C81+C82+C83+C84</f>
        <v>41610.18</v>
      </c>
      <c r="D80" s="40">
        <f aca="true" t="shared" si="4" ref="D80:D89">IF(B80=0,"   ",C80/B80*100)</f>
        <v>21.14408142829507</v>
      </c>
      <c r="E80" s="41">
        <f aca="true" t="shared" si="5" ref="E80:E89">C80-B80</f>
        <v>-155183.33000000002</v>
      </c>
    </row>
    <row r="81" spans="1:5" ht="28.5" customHeight="1">
      <c r="A81" s="21" t="s">
        <v>186</v>
      </c>
      <c r="B81" s="36">
        <v>8000</v>
      </c>
      <c r="C81" s="36">
        <v>6610.18</v>
      </c>
      <c r="D81" s="40">
        <f t="shared" si="4"/>
        <v>82.62725</v>
      </c>
      <c r="E81" s="41">
        <f t="shared" si="5"/>
        <v>-1389.8199999999997</v>
      </c>
    </row>
    <row r="82" spans="1:5" ht="18" customHeight="1">
      <c r="A82" s="21" t="s">
        <v>326</v>
      </c>
      <c r="B82" s="36">
        <v>188793.51</v>
      </c>
      <c r="C82" s="36">
        <v>35000</v>
      </c>
      <c r="D82" s="40"/>
      <c r="E82" s="41"/>
    </row>
    <row r="83" spans="1:5" ht="17.25" customHeight="1">
      <c r="A83" s="17" t="s">
        <v>266</v>
      </c>
      <c r="B83" s="36">
        <v>0</v>
      </c>
      <c r="C83" s="36">
        <v>0</v>
      </c>
      <c r="D83" s="40" t="str">
        <f t="shared" si="4"/>
        <v>   </v>
      </c>
      <c r="E83" s="41">
        <f t="shared" si="5"/>
        <v>0</v>
      </c>
    </row>
    <row r="84" spans="1:5" ht="17.25" customHeight="1">
      <c r="A84" s="21" t="s">
        <v>273</v>
      </c>
      <c r="B84" s="36">
        <v>0</v>
      </c>
      <c r="C84" s="36">
        <v>0</v>
      </c>
      <c r="D84" s="40" t="str">
        <f t="shared" si="4"/>
        <v>   </v>
      </c>
      <c r="E84" s="41">
        <f t="shared" si="5"/>
        <v>0</v>
      </c>
    </row>
    <row r="85" spans="1:5" ht="17.25" customHeight="1">
      <c r="A85" s="21" t="s">
        <v>276</v>
      </c>
      <c r="B85" s="36">
        <v>0</v>
      </c>
      <c r="C85" s="36">
        <v>0</v>
      </c>
      <c r="D85" s="40" t="str">
        <f t="shared" si="4"/>
        <v>   </v>
      </c>
      <c r="E85" s="41">
        <f t="shared" si="5"/>
        <v>0</v>
      </c>
    </row>
    <row r="86" spans="1:5" ht="15" customHeight="1">
      <c r="A86" s="17" t="s">
        <v>267</v>
      </c>
      <c r="B86" s="36">
        <f>SUM(B87:B89)</f>
        <v>0</v>
      </c>
      <c r="C86" s="36">
        <f>SUM(C87:C89)</f>
        <v>0</v>
      </c>
      <c r="D86" s="40" t="str">
        <f t="shared" si="4"/>
        <v>   </v>
      </c>
      <c r="E86" s="41">
        <f t="shared" si="5"/>
        <v>0</v>
      </c>
    </row>
    <row r="87" spans="1:5" ht="17.25" customHeight="1">
      <c r="A87" s="17" t="s">
        <v>178</v>
      </c>
      <c r="B87" s="107">
        <v>0</v>
      </c>
      <c r="C87" s="107">
        <v>0</v>
      </c>
      <c r="D87" s="40" t="str">
        <f t="shared" si="4"/>
        <v>   </v>
      </c>
      <c r="E87" s="41">
        <f t="shared" si="5"/>
        <v>0</v>
      </c>
    </row>
    <row r="88" spans="1:5" ht="18" customHeight="1">
      <c r="A88" s="17" t="s">
        <v>190</v>
      </c>
      <c r="B88" s="107">
        <v>0</v>
      </c>
      <c r="C88" s="107">
        <v>0</v>
      </c>
      <c r="D88" s="40" t="str">
        <f t="shared" si="4"/>
        <v>   </v>
      </c>
      <c r="E88" s="41">
        <f t="shared" si="5"/>
        <v>0</v>
      </c>
    </row>
    <row r="89" spans="1:5" ht="12.75" customHeight="1">
      <c r="A89" s="17" t="s">
        <v>202</v>
      </c>
      <c r="B89" s="107">
        <v>0</v>
      </c>
      <c r="C89" s="107">
        <v>0</v>
      </c>
      <c r="D89" s="40" t="str">
        <f t="shared" si="4"/>
        <v>   </v>
      </c>
      <c r="E89" s="41">
        <f t="shared" si="5"/>
        <v>0</v>
      </c>
    </row>
    <row r="90" spans="1:5" ht="13.5">
      <c r="A90" s="21" t="s">
        <v>63</v>
      </c>
      <c r="B90" s="36">
        <f>B91+B92+B93+B97</f>
        <v>260000</v>
      </c>
      <c r="C90" s="36">
        <f>C91+C92+C93+C97</f>
        <v>62534.2</v>
      </c>
      <c r="D90" s="40">
        <f t="shared" si="0"/>
        <v>24.05161538461538</v>
      </c>
      <c r="E90" s="41">
        <f t="shared" si="1"/>
        <v>-197465.8</v>
      </c>
    </row>
    <row r="91" spans="1:5" ht="13.5">
      <c r="A91" s="21" t="s">
        <v>62</v>
      </c>
      <c r="B91" s="36">
        <v>160000</v>
      </c>
      <c r="C91" s="107">
        <v>62534.2</v>
      </c>
      <c r="D91" s="40">
        <f t="shared" si="0"/>
        <v>39.083875</v>
      </c>
      <c r="E91" s="41">
        <f t="shared" si="1"/>
        <v>-97465.8</v>
      </c>
    </row>
    <row r="92" spans="1:5" ht="13.5">
      <c r="A92" s="21" t="s">
        <v>123</v>
      </c>
      <c r="B92" s="36">
        <v>100000</v>
      </c>
      <c r="C92" s="36">
        <v>0</v>
      </c>
      <c r="D92" s="40">
        <f t="shared" si="0"/>
        <v>0</v>
      </c>
      <c r="E92" s="41">
        <f t="shared" si="1"/>
        <v>-100000</v>
      </c>
    </row>
    <row r="93" spans="1:5" ht="13.5">
      <c r="A93" s="17" t="s">
        <v>196</v>
      </c>
      <c r="B93" s="36">
        <f>SUM(B94:B96)</f>
        <v>0</v>
      </c>
      <c r="C93" s="36">
        <f>SUM(C94:C96)</f>
        <v>0</v>
      </c>
      <c r="D93" s="40" t="str">
        <f t="shared" si="0"/>
        <v>   </v>
      </c>
      <c r="E93" s="41">
        <f t="shared" si="1"/>
        <v>0</v>
      </c>
    </row>
    <row r="94" spans="1:5" ht="15" customHeight="1">
      <c r="A94" s="17" t="s">
        <v>178</v>
      </c>
      <c r="B94" s="36">
        <v>0</v>
      </c>
      <c r="C94" s="36">
        <v>0</v>
      </c>
      <c r="D94" s="40" t="str">
        <f t="shared" si="0"/>
        <v>   </v>
      </c>
      <c r="E94" s="41">
        <f t="shared" si="1"/>
        <v>0</v>
      </c>
    </row>
    <row r="95" spans="1:5" ht="15" customHeight="1">
      <c r="A95" s="17" t="s">
        <v>190</v>
      </c>
      <c r="B95" s="36">
        <v>0</v>
      </c>
      <c r="C95" s="36">
        <v>0</v>
      </c>
      <c r="D95" s="40" t="str">
        <f>IF(B95=0,"   ",C95/B95*100)</f>
        <v>   </v>
      </c>
      <c r="E95" s="41">
        <f>C95-B95</f>
        <v>0</v>
      </c>
    </row>
    <row r="96" spans="1:5" ht="14.25" customHeight="1">
      <c r="A96" s="17" t="s">
        <v>202</v>
      </c>
      <c r="B96" s="36">
        <v>0</v>
      </c>
      <c r="C96" s="36">
        <v>0</v>
      </c>
      <c r="D96" s="40" t="str">
        <f>IF(B96=0,"   ",C96/B96*100)</f>
        <v>   </v>
      </c>
      <c r="E96" s="41">
        <f>C96-B96</f>
        <v>0</v>
      </c>
    </row>
    <row r="97" spans="1:5" ht="13.5" customHeight="1" thickBot="1">
      <c r="A97" s="17" t="s">
        <v>274</v>
      </c>
      <c r="B97" s="36">
        <v>0</v>
      </c>
      <c r="C97" s="36">
        <v>0</v>
      </c>
      <c r="D97" s="40" t="str">
        <f>IF(B97=0,"   ",C97/B97*100)</f>
        <v>   </v>
      </c>
      <c r="E97" s="41">
        <f>C97-B97</f>
        <v>0</v>
      </c>
    </row>
    <row r="98" spans="1:5" ht="14.25" thickBot="1">
      <c r="A98" s="62" t="s">
        <v>311</v>
      </c>
      <c r="B98" s="111">
        <f>SUM(B99)</f>
        <v>100</v>
      </c>
      <c r="C98" s="111">
        <f>SUM(C99)</f>
        <v>100</v>
      </c>
      <c r="D98" s="40"/>
      <c r="E98" s="41"/>
    </row>
    <row r="99" spans="1:5" ht="13.5">
      <c r="A99" s="62" t="s">
        <v>262</v>
      </c>
      <c r="B99" s="36">
        <v>100</v>
      </c>
      <c r="C99" s="99">
        <v>100</v>
      </c>
      <c r="D99" s="40"/>
      <c r="E99" s="41"/>
    </row>
    <row r="100" spans="1:5" ht="21.75" customHeight="1">
      <c r="A100" s="21" t="s">
        <v>17</v>
      </c>
      <c r="B100" s="36">
        <v>8000</v>
      </c>
      <c r="C100" s="36">
        <v>0</v>
      </c>
      <c r="D100" s="40">
        <f t="shared" si="0"/>
        <v>0</v>
      </c>
      <c r="E100" s="41">
        <f t="shared" si="1"/>
        <v>-8000</v>
      </c>
    </row>
    <row r="101" spans="1:5" ht="22.5" customHeight="1">
      <c r="A101" s="21" t="s">
        <v>41</v>
      </c>
      <c r="B101" s="143">
        <f>B102</f>
        <v>699800</v>
      </c>
      <c r="C101" s="143">
        <f>C102</f>
        <v>501800</v>
      </c>
      <c r="D101" s="40">
        <f t="shared" si="0"/>
        <v>71.70620177193484</v>
      </c>
      <c r="E101" s="41">
        <f t="shared" si="1"/>
        <v>-198000</v>
      </c>
    </row>
    <row r="102" spans="1:5" ht="13.5">
      <c r="A102" s="21" t="s">
        <v>42</v>
      </c>
      <c r="B102" s="36">
        <f>SUM(B103:B106)</f>
        <v>699800</v>
      </c>
      <c r="C102" s="36">
        <f>SUM(C103:C106)</f>
        <v>501800</v>
      </c>
      <c r="D102" s="40">
        <f t="shared" si="0"/>
        <v>71.70620177193484</v>
      </c>
      <c r="E102" s="41">
        <f t="shared" si="1"/>
        <v>-198000</v>
      </c>
    </row>
    <row r="103" spans="1:5" ht="13.5">
      <c r="A103" s="21" t="s">
        <v>135</v>
      </c>
      <c r="B103" s="36">
        <v>501800</v>
      </c>
      <c r="C103" s="107">
        <v>501800</v>
      </c>
      <c r="D103" s="40">
        <f t="shared" si="0"/>
        <v>100</v>
      </c>
      <c r="E103" s="41">
        <f t="shared" si="1"/>
        <v>0</v>
      </c>
    </row>
    <row r="104" spans="1:5" ht="13.5">
      <c r="A104" s="68" t="s">
        <v>286</v>
      </c>
      <c r="B104" s="36">
        <v>0</v>
      </c>
      <c r="C104" s="107">
        <v>0</v>
      </c>
      <c r="D104" s="40" t="str">
        <f t="shared" si="0"/>
        <v>   </v>
      </c>
      <c r="E104" s="41">
        <f t="shared" si="1"/>
        <v>0</v>
      </c>
    </row>
    <row r="105" spans="1:5" ht="13.5">
      <c r="A105" s="68" t="s">
        <v>287</v>
      </c>
      <c r="B105" s="36">
        <v>0</v>
      </c>
      <c r="C105" s="107">
        <v>0</v>
      </c>
      <c r="D105" s="40" t="str">
        <f t="shared" si="0"/>
        <v>   </v>
      </c>
      <c r="E105" s="41">
        <f t="shared" si="1"/>
        <v>0</v>
      </c>
    </row>
    <row r="106" spans="1:5" ht="13.5">
      <c r="A106" s="68" t="s">
        <v>288</v>
      </c>
      <c r="B106" s="36">
        <v>198000</v>
      </c>
      <c r="C106" s="107">
        <v>0</v>
      </c>
      <c r="D106" s="40">
        <f t="shared" si="0"/>
        <v>0</v>
      </c>
      <c r="E106" s="41">
        <f t="shared" si="1"/>
        <v>-198000</v>
      </c>
    </row>
    <row r="107" spans="1:5" ht="16.5" customHeight="1">
      <c r="A107" s="21" t="s">
        <v>119</v>
      </c>
      <c r="B107" s="36">
        <f>SUM(B108,)</f>
        <v>20000</v>
      </c>
      <c r="C107" s="36">
        <f>SUM(C108,)</f>
        <v>0</v>
      </c>
      <c r="D107" s="40">
        <f t="shared" si="0"/>
        <v>0</v>
      </c>
      <c r="E107" s="41">
        <f t="shared" si="1"/>
        <v>-20000</v>
      </c>
    </row>
    <row r="108" spans="1:5" ht="13.5">
      <c r="A108" s="21" t="s">
        <v>43</v>
      </c>
      <c r="B108" s="36">
        <v>20000</v>
      </c>
      <c r="C108" s="99">
        <v>0</v>
      </c>
      <c r="D108" s="40">
        <f t="shared" si="0"/>
        <v>0</v>
      </c>
      <c r="E108" s="41">
        <f t="shared" si="1"/>
        <v>-20000</v>
      </c>
    </row>
    <row r="109" spans="1:5" ht="28.5" customHeight="1">
      <c r="A109" s="44" t="s">
        <v>15</v>
      </c>
      <c r="B109" s="116">
        <f>SUM(B50,B57,B59,B61,B79,B100,B101,B107,)</f>
        <v>3941355.5300000003</v>
      </c>
      <c r="C109" s="116">
        <f>SUM(C50,C57,C59,C61,C79,C100,C101,C107,)</f>
        <v>2386644.9899999998</v>
      </c>
      <c r="D109" s="46">
        <f>IF(B109=0,"   ",C109/B109*100)</f>
        <v>60.553912780357564</v>
      </c>
      <c r="E109" s="47">
        <f t="shared" si="1"/>
        <v>-1554710.5400000005</v>
      </c>
    </row>
    <row r="110" spans="1:5" s="13" customFormat="1" ht="33" customHeight="1">
      <c r="A110" s="71" t="s">
        <v>291</v>
      </c>
      <c r="B110" s="71"/>
      <c r="C110" s="165"/>
      <c r="D110" s="165"/>
      <c r="E110" s="165"/>
    </row>
    <row r="111" spans="1:5" s="13" customFormat="1" ht="12" customHeight="1">
      <c r="A111" s="71" t="s">
        <v>146</v>
      </c>
      <c r="B111" s="71"/>
      <c r="C111" s="72" t="s">
        <v>292</v>
      </c>
      <c r="D111" s="73"/>
      <c r="E111" s="74"/>
    </row>
    <row r="112" spans="1:5" ht="13.5">
      <c r="A112" s="71"/>
      <c r="B112" s="71"/>
      <c r="C112" s="117"/>
      <c r="D112" s="71"/>
      <c r="E112" s="118"/>
    </row>
    <row r="113" spans="1:5" ht="13.5">
      <c r="A113" s="71"/>
      <c r="B113" s="71"/>
      <c r="C113" s="117"/>
      <c r="D113" s="71"/>
      <c r="E113" s="118"/>
    </row>
    <row r="114" spans="1:5" ht="12.75">
      <c r="A114" s="6"/>
      <c r="B114" s="6"/>
      <c r="C114" s="5"/>
      <c r="D114" s="6"/>
      <c r="E114" s="2"/>
    </row>
    <row r="115" spans="1:5" ht="12.75">
      <c r="A115" s="6"/>
      <c r="B115" s="6"/>
      <c r="C115" s="5"/>
      <c r="D115" s="6"/>
      <c r="E115" s="2"/>
    </row>
  </sheetData>
  <sheetProtection/>
  <mergeCells count="2">
    <mergeCell ref="A1:E1"/>
    <mergeCell ref="C110:E110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46">
      <selection activeCell="C44" sqref="C44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20.125" style="0" customWidth="1"/>
    <col min="5" max="5" width="15.00390625" style="0" customWidth="1"/>
  </cols>
  <sheetData>
    <row r="1" spans="1:5" ht="13.5">
      <c r="A1" s="166" t="s">
        <v>345</v>
      </c>
      <c r="B1" s="166"/>
      <c r="C1" s="166"/>
      <c r="D1" s="166"/>
      <c r="E1" s="166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62.25" customHeight="1">
      <c r="A4" s="24" t="s">
        <v>1</v>
      </c>
      <c r="B4" s="25" t="s">
        <v>293</v>
      </c>
      <c r="C4" s="26" t="s">
        <v>338</v>
      </c>
      <c r="D4" s="25" t="s">
        <v>296</v>
      </c>
      <c r="E4" s="27" t="s">
        <v>318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9.5" customHeight="1">
      <c r="A7" s="38" t="s">
        <v>45</v>
      </c>
      <c r="B7" s="143">
        <f>SUM(B8)</f>
        <v>10740600</v>
      </c>
      <c r="C7" s="143">
        <f>SUM(C8)</f>
        <v>6096500.72</v>
      </c>
      <c r="D7" s="40">
        <f aca="true" t="shared" si="0" ref="D7:D126">IF(B7=0,"   ",C7/B7*100)</f>
        <v>56.761267713163136</v>
      </c>
      <c r="E7" s="41">
        <f aca="true" t="shared" si="1" ref="E7:E163">C7-B7</f>
        <v>-4644099.28</v>
      </c>
    </row>
    <row r="8" spans="1:5" ht="13.5">
      <c r="A8" s="21" t="s">
        <v>44</v>
      </c>
      <c r="B8" s="36">
        <v>10740600</v>
      </c>
      <c r="C8" s="86">
        <v>6096500.72</v>
      </c>
      <c r="D8" s="40">
        <f t="shared" si="0"/>
        <v>56.761267713163136</v>
      </c>
      <c r="E8" s="41">
        <f t="shared" si="1"/>
        <v>-4644099.28</v>
      </c>
    </row>
    <row r="9" spans="1:5" ht="18.75" customHeight="1">
      <c r="A9" s="38" t="s">
        <v>129</v>
      </c>
      <c r="B9" s="143">
        <f>SUM(B10)</f>
        <v>1438700</v>
      </c>
      <c r="C9" s="143">
        <f>SUM(C10)</f>
        <v>971190.48</v>
      </c>
      <c r="D9" s="40">
        <f t="shared" si="0"/>
        <v>67.50472509904775</v>
      </c>
      <c r="E9" s="41">
        <f t="shared" si="1"/>
        <v>-467509.52</v>
      </c>
    </row>
    <row r="10" spans="1:5" ht="13.5">
      <c r="A10" s="21" t="s">
        <v>130</v>
      </c>
      <c r="B10" s="36">
        <v>1438700</v>
      </c>
      <c r="C10" s="86">
        <v>971190.48</v>
      </c>
      <c r="D10" s="40">
        <f t="shared" si="0"/>
        <v>67.50472509904775</v>
      </c>
      <c r="E10" s="41">
        <f t="shared" si="1"/>
        <v>-467509.52</v>
      </c>
    </row>
    <row r="11" spans="1:5" ht="17.25" customHeight="1">
      <c r="A11" s="21" t="s">
        <v>7</v>
      </c>
      <c r="B11" s="36">
        <f>SUM(B12:B12)</f>
        <v>0</v>
      </c>
      <c r="C11" s="143">
        <f>SUM(C12)</f>
        <v>0</v>
      </c>
      <c r="D11" s="40" t="str">
        <f t="shared" si="0"/>
        <v>   </v>
      </c>
      <c r="E11" s="41">
        <f t="shared" si="1"/>
        <v>0</v>
      </c>
    </row>
    <row r="12" spans="1:5" ht="13.5">
      <c r="A12" s="21" t="s">
        <v>26</v>
      </c>
      <c r="B12" s="36">
        <v>0</v>
      </c>
      <c r="C12" s="86">
        <v>0</v>
      </c>
      <c r="D12" s="40" t="str">
        <f t="shared" si="0"/>
        <v>   </v>
      </c>
      <c r="E12" s="41">
        <f t="shared" si="1"/>
        <v>0</v>
      </c>
    </row>
    <row r="13" spans="1:5" ht="16.5" customHeight="1">
      <c r="A13" s="21" t="s">
        <v>9</v>
      </c>
      <c r="B13" s="36">
        <f>SUM(B14:B15)</f>
        <v>6755000</v>
      </c>
      <c r="C13" s="36">
        <f>SUM(C14:C15)</f>
        <v>1384794.32</v>
      </c>
      <c r="D13" s="40">
        <f t="shared" si="0"/>
        <v>20.500286010362696</v>
      </c>
      <c r="E13" s="41">
        <f t="shared" si="1"/>
        <v>-5370205.68</v>
      </c>
    </row>
    <row r="14" spans="1:5" ht="13.5">
      <c r="A14" s="21" t="s">
        <v>27</v>
      </c>
      <c r="B14" s="36">
        <v>4165000</v>
      </c>
      <c r="C14" s="86">
        <v>512369.34</v>
      </c>
      <c r="D14" s="40">
        <f t="shared" si="0"/>
        <v>12.30178487394958</v>
      </c>
      <c r="E14" s="41">
        <f t="shared" si="1"/>
        <v>-3652630.66</v>
      </c>
    </row>
    <row r="15" spans="1:5" ht="13.5">
      <c r="A15" s="21" t="s">
        <v>152</v>
      </c>
      <c r="B15" s="36">
        <f>SUM(B16:B17)</f>
        <v>2590000</v>
      </c>
      <c r="C15" s="36">
        <f>SUM(C16:C17)</f>
        <v>872424.98</v>
      </c>
      <c r="D15" s="40">
        <f t="shared" si="0"/>
        <v>33.68436216216216</v>
      </c>
      <c r="E15" s="41">
        <f t="shared" si="1"/>
        <v>-1717575.02</v>
      </c>
    </row>
    <row r="16" spans="1:5" ht="13.5">
      <c r="A16" s="21" t="s">
        <v>153</v>
      </c>
      <c r="B16" s="36">
        <v>1100000</v>
      </c>
      <c r="C16" s="86">
        <v>661439.83</v>
      </c>
      <c r="D16" s="40">
        <f t="shared" si="0"/>
        <v>60.13089363636364</v>
      </c>
      <c r="E16" s="41">
        <f t="shared" si="1"/>
        <v>-438560.17000000004</v>
      </c>
    </row>
    <row r="17" spans="1:5" ht="13.5">
      <c r="A17" s="21" t="s">
        <v>154</v>
      </c>
      <c r="B17" s="36">
        <v>1490000</v>
      </c>
      <c r="C17" s="86">
        <v>210985.15</v>
      </c>
      <c r="D17" s="40">
        <f t="shared" si="0"/>
        <v>14.160077181208052</v>
      </c>
      <c r="E17" s="41">
        <f t="shared" si="1"/>
        <v>-1279014.85</v>
      </c>
    </row>
    <row r="18" spans="1:5" ht="27">
      <c r="A18" s="21" t="s">
        <v>86</v>
      </c>
      <c r="B18" s="36">
        <v>0</v>
      </c>
      <c r="C18" s="107">
        <v>0</v>
      </c>
      <c r="D18" s="40" t="str">
        <f t="shared" si="0"/>
        <v>   </v>
      </c>
      <c r="E18" s="41">
        <f t="shared" si="1"/>
        <v>0</v>
      </c>
    </row>
    <row r="19" spans="1:5" ht="32.25" customHeight="1">
      <c r="A19" s="21" t="s">
        <v>28</v>
      </c>
      <c r="B19" s="36">
        <f>SUM(B20:B24)</f>
        <v>1135000</v>
      </c>
      <c r="C19" s="36">
        <f>SUM(C20:C24)</f>
        <v>1196215.24</v>
      </c>
      <c r="D19" s="40">
        <f t="shared" si="0"/>
        <v>105.39341321585903</v>
      </c>
      <c r="E19" s="41">
        <f t="shared" si="1"/>
        <v>61215.23999999999</v>
      </c>
    </row>
    <row r="20" spans="1:5" ht="13.5">
      <c r="A20" s="128" t="s">
        <v>145</v>
      </c>
      <c r="B20" s="36">
        <v>872000</v>
      </c>
      <c r="C20" s="86">
        <v>644499.87</v>
      </c>
      <c r="D20" s="40">
        <f t="shared" si="0"/>
        <v>73.91053555045872</v>
      </c>
      <c r="E20" s="41">
        <f t="shared" si="1"/>
        <v>-227500.13</v>
      </c>
    </row>
    <row r="21" spans="1:5" ht="13.5">
      <c r="A21" s="21" t="s">
        <v>144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16.5" customHeight="1">
      <c r="A22" s="21" t="s">
        <v>30</v>
      </c>
      <c r="B22" s="36">
        <v>13000</v>
      </c>
      <c r="C22" s="86">
        <v>4585.9</v>
      </c>
      <c r="D22" s="40">
        <f t="shared" si="0"/>
        <v>35.276153846153846</v>
      </c>
      <c r="E22" s="41">
        <f t="shared" si="1"/>
        <v>-8414.1</v>
      </c>
    </row>
    <row r="23" spans="1:5" ht="31.5" customHeight="1">
      <c r="A23" s="21" t="s">
        <v>317</v>
      </c>
      <c r="B23" s="36">
        <v>0</v>
      </c>
      <c r="C23" s="86">
        <v>38014.7</v>
      </c>
      <c r="D23" s="40" t="str">
        <f>IF(B23=0,"   ",C23/B23*100)</f>
        <v>   </v>
      </c>
      <c r="E23" s="41">
        <f>C23-B23</f>
        <v>38014.7</v>
      </c>
    </row>
    <row r="24" spans="1:5" ht="42" customHeight="1">
      <c r="A24" s="21" t="s">
        <v>191</v>
      </c>
      <c r="B24" s="36">
        <v>250000</v>
      </c>
      <c r="C24" s="86">
        <v>509114.77</v>
      </c>
      <c r="D24" s="40">
        <f t="shared" si="0"/>
        <v>203.64590800000002</v>
      </c>
      <c r="E24" s="41">
        <f t="shared" si="1"/>
        <v>259114.77000000002</v>
      </c>
    </row>
    <row r="25" spans="1:5" ht="19.5" customHeight="1">
      <c r="A25" s="21" t="s">
        <v>88</v>
      </c>
      <c r="B25" s="36">
        <v>0</v>
      </c>
      <c r="C25" s="86">
        <v>0</v>
      </c>
      <c r="D25" s="40" t="str">
        <f t="shared" si="0"/>
        <v>   </v>
      </c>
      <c r="E25" s="41">
        <f t="shared" si="1"/>
        <v>0</v>
      </c>
    </row>
    <row r="26" spans="1:5" ht="15.75" customHeight="1">
      <c r="A26" s="21" t="s">
        <v>76</v>
      </c>
      <c r="B26" s="36">
        <f>SUM(B27:B28)</f>
        <v>2112991.66</v>
      </c>
      <c r="C26" s="36">
        <f>SUM(C27:C28)</f>
        <v>32973.37</v>
      </c>
      <c r="D26" s="40">
        <f t="shared" si="0"/>
        <v>1.5605063959410044</v>
      </c>
      <c r="E26" s="41">
        <f t="shared" si="1"/>
        <v>-2080018.29</v>
      </c>
    </row>
    <row r="27" spans="1:5" ht="15.75" customHeight="1">
      <c r="A27" s="21" t="s">
        <v>192</v>
      </c>
      <c r="B27" s="36">
        <v>1950691.66</v>
      </c>
      <c r="C27" s="36">
        <v>0</v>
      </c>
      <c r="D27" s="40">
        <f t="shared" si="0"/>
        <v>0</v>
      </c>
      <c r="E27" s="41">
        <f t="shared" si="1"/>
        <v>-1950691.66</v>
      </c>
    </row>
    <row r="28" spans="1:5" ht="19.5" customHeight="1">
      <c r="A28" s="21" t="s">
        <v>219</v>
      </c>
      <c r="B28" s="36">
        <v>162300</v>
      </c>
      <c r="C28" s="86">
        <v>32973.37</v>
      </c>
      <c r="D28" s="40">
        <f t="shared" si="0"/>
        <v>20.316309303758473</v>
      </c>
      <c r="E28" s="41">
        <f t="shared" si="1"/>
        <v>-129326.63</v>
      </c>
    </row>
    <row r="29" spans="1:5" ht="15" customHeight="1">
      <c r="A29" s="21" t="s">
        <v>31</v>
      </c>
      <c r="B29" s="36">
        <v>0</v>
      </c>
      <c r="C29" s="36">
        <v>0</v>
      </c>
      <c r="D29" s="40" t="str">
        <f t="shared" si="0"/>
        <v>   </v>
      </c>
      <c r="E29" s="41">
        <f t="shared" si="1"/>
        <v>0</v>
      </c>
    </row>
    <row r="30" spans="1:5" ht="13.5">
      <c r="A30" s="21" t="s">
        <v>32</v>
      </c>
      <c r="B30" s="36">
        <f>B31+B33+B32</f>
        <v>729806.41</v>
      </c>
      <c r="C30" s="36">
        <f>C31+C33+C32</f>
        <v>501891.80000000005</v>
      </c>
      <c r="D30" s="40">
        <f t="shared" si="0"/>
        <v>68.77053875150261</v>
      </c>
      <c r="E30" s="41">
        <f t="shared" si="1"/>
        <v>-227914.61</v>
      </c>
    </row>
    <row r="31" spans="1:5" ht="13.5" customHeight="1">
      <c r="A31" s="21" t="s">
        <v>46</v>
      </c>
      <c r="B31" s="36">
        <v>0</v>
      </c>
      <c r="C31" s="36">
        <v>69213.16</v>
      </c>
      <c r="D31" s="40" t="str">
        <f t="shared" si="0"/>
        <v>   </v>
      </c>
      <c r="E31" s="41">
        <f t="shared" si="1"/>
        <v>69213.16</v>
      </c>
    </row>
    <row r="32" spans="1:5" ht="13.5" customHeight="1">
      <c r="A32" s="21" t="s">
        <v>319</v>
      </c>
      <c r="B32" s="36">
        <v>729806.41</v>
      </c>
      <c r="C32" s="36">
        <v>432678.64</v>
      </c>
      <c r="D32" s="40">
        <f t="shared" si="0"/>
        <v>59.286768939176625</v>
      </c>
      <c r="E32" s="41">
        <f t="shared" si="1"/>
        <v>-297127.77</v>
      </c>
    </row>
    <row r="33" spans="1:5" ht="15.75" customHeight="1">
      <c r="A33" s="21" t="s">
        <v>105</v>
      </c>
      <c r="B33" s="36">
        <v>0</v>
      </c>
      <c r="C33" s="107">
        <v>0</v>
      </c>
      <c r="D33" s="40" t="str">
        <f t="shared" si="0"/>
        <v>   </v>
      </c>
      <c r="E33" s="41">
        <f t="shared" si="1"/>
        <v>0</v>
      </c>
    </row>
    <row r="34" spans="1:5" ht="15" customHeight="1">
      <c r="A34" s="44" t="s">
        <v>10</v>
      </c>
      <c r="B34" s="116">
        <f>SUM(B7,B9,B11,B13,B18,B19,B25,B26,B29,B30,)</f>
        <v>22912098.07</v>
      </c>
      <c r="C34" s="116">
        <f>SUM(C7,C9,C11,C13,C18,C19,C25,C26,C29,C30,)</f>
        <v>10183565.93</v>
      </c>
      <c r="D34" s="46">
        <f t="shared" si="0"/>
        <v>44.4462392701342</v>
      </c>
      <c r="E34" s="47">
        <f t="shared" si="1"/>
        <v>-12728532.14</v>
      </c>
    </row>
    <row r="35" spans="1:5" ht="18" customHeight="1">
      <c r="A35" s="62" t="s">
        <v>132</v>
      </c>
      <c r="B35" s="145">
        <f>B36+B38+B39+B42+B45+B46+B47+B48+B58+B43+B44</f>
        <v>61255280.449999996</v>
      </c>
      <c r="C35" s="145">
        <f>C36+C38+C39+C42+C45+C46+C47+C48+C58+C43+C44</f>
        <v>23177590.28</v>
      </c>
      <c r="D35" s="46">
        <f t="shared" si="0"/>
        <v>37.83770168013328</v>
      </c>
      <c r="E35" s="47">
        <f t="shared" si="1"/>
        <v>-38077690.169999994</v>
      </c>
    </row>
    <row r="36" spans="1:5" ht="15" customHeight="1">
      <c r="A36" s="38" t="s">
        <v>34</v>
      </c>
      <c r="B36" s="143">
        <v>8298000</v>
      </c>
      <c r="C36" s="86">
        <v>5538250</v>
      </c>
      <c r="D36" s="40">
        <f t="shared" si="0"/>
        <v>66.74198602072788</v>
      </c>
      <c r="E36" s="41">
        <f t="shared" si="1"/>
        <v>-2759750</v>
      </c>
    </row>
    <row r="37" spans="1:5" ht="15" customHeight="1">
      <c r="A37" s="38" t="s">
        <v>218</v>
      </c>
      <c r="B37" s="143">
        <v>0</v>
      </c>
      <c r="C37" s="86">
        <v>0</v>
      </c>
      <c r="D37" s="40" t="str">
        <f>IF(B37=0,"   ",C37/B37*100)</f>
        <v>   </v>
      </c>
      <c r="E37" s="41">
        <f>C37-B37</f>
        <v>0</v>
      </c>
    </row>
    <row r="38" spans="1:5" ht="33" customHeight="1">
      <c r="A38" s="21" t="s">
        <v>51</v>
      </c>
      <c r="B38" s="36">
        <v>414700</v>
      </c>
      <c r="C38" s="86">
        <v>264800</v>
      </c>
      <c r="D38" s="40">
        <f t="shared" si="0"/>
        <v>63.853387991319025</v>
      </c>
      <c r="E38" s="41">
        <f t="shared" si="1"/>
        <v>-149900</v>
      </c>
    </row>
    <row r="39" spans="1:5" ht="33" customHeight="1">
      <c r="A39" s="21" t="s">
        <v>140</v>
      </c>
      <c r="B39" s="36">
        <f>SUM(B40:B41)</f>
        <v>31300</v>
      </c>
      <c r="C39" s="36">
        <f>SUM(C40:C41)</f>
        <v>120</v>
      </c>
      <c r="D39" s="40">
        <f t="shared" si="0"/>
        <v>0.38338658146964855</v>
      </c>
      <c r="E39" s="41">
        <f t="shared" si="1"/>
        <v>-31180</v>
      </c>
    </row>
    <row r="40" spans="1:5" ht="13.5" customHeight="1">
      <c r="A40" s="52" t="s">
        <v>155</v>
      </c>
      <c r="B40" s="36">
        <v>800</v>
      </c>
      <c r="C40" s="107">
        <v>120</v>
      </c>
      <c r="D40" s="40">
        <f>IF(B40=0,"   ",C40/B40*100)</f>
        <v>15</v>
      </c>
      <c r="E40" s="41">
        <f>C40-B40</f>
        <v>-680</v>
      </c>
    </row>
    <row r="41" spans="1:5" ht="31.5" customHeight="1">
      <c r="A41" s="52" t="s">
        <v>156</v>
      </c>
      <c r="B41" s="36">
        <v>30500</v>
      </c>
      <c r="C41" s="107">
        <v>0</v>
      </c>
      <c r="D41" s="40">
        <f>IF(B41=0,"   ",C41/B41*100)</f>
        <v>0</v>
      </c>
      <c r="E41" s="41">
        <f>C41-B41</f>
        <v>-30500</v>
      </c>
    </row>
    <row r="42" spans="1:5" ht="47.25" customHeight="1">
      <c r="A42" s="21" t="s">
        <v>118</v>
      </c>
      <c r="B42" s="36">
        <v>0</v>
      </c>
      <c r="C42" s="107">
        <v>0</v>
      </c>
      <c r="D42" s="40" t="str">
        <f t="shared" si="0"/>
        <v>   </v>
      </c>
      <c r="E42" s="41">
        <f t="shared" si="1"/>
        <v>0</v>
      </c>
    </row>
    <row r="43" spans="1:5" ht="33" customHeight="1">
      <c r="A43" s="21" t="s">
        <v>332</v>
      </c>
      <c r="B43" s="36">
        <v>96300</v>
      </c>
      <c r="C43" s="107">
        <v>96300</v>
      </c>
      <c r="D43" s="40">
        <f t="shared" si="0"/>
        <v>100</v>
      </c>
      <c r="E43" s="41">
        <f t="shared" si="1"/>
        <v>0</v>
      </c>
    </row>
    <row r="44" spans="1:5" ht="33" customHeight="1">
      <c r="A44" s="21" t="s">
        <v>271</v>
      </c>
      <c r="B44" s="36">
        <v>140000</v>
      </c>
      <c r="C44" s="107">
        <v>0</v>
      </c>
      <c r="D44" s="40">
        <f t="shared" si="0"/>
        <v>0</v>
      </c>
      <c r="E44" s="41">
        <f t="shared" si="1"/>
        <v>-140000</v>
      </c>
    </row>
    <row r="45" spans="1:5" ht="47.25" customHeight="1">
      <c r="A45" s="21" t="s">
        <v>209</v>
      </c>
      <c r="B45" s="157">
        <v>5885076.76</v>
      </c>
      <c r="C45" s="43">
        <v>5885076.76</v>
      </c>
      <c r="D45" s="50">
        <f>IF(B45=0,"   ",C45/B45)</f>
        <v>1</v>
      </c>
      <c r="E45" s="51">
        <f>C45-B45</f>
        <v>0</v>
      </c>
    </row>
    <row r="46" spans="1:5" ht="57" customHeight="1">
      <c r="A46" s="21" t="s">
        <v>246</v>
      </c>
      <c r="B46" s="157">
        <v>1239600</v>
      </c>
      <c r="C46" s="43">
        <v>1233402</v>
      </c>
      <c r="D46" s="50">
        <f>IF(B46=0,"   ",C46/B46)</f>
        <v>0.995</v>
      </c>
      <c r="E46" s="51">
        <f>C46-B46</f>
        <v>-6198</v>
      </c>
    </row>
    <row r="47" spans="1:5" ht="58.5" customHeight="1">
      <c r="A47" s="21" t="s">
        <v>229</v>
      </c>
      <c r="B47" s="36">
        <v>1567100</v>
      </c>
      <c r="C47" s="107">
        <v>0</v>
      </c>
      <c r="D47" s="40">
        <f t="shared" si="0"/>
        <v>0</v>
      </c>
      <c r="E47" s="41">
        <f t="shared" si="1"/>
        <v>-1567100</v>
      </c>
    </row>
    <row r="48" spans="1:5" ht="15" customHeight="1">
      <c r="A48" s="21" t="s">
        <v>55</v>
      </c>
      <c r="B48" s="36">
        <f>SUM(B49:B57)</f>
        <v>43583203.69</v>
      </c>
      <c r="C48" s="36">
        <f>SUM(C49:C57)</f>
        <v>10159641.52</v>
      </c>
      <c r="D48" s="40">
        <f t="shared" si="0"/>
        <v>23.310910304492122</v>
      </c>
      <c r="E48" s="41">
        <f t="shared" si="1"/>
        <v>-33423562.169999998</v>
      </c>
    </row>
    <row r="49" spans="1:5" ht="30" customHeight="1">
      <c r="A49" s="21" t="s">
        <v>179</v>
      </c>
      <c r="B49" s="36">
        <v>1304563.69</v>
      </c>
      <c r="C49" s="36">
        <v>0</v>
      </c>
      <c r="D49" s="40">
        <f t="shared" si="0"/>
        <v>0</v>
      </c>
      <c r="E49" s="41">
        <f t="shared" si="1"/>
        <v>-1304563.69</v>
      </c>
    </row>
    <row r="50" spans="1:5" ht="30" customHeight="1">
      <c r="A50" s="21" t="s">
        <v>261</v>
      </c>
      <c r="B50" s="36">
        <v>1580700</v>
      </c>
      <c r="C50" s="36">
        <v>0</v>
      </c>
      <c r="D50" s="40"/>
      <c r="E50" s="41"/>
    </row>
    <row r="51" spans="1:5" ht="15.75" customHeight="1">
      <c r="A51" s="21" t="s">
        <v>254</v>
      </c>
      <c r="B51" s="36">
        <v>0</v>
      </c>
      <c r="C51" s="36">
        <v>0</v>
      </c>
      <c r="D51" s="40" t="str">
        <f>IF(B51=0,"   ",C51/B51*100)</f>
        <v>   </v>
      </c>
      <c r="E51" s="41">
        <f>C51-B51</f>
        <v>0</v>
      </c>
    </row>
    <row r="52" spans="1:5" ht="18" customHeight="1">
      <c r="A52" s="21" t="s">
        <v>284</v>
      </c>
      <c r="B52" s="36">
        <v>26191000</v>
      </c>
      <c r="C52" s="36">
        <v>9292441.52</v>
      </c>
      <c r="D52" s="40">
        <f>IF(B52=0,"   ",C52/B52*100)</f>
        <v>35.47952166774846</v>
      </c>
      <c r="E52" s="41">
        <f>C52-B52</f>
        <v>-16898558.48</v>
      </c>
    </row>
    <row r="53" spans="1:5" ht="24" customHeight="1">
      <c r="A53" s="21" t="s">
        <v>302</v>
      </c>
      <c r="B53" s="36">
        <v>8969440</v>
      </c>
      <c r="C53" s="36">
        <v>0</v>
      </c>
      <c r="D53" s="40">
        <f>IF(B53=0,"   ",C53/B53*100)</f>
        <v>0</v>
      </c>
      <c r="E53" s="41">
        <f>C53-B53</f>
        <v>-8969440</v>
      </c>
    </row>
    <row r="54" spans="1:5" ht="18" customHeight="1">
      <c r="A54" s="21" t="s">
        <v>303</v>
      </c>
      <c r="B54" s="36">
        <v>3421600</v>
      </c>
      <c r="C54" s="36">
        <v>0</v>
      </c>
      <c r="D54" s="40"/>
      <c r="E54" s="41"/>
    </row>
    <row r="55" spans="1:5" ht="15" customHeight="1">
      <c r="A55" s="21" t="s">
        <v>270</v>
      </c>
      <c r="B55" s="36">
        <v>1045600</v>
      </c>
      <c r="C55" s="36">
        <v>0</v>
      </c>
      <c r="D55" s="40">
        <f>IF(B55=0,"   ",C55/B55*100)</f>
        <v>0</v>
      </c>
      <c r="E55" s="41">
        <f>C55-B55</f>
        <v>-1045600</v>
      </c>
    </row>
    <row r="56" spans="1:5" ht="15" customHeight="1">
      <c r="A56" s="21" t="s">
        <v>299</v>
      </c>
      <c r="B56" s="36">
        <v>203100</v>
      </c>
      <c r="C56" s="36">
        <v>0</v>
      </c>
      <c r="D56" s="40"/>
      <c r="E56" s="41"/>
    </row>
    <row r="57" spans="1:5" ht="18" customHeight="1">
      <c r="A57" s="21" t="s">
        <v>104</v>
      </c>
      <c r="B57" s="36">
        <v>867200</v>
      </c>
      <c r="C57" s="107">
        <v>867200</v>
      </c>
      <c r="D57" s="40">
        <f t="shared" si="0"/>
        <v>100</v>
      </c>
      <c r="E57" s="41">
        <f t="shared" si="1"/>
        <v>0</v>
      </c>
    </row>
    <row r="58" spans="1:5" ht="18" customHeight="1">
      <c r="A58" s="21" t="s">
        <v>176</v>
      </c>
      <c r="B58" s="36">
        <v>0</v>
      </c>
      <c r="C58" s="107">
        <v>0</v>
      </c>
      <c r="D58" s="40" t="str">
        <f t="shared" si="0"/>
        <v>   </v>
      </c>
      <c r="E58" s="41">
        <f t="shared" si="1"/>
        <v>0</v>
      </c>
    </row>
    <row r="59" spans="1:5" ht="29.25" customHeight="1">
      <c r="A59" s="44" t="s">
        <v>11</v>
      </c>
      <c r="B59" s="116">
        <f>SUM(B34,B35,)</f>
        <v>84167378.52</v>
      </c>
      <c r="C59" s="116">
        <f>SUM(C34,C35,)</f>
        <v>33361156.21</v>
      </c>
      <c r="D59" s="46">
        <f t="shared" si="0"/>
        <v>39.636682045494226</v>
      </c>
      <c r="E59" s="47">
        <f t="shared" si="1"/>
        <v>-50806222.309999995</v>
      </c>
    </row>
    <row r="60" spans="1:5" ht="16.5" customHeight="1">
      <c r="A60" s="44"/>
      <c r="B60" s="143"/>
      <c r="C60" s="36"/>
      <c r="D60" s="40" t="str">
        <f t="shared" si="0"/>
        <v>   </v>
      </c>
      <c r="E60" s="41"/>
    </row>
    <row r="61" spans="1:5" ht="14.25">
      <c r="A61" s="56" t="s">
        <v>12</v>
      </c>
      <c r="B61" s="116"/>
      <c r="C61" s="99"/>
      <c r="D61" s="40" t="str">
        <f t="shared" si="0"/>
        <v>   </v>
      </c>
      <c r="E61" s="41"/>
    </row>
    <row r="62" spans="1:5" ht="18" customHeight="1">
      <c r="A62" s="21" t="s">
        <v>35</v>
      </c>
      <c r="B62" s="36">
        <f>SUM(B63,B66,B67)</f>
        <v>3316045</v>
      </c>
      <c r="C62" s="36">
        <f>SUM(C63,C66,C67)</f>
        <v>2252843.19</v>
      </c>
      <c r="D62" s="40">
        <f t="shared" si="0"/>
        <v>67.93765434425649</v>
      </c>
      <c r="E62" s="41">
        <f t="shared" si="1"/>
        <v>-1063201.81</v>
      </c>
    </row>
    <row r="63" spans="1:5" ht="16.5" customHeight="1">
      <c r="A63" s="21" t="s">
        <v>36</v>
      </c>
      <c r="B63" s="36">
        <v>3244045</v>
      </c>
      <c r="C63" s="107">
        <v>2222343.19</v>
      </c>
      <c r="D63" s="40">
        <f t="shared" si="0"/>
        <v>68.50531327401438</v>
      </c>
      <c r="E63" s="41">
        <f t="shared" si="1"/>
        <v>-1021701.81</v>
      </c>
    </row>
    <row r="64" spans="1:5" ht="13.5">
      <c r="A64" s="21" t="s">
        <v>116</v>
      </c>
      <c r="B64" s="36">
        <v>1613440</v>
      </c>
      <c r="C64" s="99">
        <v>1123926.99</v>
      </c>
      <c r="D64" s="40">
        <f t="shared" si="0"/>
        <v>69.66029043534311</v>
      </c>
      <c r="E64" s="41">
        <f t="shared" si="1"/>
        <v>-489513.01</v>
      </c>
    </row>
    <row r="65" spans="1:5" ht="13.5">
      <c r="A65" s="21" t="s">
        <v>334</v>
      </c>
      <c r="B65" s="36">
        <v>96300</v>
      </c>
      <c r="C65" s="99">
        <v>96300</v>
      </c>
      <c r="D65" s="40">
        <f>IF(B65=0,"   ",C65/B65*100)</f>
        <v>100</v>
      </c>
      <c r="E65" s="41">
        <f>C65-B65</f>
        <v>0</v>
      </c>
    </row>
    <row r="66" spans="1:5" ht="13.5">
      <c r="A66" s="21" t="s">
        <v>91</v>
      </c>
      <c r="B66" s="36">
        <v>10000</v>
      </c>
      <c r="C66" s="99">
        <v>0</v>
      </c>
      <c r="D66" s="40">
        <f t="shared" si="0"/>
        <v>0</v>
      </c>
      <c r="E66" s="41">
        <f t="shared" si="1"/>
        <v>-10000</v>
      </c>
    </row>
    <row r="67" spans="1:5" ht="13.5">
      <c r="A67" s="21" t="s">
        <v>52</v>
      </c>
      <c r="B67" s="107">
        <f>SUM(B68+B70+B71+B69)</f>
        <v>62000</v>
      </c>
      <c r="C67" s="107">
        <f>SUM(C68+C70+C71+C69)</f>
        <v>30500</v>
      </c>
      <c r="D67" s="40">
        <f t="shared" si="0"/>
        <v>49.193548387096776</v>
      </c>
      <c r="E67" s="41">
        <f t="shared" si="1"/>
        <v>-31500</v>
      </c>
    </row>
    <row r="68" spans="1:5" ht="26.25" customHeight="1">
      <c r="A68" s="17" t="s">
        <v>233</v>
      </c>
      <c r="B68" s="36">
        <v>60000</v>
      </c>
      <c r="C68" s="36">
        <v>30500</v>
      </c>
      <c r="D68" s="40">
        <f t="shared" si="0"/>
        <v>50.83333333333333</v>
      </c>
      <c r="E68" s="41">
        <f t="shared" si="1"/>
        <v>-29500</v>
      </c>
    </row>
    <row r="69" spans="1:5" ht="12.75" customHeight="1">
      <c r="A69" s="17" t="s">
        <v>232</v>
      </c>
      <c r="B69" s="36">
        <v>2000</v>
      </c>
      <c r="C69" s="36">
        <v>0</v>
      </c>
      <c r="D69" s="40">
        <f t="shared" si="0"/>
        <v>0</v>
      </c>
      <c r="E69" s="41">
        <f t="shared" si="1"/>
        <v>-2000</v>
      </c>
    </row>
    <row r="70" spans="1:5" ht="26.25" customHeight="1">
      <c r="A70" s="17" t="s">
        <v>236</v>
      </c>
      <c r="B70" s="36">
        <v>0</v>
      </c>
      <c r="C70" s="36">
        <v>0</v>
      </c>
      <c r="D70" s="40" t="str">
        <f t="shared" si="0"/>
        <v>   </v>
      </c>
      <c r="E70" s="41">
        <f t="shared" si="1"/>
        <v>0</v>
      </c>
    </row>
    <row r="71" spans="1:5" ht="13.5">
      <c r="A71" s="17" t="s">
        <v>212</v>
      </c>
      <c r="B71" s="36">
        <v>0</v>
      </c>
      <c r="C71" s="36">
        <v>0</v>
      </c>
      <c r="D71" s="40" t="str">
        <f t="shared" si="0"/>
        <v>   </v>
      </c>
      <c r="E71" s="41">
        <f t="shared" si="1"/>
        <v>0</v>
      </c>
    </row>
    <row r="72" spans="1:5" ht="21" customHeight="1">
      <c r="A72" s="21" t="s">
        <v>49</v>
      </c>
      <c r="B72" s="107">
        <f>SUM(B73)</f>
        <v>414700</v>
      </c>
      <c r="C72" s="107">
        <f>SUM(C73)</f>
        <v>260160.4</v>
      </c>
      <c r="D72" s="40">
        <f t="shared" si="0"/>
        <v>62.73460332770677</v>
      </c>
      <c r="E72" s="41">
        <f t="shared" si="1"/>
        <v>-154539.6</v>
      </c>
    </row>
    <row r="73" spans="1:5" ht="17.25" customHeight="1">
      <c r="A73" s="21" t="s">
        <v>102</v>
      </c>
      <c r="B73" s="36">
        <v>414700</v>
      </c>
      <c r="C73" s="107">
        <v>260160.4</v>
      </c>
      <c r="D73" s="40">
        <f t="shared" si="0"/>
        <v>62.73460332770677</v>
      </c>
      <c r="E73" s="41">
        <f t="shared" si="1"/>
        <v>-154539.6</v>
      </c>
    </row>
    <row r="74" spans="1:5" ht="15.75" customHeight="1">
      <c r="A74" s="21" t="s">
        <v>37</v>
      </c>
      <c r="B74" s="107">
        <f>SUM(B75+B78)</f>
        <v>913400</v>
      </c>
      <c r="C74" s="107">
        <f>SUM(C75+C78)</f>
        <v>311051.88</v>
      </c>
      <c r="D74" s="40">
        <f t="shared" si="0"/>
        <v>34.05428946792205</v>
      </c>
      <c r="E74" s="41">
        <f t="shared" si="1"/>
        <v>-602348.12</v>
      </c>
    </row>
    <row r="75" spans="1:5" ht="27" customHeight="1">
      <c r="A75" s="60" t="s">
        <v>325</v>
      </c>
      <c r="B75" s="36">
        <f>B76</f>
        <v>913400</v>
      </c>
      <c r="C75" s="36">
        <f>C76</f>
        <v>311051.88</v>
      </c>
      <c r="D75" s="40">
        <f t="shared" si="0"/>
        <v>34.05428946792205</v>
      </c>
      <c r="E75" s="41">
        <f t="shared" si="1"/>
        <v>-602348.12</v>
      </c>
    </row>
    <row r="76" spans="1:5" ht="16.5" customHeight="1">
      <c r="A76" s="21" t="s">
        <v>92</v>
      </c>
      <c r="B76" s="36">
        <v>913400</v>
      </c>
      <c r="C76" s="36">
        <v>311051.88</v>
      </c>
      <c r="D76" s="40">
        <f t="shared" si="0"/>
        <v>34.05428946792205</v>
      </c>
      <c r="E76" s="41">
        <f t="shared" si="1"/>
        <v>-602348.12</v>
      </c>
    </row>
    <row r="77" spans="1:5" ht="14.25" customHeight="1">
      <c r="A77" s="21" t="s">
        <v>116</v>
      </c>
      <c r="B77" s="36">
        <v>687711</v>
      </c>
      <c r="C77" s="107">
        <v>245868.22</v>
      </c>
      <c r="D77" s="40">
        <f t="shared" si="0"/>
        <v>35.75167766692695</v>
      </c>
      <c r="E77" s="41">
        <f t="shared" si="1"/>
        <v>-441842.78</v>
      </c>
    </row>
    <row r="78" spans="1:5" ht="16.5" customHeight="1">
      <c r="A78" s="21" t="s">
        <v>327</v>
      </c>
      <c r="B78" s="36">
        <v>0</v>
      </c>
      <c r="C78" s="107">
        <v>0</v>
      </c>
      <c r="D78" s="40" t="str">
        <f t="shared" si="0"/>
        <v>   </v>
      </c>
      <c r="E78" s="41">
        <f t="shared" si="1"/>
        <v>0</v>
      </c>
    </row>
    <row r="79" spans="1:5" ht="18" customHeight="1">
      <c r="A79" s="21" t="s">
        <v>38</v>
      </c>
      <c r="B79" s="36">
        <f>B89+B82+B87+B104+B80</f>
        <v>8178990.42</v>
      </c>
      <c r="C79" s="36">
        <f>C89+C82+C87+C104+C80</f>
        <v>4004929.6</v>
      </c>
      <c r="D79" s="40">
        <f t="shared" si="0"/>
        <v>48.96606297773363</v>
      </c>
      <c r="E79" s="41">
        <f t="shared" si="1"/>
        <v>-4174060.82</v>
      </c>
    </row>
    <row r="80" spans="1:5" ht="18" customHeight="1">
      <c r="A80" s="62" t="s">
        <v>230</v>
      </c>
      <c r="B80" s="36">
        <f>SUM(B81)</f>
        <v>0</v>
      </c>
      <c r="C80" s="36">
        <f>SUM(C81)</f>
        <v>0</v>
      </c>
      <c r="D80" s="40" t="str">
        <f t="shared" si="0"/>
        <v>   </v>
      </c>
      <c r="E80" s="41">
        <f t="shared" si="1"/>
        <v>0</v>
      </c>
    </row>
    <row r="81" spans="1:5" ht="16.5" customHeight="1">
      <c r="A81" s="62" t="s">
        <v>231</v>
      </c>
      <c r="B81" s="36">
        <v>0</v>
      </c>
      <c r="C81" s="36">
        <v>0</v>
      </c>
      <c r="D81" s="40" t="str">
        <f t="shared" si="0"/>
        <v>   </v>
      </c>
      <c r="E81" s="41">
        <f t="shared" si="1"/>
        <v>0</v>
      </c>
    </row>
    <row r="82" spans="1:5" ht="18" customHeight="1">
      <c r="A82" s="62" t="s">
        <v>157</v>
      </c>
      <c r="B82" s="36">
        <f>SUM(B83:B86)</f>
        <v>306600</v>
      </c>
      <c r="C82" s="36">
        <f>SUM(C83:C86)</f>
        <v>0</v>
      </c>
      <c r="D82" s="40">
        <f aca="true" t="shared" si="2" ref="D82:D88">IF(B82=0,"   ",C82/B82*100)</f>
        <v>0</v>
      </c>
      <c r="E82" s="41">
        <f aca="true" t="shared" si="3" ref="E82:E88">C82-B82</f>
        <v>-306600</v>
      </c>
    </row>
    <row r="83" spans="1:5" ht="18" customHeight="1">
      <c r="A83" s="62" t="s">
        <v>161</v>
      </c>
      <c r="B83" s="36">
        <v>60000</v>
      </c>
      <c r="C83" s="36">
        <v>0</v>
      </c>
      <c r="D83" s="40">
        <f t="shared" si="2"/>
        <v>0</v>
      </c>
      <c r="E83" s="41">
        <f t="shared" si="3"/>
        <v>-60000</v>
      </c>
    </row>
    <row r="84" spans="1:5" ht="18" customHeight="1">
      <c r="A84" s="62" t="s">
        <v>158</v>
      </c>
      <c r="B84" s="36">
        <v>30500</v>
      </c>
      <c r="C84" s="36">
        <v>0</v>
      </c>
      <c r="D84" s="40">
        <f t="shared" si="2"/>
        <v>0</v>
      </c>
      <c r="E84" s="41">
        <f t="shared" si="3"/>
        <v>-30500</v>
      </c>
    </row>
    <row r="85" spans="1:5" ht="18" customHeight="1">
      <c r="A85" s="62" t="s">
        <v>300</v>
      </c>
      <c r="B85" s="36">
        <v>203100</v>
      </c>
      <c r="C85" s="36">
        <v>0</v>
      </c>
      <c r="D85" s="40">
        <f t="shared" si="2"/>
        <v>0</v>
      </c>
      <c r="E85" s="41">
        <f t="shared" si="3"/>
        <v>-203100</v>
      </c>
    </row>
    <row r="86" spans="1:5" ht="18" customHeight="1">
      <c r="A86" s="62" t="s">
        <v>301</v>
      </c>
      <c r="B86" s="36">
        <v>13000</v>
      </c>
      <c r="C86" s="36">
        <v>0</v>
      </c>
      <c r="D86" s="40">
        <f t="shared" si="2"/>
        <v>0</v>
      </c>
      <c r="E86" s="41">
        <f t="shared" si="3"/>
        <v>-13000</v>
      </c>
    </row>
    <row r="87" spans="1:5" ht="18" customHeight="1">
      <c r="A87" s="62" t="s">
        <v>220</v>
      </c>
      <c r="B87" s="36">
        <f>SUM(B88)</f>
        <v>0</v>
      </c>
      <c r="C87" s="36">
        <f>SUM(C88)</f>
        <v>0</v>
      </c>
      <c r="D87" s="40" t="str">
        <f t="shared" si="2"/>
        <v>   </v>
      </c>
      <c r="E87" s="41">
        <f t="shared" si="3"/>
        <v>0</v>
      </c>
    </row>
    <row r="88" spans="1:5" ht="18" customHeight="1">
      <c r="A88" s="62" t="s">
        <v>221</v>
      </c>
      <c r="B88" s="36">
        <v>0</v>
      </c>
      <c r="C88" s="36">
        <v>0</v>
      </c>
      <c r="D88" s="40" t="str">
        <f t="shared" si="2"/>
        <v>   </v>
      </c>
      <c r="E88" s="41">
        <f t="shared" si="3"/>
        <v>0</v>
      </c>
    </row>
    <row r="89" spans="1:5" ht="18.75" customHeight="1">
      <c r="A89" s="62" t="s">
        <v>124</v>
      </c>
      <c r="B89" s="36">
        <f>SUM(B90:B91,B95:B103)</f>
        <v>7772390.42</v>
      </c>
      <c r="C89" s="36">
        <f>SUM(C90:C91,C95:C103)</f>
        <v>3970429.6</v>
      </c>
      <c r="D89" s="40">
        <f t="shared" si="0"/>
        <v>51.083764266180545</v>
      </c>
      <c r="E89" s="41">
        <f t="shared" si="1"/>
        <v>-3801960.82</v>
      </c>
    </row>
    <row r="90" spans="1:5" ht="21" customHeight="1">
      <c r="A90" s="60" t="s">
        <v>141</v>
      </c>
      <c r="B90" s="36">
        <v>150000</v>
      </c>
      <c r="C90" s="36">
        <v>0</v>
      </c>
      <c r="D90" s="40">
        <f t="shared" si="0"/>
        <v>0</v>
      </c>
      <c r="E90" s="41">
        <f t="shared" si="1"/>
        <v>-150000</v>
      </c>
    </row>
    <row r="91" spans="1:5" ht="18" customHeight="1">
      <c r="A91" s="17" t="s">
        <v>196</v>
      </c>
      <c r="B91" s="36">
        <f>SUM(B92:B94)</f>
        <v>2634509.6</v>
      </c>
      <c r="C91" s="36">
        <f>SUM(C92:C94)</f>
        <v>1053809.6</v>
      </c>
      <c r="D91" s="40">
        <f>IF(B91=0,"   ",C91/B91*100)</f>
        <v>40.00021863651588</v>
      </c>
      <c r="E91" s="41">
        <f>C91-B91</f>
        <v>-1580700</v>
      </c>
    </row>
    <row r="92" spans="1:5" ht="26.25" customHeight="1">
      <c r="A92" s="17" t="s">
        <v>206</v>
      </c>
      <c r="B92" s="36">
        <v>1580700</v>
      </c>
      <c r="C92" s="36">
        <v>0</v>
      </c>
      <c r="D92" s="40">
        <f>IF(B92=0,"   ",C92/B92*100)</f>
        <v>0</v>
      </c>
      <c r="E92" s="41">
        <f>C92-B92</f>
        <v>-1580700</v>
      </c>
    </row>
    <row r="93" spans="1:5" ht="30.75" customHeight="1">
      <c r="A93" s="17" t="s">
        <v>197</v>
      </c>
      <c r="B93" s="36">
        <v>790357.2</v>
      </c>
      <c r="C93" s="36">
        <v>790357.2</v>
      </c>
      <c r="D93" s="40">
        <f>IF(B93=0,"   ",C93/B93*100)</f>
        <v>100</v>
      </c>
      <c r="E93" s="41">
        <f>C93-B93</f>
        <v>0</v>
      </c>
    </row>
    <row r="94" spans="1:5" ht="25.5" customHeight="1">
      <c r="A94" s="17" t="s">
        <v>207</v>
      </c>
      <c r="B94" s="36">
        <v>263452.4</v>
      </c>
      <c r="C94" s="36">
        <v>263452.4</v>
      </c>
      <c r="D94" s="40">
        <f>IF(B94=0,"   ",C94/B94*100)</f>
        <v>100</v>
      </c>
      <c r="E94" s="41">
        <f>C94-B94</f>
        <v>0</v>
      </c>
    </row>
    <row r="95" spans="1:5" ht="28.5" customHeight="1">
      <c r="A95" s="17" t="s">
        <v>238</v>
      </c>
      <c r="B95" s="36">
        <v>0</v>
      </c>
      <c r="C95" s="36">
        <v>0</v>
      </c>
      <c r="D95" s="40" t="str">
        <f t="shared" si="0"/>
        <v>   </v>
      </c>
      <c r="E95" s="41">
        <f t="shared" si="1"/>
        <v>0</v>
      </c>
    </row>
    <row r="96" spans="1:5" ht="27" customHeight="1">
      <c r="A96" s="17" t="s">
        <v>239</v>
      </c>
      <c r="B96" s="36">
        <v>802425.82</v>
      </c>
      <c r="C96" s="36">
        <v>581818</v>
      </c>
      <c r="D96" s="40">
        <f t="shared" si="0"/>
        <v>72.50738766108</v>
      </c>
      <c r="E96" s="41">
        <f t="shared" si="1"/>
        <v>-220607.81999999995</v>
      </c>
    </row>
    <row r="97" spans="1:5" ht="30" customHeight="1">
      <c r="A97" s="17" t="s">
        <v>240</v>
      </c>
      <c r="B97" s="36">
        <v>1239600</v>
      </c>
      <c r="C97" s="36">
        <v>1233402</v>
      </c>
      <c r="D97" s="40">
        <f t="shared" si="0"/>
        <v>99.5</v>
      </c>
      <c r="E97" s="41">
        <f t="shared" si="1"/>
        <v>-6198</v>
      </c>
    </row>
    <row r="98" spans="1:5" ht="35.25" customHeight="1">
      <c r="A98" s="17" t="s">
        <v>241</v>
      </c>
      <c r="B98" s="36">
        <v>137800</v>
      </c>
      <c r="C98" s="36">
        <v>137800</v>
      </c>
      <c r="D98" s="40">
        <f t="shared" si="0"/>
        <v>100</v>
      </c>
      <c r="E98" s="41">
        <f t="shared" si="1"/>
        <v>0</v>
      </c>
    </row>
    <row r="99" spans="1:5" ht="35.25" customHeight="1">
      <c r="A99" s="17" t="s">
        <v>242</v>
      </c>
      <c r="B99" s="36">
        <v>867200</v>
      </c>
      <c r="C99" s="36">
        <v>867200</v>
      </c>
      <c r="D99" s="40">
        <f t="shared" si="0"/>
        <v>100</v>
      </c>
      <c r="E99" s="41">
        <f t="shared" si="1"/>
        <v>0</v>
      </c>
    </row>
    <row r="100" spans="1:5" ht="30" customHeight="1">
      <c r="A100" s="17" t="s">
        <v>243</v>
      </c>
      <c r="B100" s="36">
        <v>96400</v>
      </c>
      <c r="C100" s="36">
        <v>96400</v>
      </c>
      <c r="D100" s="40">
        <f t="shared" si="0"/>
        <v>100</v>
      </c>
      <c r="E100" s="41">
        <f t="shared" si="1"/>
        <v>0</v>
      </c>
    </row>
    <row r="101" spans="1:5" ht="21" customHeight="1">
      <c r="A101" s="60" t="s">
        <v>248</v>
      </c>
      <c r="B101" s="36">
        <v>103155</v>
      </c>
      <c r="C101" s="36">
        <v>0</v>
      </c>
      <c r="D101" s="40">
        <f t="shared" si="0"/>
        <v>0</v>
      </c>
      <c r="E101" s="41">
        <f t="shared" si="1"/>
        <v>-103155</v>
      </c>
    </row>
    <row r="102" spans="1:5" ht="29.25" customHeight="1">
      <c r="A102" s="17" t="s">
        <v>133</v>
      </c>
      <c r="B102" s="36">
        <v>1567100</v>
      </c>
      <c r="C102" s="36">
        <v>0</v>
      </c>
      <c r="D102" s="40">
        <f t="shared" si="0"/>
        <v>0</v>
      </c>
      <c r="E102" s="41">
        <f t="shared" si="1"/>
        <v>-1567100</v>
      </c>
    </row>
    <row r="103" spans="1:5" ht="32.25" customHeight="1">
      <c r="A103" s="62" t="s">
        <v>234</v>
      </c>
      <c r="B103" s="36">
        <v>174200</v>
      </c>
      <c r="C103" s="36">
        <v>0</v>
      </c>
      <c r="D103" s="40">
        <f t="shared" si="0"/>
        <v>0</v>
      </c>
      <c r="E103" s="41">
        <f t="shared" si="1"/>
        <v>-174200</v>
      </c>
    </row>
    <row r="104" spans="1:5" ht="13.5">
      <c r="A104" s="62" t="s">
        <v>168</v>
      </c>
      <c r="B104" s="39">
        <f>B105</f>
        <v>100000</v>
      </c>
      <c r="C104" s="39">
        <f>C105</f>
        <v>34500</v>
      </c>
      <c r="D104" s="50">
        <f>IF(B104=0,"   ",C104/B104)</f>
        <v>0.345</v>
      </c>
      <c r="E104" s="51">
        <f>C104-B104</f>
        <v>-65500</v>
      </c>
    </row>
    <row r="105" spans="1:5" ht="27">
      <c r="A105" s="62" t="s">
        <v>147</v>
      </c>
      <c r="B105" s="39">
        <v>100000</v>
      </c>
      <c r="C105" s="39">
        <v>34500</v>
      </c>
      <c r="D105" s="50">
        <f>IF(B105=0,"   ",C105/B105)</f>
        <v>0.345</v>
      </c>
      <c r="E105" s="51">
        <f>C105-B105</f>
        <v>-65500</v>
      </c>
    </row>
    <row r="106" spans="1:5" ht="27">
      <c r="A106" s="62" t="s">
        <v>169</v>
      </c>
      <c r="B106" s="39">
        <v>0</v>
      </c>
      <c r="C106" s="39">
        <v>0</v>
      </c>
      <c r="D106" s="50" t="str">
        <f>IF(B106=0,"   ",C106/B106)</f>
        <v>   </v>
      </c>
      <c r="E106" s="51">
        <f>C106-B106</f>
        <v>0</v>
      </c>
    </row>
    <row r="107" spans="1:5" ht="18" customHeight="1">
      <c r="A107" s="21" t="s">
        <v>13</v>
      </c>
      <c r="B107" s="36">
        <f>SUM(B108,B111,B124,B147)</f>
        <v>51474273.629999995</v>
      </c>
      <c r="C107" s="36">
        <f>SUM(C108,C111,C124,C147)</f>
        <v>19544308.57</v>
      </c>
      <c r="D107" s="40">
        <f t="shared" si="0"/>
        <v>37.969080847037496</v>
      </c>
      <c r="E107" s="41">
        <f t="shared" si="1"/>
        <v>-31929965.059999995</v>
      </c>
    </row>
    <row r="108" spans="1:5" ht="18.75" customHeight="1">
      <c r="A108" s="128" t="s">
        <v>14</v>
      </c>
      <c r="B108" s="158">
        <f>SUM(B109:B110)</f>
        <v>700000</v>
      </c>
      <c r="C108" s="158">
        <f>SUM(C109:C110)</f>
        <v>483668.87</v>
      </c>
      <c r="D108" s="40">
        <f t="shared" si="0"/>
        <v>69.09555285714286</v>
      </c>
      <c r="E108" s="41">
        <f t="shared" si="1"/>
        <v>-216331.13</v>
      </c>
    </row>
    <row r="109" spans="1:5" ht="13.5">
      <c r="A109" s="21" t="s">
        <v>96</v>
      </c>
      <c r="B109" s="36">
        <v>630000</v>
      </c>
      <c r="C109" s="107">
        <v>462567.47</v>
      </c>
      <c r="D109" s="40">
        <f t="shared" si="0"/>
        <v>73.42340793650793</v>
      </c>
      <c r="E109" s="41">
        <f t="shared" si="1"/>
        <v>-167432.53000000003</v>
      </c>
    </row>
    <row r="110" spans="1:5" ht="13.5">
      <c r="A110" s="21" t="s">
        <v>174</v>
      </c>
      <c r="B110" s="36">
        <v>70000</v>
      </c>
      <c r="C110" s="107">
        <v>21101.4</v>
      </c>
      <c r="D110" s="40">
        <f t="shared" si="0"/>
        <v>30.144857142857145</v>
      </c>
      <c r="E110" s="41">
        <f t="shared" si="1"/>
        <v>-48898.6</v>
      </c>
    </row>
    <row r="111" spans="1:5" ht="18" customHeight="1">
      <c r="A111" s="128" t="s">
        <v>64</v>
      </c>
      <c r="B111" s="158">
        <f>SUM(B112:B116,B120:B123)</f>
        <v>7759313.91</v>
      </c>
      <c r="C111" s="158">
        <f>SUM(C112:C116,C120:C123)</f>
        <v>342692.13</v>
      </c>
      <c r="D111" s="40">
        <f t="shared" si="0"/>
        <v>4.416526177119183</v>
      </c>
      <c r="E111" s="41">
        <f t="shared" si="1"/>
        <v>-7416621.78</v>
      </c>
    </row>
    <row r="112" spans="1:5" ht="13.5">
      <c r="A112" s="21" t="s">
        <v>134</v>
      </c>
      <c r="B112" s="36">
        <v>100000</v>
      </c>
      <c r="C112" s="36">
        <v>0</v>
      </c>
      <c r="D112" s="40">
        <f t="shared" si="0"/>
        <v>0</v>
      </c>
      <c r="E112" s="41">
        <f t="shared" si="1"/>
        <v>-100000</v>
      </c>
    </row>
    <row r="113" spans="1:5" ht="13.5">
      <c r="A113" s="21" t="s">
        <v>150</v>
      </c>
      <c r="B113" s="36">
        <v>196400</v>
      </c>
      <c r="C113" s="36">
        <v>117692.13</v>
      </c>
      <c r="D113" s="40">
        <f t="shared" si="0"/>
        <v>59.92470977596741</v>
      </c>
      <c r="E113" s="41">
        <f t="shared" si="1"/>
        <v>-78707.87</v>
      </c>
    </row>
    <row r="114" spans="1:5" ht="13.5">
      <c r="A114" s="21" t="s">
        <v>304</v>
      </c>
      <c r="B114" s="36">
        <v>3421600</v>
      </c>
      <c r="C114" s="36">
        <v>0</v>
      </c>
      <c r="D114" s="40">
        <f>IF(B114=0,"   ",C114/B114*100)</f>
        <v>0</v>
      </c>
      <c r="E114" s="41">
        <f>C114-B114</f>
        <v>-3421600</v>
      </c>
    </row>
    <row r="115" spans="1:5" ht="27">
      <c r="A115" s="21" t="s">
        <v>305</v>
      </c>
      <c r="B115" s="36">
        <v>218400</v>
      </c>
      <c r="C115" s="36">
        <v>0</v>
      </c>
      <c r="D115" s="40">
        <f>IF(B115=0,"   ",C115/B115*100)</f>
        <v>0</v>
      </c>
      <c r="E115" s="41">
        <f>C115-B115</f>
        <v>-218400</v>
      </c>
    </row>
    <row r="116" spans="1:5" ht="27">
      <c r="A116" s="17" t="s">
        <v>196</v>
      </c>
      <c r="B116" s="36">
        <f>SUM(B117:B119)</f>
        <v>2178643.21</v>
      </c>
      <c r="C116" s="36">
        <f>SUM(C117:C119)</f>
        <v>0</v>
      </c>
      <c r="D116" s="40">
        <f>IF(B116=0,"   ",C116/B116*100)</f>
        <v>0</v>
      </c>
      <c r="E116" s="41">
        <f>C116-B116</f>
        <v>-2178643.21</v>
      </c>
    </row>
    <row r="117" spans="1:5" ht="27">
      <c r="A117" s="17" t="s">
        <v>178</v>
      </c>
      <c r="B117" s="36">
        <v>1304563.69</v>
      </c>
      <c r="C117" s="36">
        <v>0</v>
      </c>
      <c r="D117" s="40">
        <f>IF(B117=0,"   ",C117/B117*100)</f>
        <v>0</v>
      </c>
      <c r="E117" s="41">
        <f>C117-B117</f>
        <v>-1304563.69</v>
      </c>
    </row>
    <row r="118" spans="1:5" ht="27">
      <c r="A118" s="17" t="s">
        <v>190</v>
      </c>
      <c r="B118" s="36">
        <v>655559.64</v>
      </c>
      <c r="C118" s="36">
        <v>0</v>
      </c>
      <c r="D118" s="40">
        <f t="shared" si="0"/>
        <v>0</v>
      </c>
      <c r="E118" s="41">
        <f t="shared" si="1"/>
        <v>-655559.64</v>
      </c>
    </row>
    <row r="119" spans="1:5" ht="27">
      <c r="A119" s="17" t="s">
        <v>202</v>
      </c>
      <c r="B119" s="36">
        <v>218519.88</v>
      </c>
      <c r="C119" s="36">
        <v>0</v>
      </c>
      <c r="D119" s="40">
        <f t="shared" si="0"/>
        <v>0</v>
      </c>
      <c r="E119" s="41">
        <f t="shared" si="1"/>
        <v>-218519.88</v>
      </c>
    </row>
    <row r="120" spans="1:5" ht="13.5">
      <c r="A120" s="21" t="s">
        <v>273</v>
      </c>
      <c r="B120" s="36">
        <v>1045600</v>
      </c>
      <c r="C120" s="36">
        <v>0</v>
      </c>
      <c r="D120" s="40">
        <f t="shared" si="0"/>
        <v>0</v>
      </c>
      <c r="E120" s="41">
        <f t="shared" si="1"/>
        <v>-1045600</v>
      </c>
    </row>
    <row r="121" spans="1:5" ht="13.5">
      <c r="A121" s="21" t="s">
        <v>276</v>
      </c>
      <c r="B121" s="36">
        <v>73670.7</v>
      </c>
      <c r="C121" s="36">
        <v>0</v>
      </c>
      <c r="D121" s="40">
        <f t="shared" si="0"/>
        <v>0</v>
      </c>
      <c r="E121" s="41">
        <f t="shared" si="1"/>
        <v>-73670.7</v>
      </c>
    </row>
    <row r="122" spans="1:5" ht="27">
      <c r="A122" s="21" t="s">
        <v>320</v>
      </c>
      <c r="B122" s="36">
        <v>225000</v>
      </c>
      <c r="C122" s="36">
        <v>225000</v>
      </c>
      <c r="D122" s="40">
        <f t="shared" si="0"/>
        <v>100</v>
      </c>
      <c r="E122" s="41">
        <f t="shared" si="1"/>
        <v>0</v>
      </c>
    </row>
    <row r="123" spans="1:5" ht="13.5">
      <c r="A123" s="21" t="s">
        <v>321</v>
      </c>
      <c r="B123" s="36">
        <v>300000</v>
      </c>
      <c r="C123" s="36">
        <v>0</v>
      </c>
      <c r="D123" s="40">
        <f t="shared" si="0"/>
        <v>0</v>
      </c>
      <c r="E123" s="41">
        <f t="shared" si="1"/>
        <v>-300000</v>
      </c>
    </row>
    <row r="124" spans="1:5" ht="16.5" customHeight="1">
      <c r="A124" s="128" t="s">
        <v>63</v>
      </c>
      <c r="B124" s="158">
        <f>B125+B127+B128+B129+B130+B132+B136+B137+B141+B143+B126+B131+B142</f>
        <v>43014159.72</v>
      </c>
      <c r="C124" s="158">
        <f>C125+C127+C128+C129+C130+C132+C136+C137+C141+C143+C126+C131+C142</f>
        <v>18717827.57</v>
      </c>
      <c r="D124" s="40">
        <f t="shared" si="0"/>
        <v>43.51550208546071</v>
      </c>
      <c r="E124" s="41">
        <f t="shared" si="1"/>
        <v>-24296332.15</v>
      </c>
    </row>
    <row r="125" spans="1:5" ht="13.5">
      <c r="A125" s="21" t="s">
        <v>65</v>
      </c>
      <c r="B125" s="36">
        <v>4863800</v>
      </c>
      <c r="C125" s="107">
        <v>2683657.81</v>
      </c>
      <c r="D125" s="40">
        <f t="shared" si="0"/>
        <v>55.176154652740664</v>
      </c>
      <c r="E125" s="41">
        <f t="shared" si="1"/>
        <v>-2180142.19</v>
      </c>
    </row>
    <row r="126" spans="1:5" ht="27">
      <c r="A126" s="21" t="s">
        <v>208</v>
      </c>
      <c r="B126" s="36">
        <v>6000</v>
      </c>
      <c r="C126" s="107">
        <v>0</v>
      </c>
      <c r="D126" s="40">
        <f t="shared" si="0"/>
        <v>0</v>
      </c>
      <c r="E126" s="41">
        <f t="shared" si="1"/>
        <v>-6000</v>
      </c>
    </row>
    <row r="127" spans="1:5" ht="13.5">
      <c r="A127" s="21" t="s">
        <v>66</v>
      </c>
      <c r="B127" s="36">
        <v>250000</v>
      </c>
      <c r="C127" s="107">
        <v>250000</v>
      </c>
      <c r="D127" s="40">
        <f aca="true" t="shared" si="4" ref="D127:D163">IF(B127=0,"   ",C127/B127*100)</f>
        <v>100</v>
      </c>
      <c r="E127" s="41">
        <f t="shared" si="1"/>
        <v>0</v>
      </c>
    </row>
    <row r="128" spans="1:5" ht="13.5">
      <c r="A128" s="21" t="s">
        <v>67</v>
      </c>
      <c r="B128" s="36">
        <v>100000</v>
      </c>
      <c r="C128" s="107">
        <v>0</v>
      </c>
      <c r="D128" s="40">
        <f t="shared" si="4"/>
        <v>0</v>
      </c>
      <c r="E128" s="41">
        <f t="shared" si="1"/>
        <v>-100000</v>
      </c>
    </row>
    <row r="129" spans="1:5" ht="13.5">
      <c r="A129" s="21" t="s">
        <v>68</v>
      </c>
      <c r="B129" s="36">
        <v>2531982</v>
      </c>
      <c r="C129" s="107">
        <v>2027866.65</v>
      </c>
      <c r="D129" s="40">
        <f t="shared" si="4"/>
        <v>80.09008950300594</v>
      </c>
      <c r="E129" s="41">
        <f t="shared" si="1"/>
        <v>-504115.3500000001</v>
      </c>
    </row>
    <row r="130" spans="1:5" ht="18" customHeight="1">
      <c r="A130" s="17" t="s">
        <v>352</v>
      </c>
      <c r="B130" s="36">
        <v>140000</v>
      </c>
      <c r="C130" s="107">
        <v>0</v>
      </c>
      <c r="D130" s="40">
        <f t="shared" si="4"/>
        <v>0</v>
      </c>
      <c r="E130" s="41">
        <f t="shared" si="1"/>
        <v>-140000</v>
      </c>
    </row>
    <row r="131" spans="1:5" ht="16.5" customHeight="1">
      <c r="A131" s="17" t="s">
        <v>322</v>
      </c>
      <c r="B131" s="36">
        <v>300000</v>
      </c>
      <c r="C131" s="107">
        <v>300000</v>
      </c>
      <c r="D131" s="40">
        <f t="shared" si="4"/>
        <v>100</v>
      </c>
      <c r="E131" s="41">
        <f t="shared" si="1"/>
        <v>0</v>
      </c>
    </row>
    <row r="132" spans="1:5" ht="18" customHeight="1">
      <c r="A132" s="17" t="s">
        <v>173</v>
      </c>
      <c r="B132" s="39">
        <f>B133+B135+B134</f>
        <v>5885076.760000001</v>
      </c>
      <c r="C132" s="39">
        <f>C133+C135+C134</f>
        <v>3418308.0500000003</v>
      </c>
      <c r="D132" s="50">
        <f aca="true" t="shared" si="5" ref="D132:D146">IF(B132=0,"   ",C132/B132)</f>
        <v>0.580843409423941</v>
      </c>
      <c r="E132" s="51">
        <f aca="true" t="shared" si="6" ref="E132:E147">C132-B132</f>
        <v>-2466768.7100000004</v>
      </c>
    </row>
    <row r="133" spans="1:5" ht="13.5">
      <c r="A133" s="17" t="s">
        <v>171</v>
      </c>
      <c r="B133" s="39">
        <v>5826225.99</v>
      </c>
      <c r="C133" s="39">
        <v>3384124.97</v>
      </c>
      <c r="D133" s="50">
        <f t="shared" si="5"/>
        <v>0.5808434097490269</v>
      </c>
      <c r="E133" s="51">
        <f t="shared" si="6"/>
        <v>-2442101.02</v>
      </c>
    </row>
    <row r="134" spans="1:5" ht="13.5">
      <c r="A134" s="17" t="s">
        <v>172</v>
      </c>
      <c r="B134" s="39">
        <v>41195.54</v>
      </c>
      <c r="C134" s="39">
        <v>23928.16</v>
      </c>
      <c r="D134" s="50">
        <f t="shared" si="5"/>
        <v>0.5808434602386569</v>
      </c>
      <c r="E134" s="51">
        <f t="shared" si="6"/>
        <v>-17267.38</v>
      </c>
    </row>
    <row r="135" spans="1:5" ht="13.5">
      <c r="A135" s="17" t="s">
        <v>183</v>
      </c>
      <c r="B135" s="39">
        <v>17655.23</v>
      </c>
      <c r="C135" s="39">
        <v>10254.92</v>
      </c>
      <c r="D135" s="50">
        <f t="shared" si="5"/>
        <v>0.5808431835778973</v>
      </c>
      <c r="E135" s="51">
        <f t="shared" si="6"/>
        <v>-7400.3099999999995</v>
      </c>
    </row>
    <row r="136" spans="1:5" ht="14.25" customHeight="1">
      <c r="A136" s="62" t="s">
        <v>231</v>
      </c>
      <c r="B136" s="39">
        <v>268800</v>
      </c>
      <c r="C136" s="39">
        <v>152418.98</v>
      </c>
      <c r="D136" s="50">
        <f t="shared" si="5"/>
        <v>0.5670348958333333</v>
      </c>
      <c r="E136" s="51">
        <f t="shared" si="6"/>
        <v>-116381.01999999999</v>
      </c>
    </row>
    <row r="137" spans="1:5" ht="16.5" customHeight="1">
      <c r="A137" s="17" t="s">
        <v>196</v>
      </c>
      <c r="B137" s="39">
        <f>SUM(B138:B140)</f>
        <v>0</v>
      </c>
      <c r="C137" s="39">
        <f>SUM(C138:C140)</f>
        <v>0</v>
      </c>
      <c r="D137" s="40" t="str">
        <f>IF(B137=0,"   ",C137/B137*100)</f>
        <v>   </v>
      </c>
      <c r="E137" s="41">
        <f t="shared" si="6"/>
        <v>0</v>
      </c>
    </row>
    <row r="138" spans="1:5" ht="27">
      <c r="A138" s="17" t="s">
        <v>178</v>
      </c>
      <c r="B138" s="39">
        <v>0</v>
      </c>
      <c r="C138" s="39">
        <v>0</v>
      </c>
      <c r="D138" s="40" t="str">
        <f>IF(B138=0,"   ",C138/B138*100)</f>
        <v>   </v>
      </c>
      <c r="E138" s="41">
        <f t="shared" si="6"/>
        <v>0</v>
      </c>
    </row>
    <row r="139" spans="1:5" ht="27">
      <c r="A139" s="17" t="s">
        <v>190</v>
      </c>
      <c r="B139" s="39">
        <v>0</v>
      </c>
      <c r="C139" s="39">
        <v>0</v>
      </c>
      <c r="D139" s="40" t="str">
        <f>IF(B139=0,"   ",C139/B139*100)</f>
        <v>   </v>
      </c>
      <c r="E139" s="41">
        <f t="shared" si="6"/>
        <v>0</v>
      </c>
    </row>
    <row r="140" spans="1:5" ht="27">
      <c r="A140" s="17" t="s">
        <v>202</v>
      </c>
      <c r="B140" s="39">
        <v>0</v>
      </c>
      <c r="C140" s="39">
        <v>0</v>
      </c>
      <c r="D140" s="40" t="str">
        <f>IF(B140=0,"   ",C140/B140*100)</f>
        <v>   </v>
      </c>
      <c r="E140" s="41">
        <f t="shared" si="6"/>
        <v>0</v>
      </c>
    </row>
    <row r="141" spans="1:5" ht="13.5">
      <c r="A141" s="17" t="s">
        <v>237</v>
      </c>
      <c r="B141" s="39">
        <v>805500</v>
      </c>
      <c r="C141" s="39">
        <v>0</v>
      </c>
      <c r="D141" s="50">
        <f t="shared" si="5"/>
        <v>0</v>
      </c>
      <c r="E141" s="51">
        <f t="shared" si="6"/>
        <v>-805500</v>
      </c>
    </row>
    <row r="142" spans="1:5" ht="13.5">
      <c r="A142" s="17" t="s">
        <v>289</v>
      </c>
      <c r="B142" s="39">
        <v>0</v>
      </c>
      <c r="C142" s="39">
        <v>0</v>
      </c>
      <c r="D142" s="50" t="str">
        <f t="shared" si="5"/>
        <v>   </v>
      </c>
      <c r="E142" s="51">
        <f t="shared" si="6"/>
        <v>0</v>
      </c>
    </row>
    <row r="143" spans="1:5" ht="17.25" customHeight="1">
      <c r="A143" s="17" t="s">
        <v>313</v>
      </c>
      <c r="B143" s="39">
        <f>SUM(B144:B146)</f>
        <v>27863000.96</v>
      </c>
      <c r="C143" s="39">
        <f>SUM(C144:C146)</f>
        <v>9885576.08</v>
      </c>
      <c r="D143" s="40">
        <f>IF(B143=0,"   ",C143/B143*100)</f>
        <v>35.47922240749189</v>
      </c>
      <c r="E143" s="41">
        <f>C143-B143</f>
        <v>-17977424.880000003</v>
      </c>
    </row>
    <row r="144" spans="1:5" ht="24.75" customHeight="1">
      <c r="A144" s="17" t="s">
        <v>314</v>
      </c>
      <c r="B144" s="107">
        <v>26191000</v>
      </c>
      <c r="C144" s="39">
        <v>9292441.52</v>
      </c>
      <c r="D144" s="40">
        <f>IF(B144=0,"   ",C144/B144*100)</f>
        <v>35.47952166774846</v>
      </c>
      <c r="E144" s="41">
        <f>C144-B144</f>
        <v>-16898558.48</v>
      </c>
    </row>
    <row r="145" spans="1:5" ht="15.75" customHeight="1">
      <c r="A145" s="17" t="s">
        <v>315</v>
      </c>
      <c r="B145" s="107">
        <v>1393138.3</v>
      </c>
      <c r="C145" s="39">
        <v>494278.81</v>
      </c>
      <c r="D145" s="40">
        <f>IF(B145=0,"   ",C145/B145*100)</f>
        <v>35.47952202591803</v>
      </c>
      <c r="E145" s="41">
        <f>C145-B145</f>
        <v>-898859.49</v>
      </c>
    </row>
    <row r="146" spans="1:5" ht="18" customHeight="1" thickBot="1">
      <c r="A146" s="17" t="s">
        <v>316</v>
      </c>
      <c r="B146" s="107">
        <v>278862.66</v>
      </c>
      <c r="C146" s="39">
        <v>98855.75</v>
      </c>
      <c r="D146" s="50">
        <f t="shared" si="5"/>
        <v>0.354496188195293</v>
      </c>
      <c r="E146" s="51">
        <f t="shared" si="6"/>
        <v>-180006.90999999997</v>
      </c>
    </row>
    <row r="147" spans="1:5" ht="18" customHeight="1" thickBot="1">
      <c r="A147" s="62" t="s">
        <v>311</v>
      </c>
      <c r="B147" s="111">
        <f>SUM(B148)</f>
        <v>800</v>
      </c>
      <c r="C147" s="111">
        <f>SUM(C148)</f>
        <v>120</v>
      </c>
      <c r="D147" s="40">
        <f>IF(B147=0,"   ",C147/B147*100)</f>
        <v>15</v>
      </c>
      <c r="E147" s="41">
        <f t="shared" si="6"/>
        <v>-680</v>
      </c>
    </row>
    <row r="148" spans="1:5" ht="18" customHeight="1">
      <c r="A148" s="62" t="s">
        <v>262</v>
      </c>
      <c r="B148" s="107">
        <v>800</v>
      </c>
      <c r="C148" s="39">
        <v>120</v>
      </c>
      <c r="D148" s="40">
        <f>IF(B148=0,"   ",C148/B148*100)</f>
        <v>15</v>
      </c>
      <c r="E148" s="41">
        <f>C148-B148</f>
        <v>-680</v>
      </c>
    </row>
    <row r="149" spans="1:5" ht="15" customHeight="1">
      <c r="A149" s="21" t="s">
        <v>17</v>
      </c>
      <c r="B149" s="36">
        <v>0</v>
      </c>
      <c r="C149" s="36">
        <v>0</v>
      </c>
      <c r="D149" s="40" t="str">
        <f t="shared" si="4"/>
        <v>   </v>
      </c>
      <c r="E149" s="41">
        <f t="shared" si="1"/>
        <v>0</v>
      </c>
    </row>
    <row r="150" spans="1:5" ht="18.75" customHeight="1">
      <c r="A150" s="21" t="s">
        <v>41</v>
      </c>
      <c r="B150" s="143">
        <f>B151</f>
        <v>20551358</v>
      </c>
      <c r="C150" s="143">
        <f>C151</f>
        <v>4206880</v>
      </c>
      <c r="D150" s="40">
        <f t="shared" si="4"/>
        <v>20.47008280426043</v>
      </c>
      <c r="E150" s="41">
        <f t="shared" si="1"/>
        <v>-16344478</v>
      </c>
    </row>
    <row r="151" spans="1:5" ht="15.75" customHeight="1">
      <c r="A151" s="21" t="s">
        <v>42</v>
      </c>
      <c r="B151" s="158">
        <f>B152+B153+B154+B156+B155</f>
        <v>20551358</v>
      </c>
      <c r="C151" s="158">
        <f>C152+C153+C154+C156+C155</f>
        <v>4206880</v>
      </c>
      <c r="D151" s="40">
        <f t="shared" si="4"/>
        <v>20.47008280426043</v>
      </c>
      <c r="E151" s="41">
        <f t="shared" si="1"/>
        <v>-16344478</v>
      </c>
    </row>
    <row r="152" spans="1:5" ht="19.5" customHeight="1">
      <c r="A152" s="21" t="s">
        <v>135</v>
      </c>
      <c r="B152" s="36">
        <v>4549500</v>
      </c>
      <c r="C152" s="107">
        <v>3525710</v>
      </c>
      <c r="D152" s="40">
        <f t="shared" si="4"/>
        <v>77.49664798329486</v>
      </c>
      <c r="E152" s="41">
        <f t="shared" si="1"/>
        <v>-1023790</v>
      </c>
    </row>
    <row r="153" spans="1:5" ht="16.5" customHeight="1">
      <c r="A153" s="21" t="s">
        <v>184</v>
      </c>
      <c r="B153" s="36">
        <v>5050500</v>
      </c>
      <c r="C153" s="107">
        <v>0</v>
      </c>
      <c r="D153" s="40">
        <f t="shared" si="4"/>
        <v>0</v>
      </c>
      <c r="E153" s="41">
        <f t="shared" si="1"/>
        <v>-5050500</v>
      </c>
    </row>
    <row r="154" spans="1:5" ht="18" customHeight="1">
      <c r="A154" s="21" t="s">
        <v>136</v>
      </c>
      <c r="B154" s="36">
        <v>1409400</v>
      </c>
      <c r="C154" s="107">
        <v>681170</v>
      </c>
      <c r="D154" s="40">
        <f t="shared" si="4"/>
        <v>48.33049524620406</v>
      </c>
      <c r="E154" s="41">
        <f t="shared" si="1"/>
        <v>-728230</v>
      </c>
    </row>
    <row r="155" spans="1:5" ht="18" customHeight="1">
      <c r="A155" s="21" t="s">
        <v>268</v>
      </c>
      <c r="B155" s="36">
        <v>0</v>
      </c>
      <c r="C155" s="107">
        <v>0</v>
      </c>
      <c r="D155" s="40" t="str">
        <f t="shared" si="4"/>
        <v>   </v>
      </c>
      <c r="E155" s="41">
        <f t="shared" si="1"/>
        <v>0</v>
      </c>
    </row>
    <row r="156" spans="1:5" ht="18" customHeight="1">
      <c r="A156" s="21" t="s">
        <v>306</v>
      </c>
      <c r="B156" s="36">
        <f>SUM(B157:B158)</f>
        <v>9541958</v>
      </c>
      <c r="C156" s="36">
        <f>SUM(C157:C158)</f>
        <v>0</v>
      </c>
      <c r="D156" s="40">
        <f t="shared" si="4"/>
        <v>0</v>
      </c>
      <c r="E156" s="41">
        <f t="shared" si="1"/>
        <v>-9541958</v>
      </c>
    </row>
    <row r="157" spans="1:5" ht="18" customHeight="1">
      <c r="A157" s="17" t="s">
        <v>307</v>
      </c>
      <c r="B157" s="36">
        <v>8969440</v>
      </c>
      <c r="C157" s="107">
        <v>0</v>
      </c>
      <c r="D157" s="40">
        <f>IF(B157=0,"   ",C157/B157*100)</f>
        <v>0</v>
      </c>
      <c r="E157" s="41">
        <f>C157-B157</f>
        <v>-8969440</v>
      </c>
    </row>
    <row r="158" spans="1:5" ht="18" customHeight="1">
      <c r="A158" s="17" t="s">
        <v>308</v>
      </c>
      <c r="B158" s="36">
        <v>572518</v>
      </c>
      <c r="C158" s="107">
        <v>0</v>
      </c>
      <c r="D158" s="40">
        <f t="shared" si="4"/>
        <v>0</v>
      </c>
      <c r="E158" s="41">
        <f t="shared" si="1"/>
        <v>-572518</v>
      </c>
    </row>
    <row r="159" spans="1:5" ht="13.5">
      <c r="A159" s="21" t="s">
        <v>119</v>
      </c>
      <c r="B159" s="36">
        <f>SUM(B160,)</f>
        <v>105000</v>
      </c>
      <c r="C159" s="36">
        <f>SUM(C160,)</f>
        <v>68654</v>
      </c>
      <c r="D159" s="40">
        <f t="shared" si="4"/>
        <v>65.3847619047619</v>
      </c>
      <c r="E159" s="41">
        <f t="shared" si="1"/>
        <v>-36346</v>
      </c>
    </row>
    <row r="160" spans="1:5" ht="14.25" customHeight="1">
      <c r="A160" s="21" t="s">
        <v>43</v>
      </c>
      <c r="B160" s="36">
        <v>105000</v>
      </c>
      <c r="C160" s="99">
        <v>68654</v>
      </c>
      <c r="D160" s="40">
        <f t="shared" si="4"/>
        <v>65.3847619047619</v>
      </c>
      <c r="E160" s="41">
        <f t="shared" si="1"/>
        <v>-36346</v>
      </c>
    </row>
    <row r="161" spans="1:5" ht="19.5" customHeight="1">
      <c r="A161" s="21" t="s">
        <v>137</v>
      </c>
      <c r="B161" s="36">
        <f>SUM(B162:B162)</f>
        <v>0</v>
      </c>
      <c r="C161" s="36">
        <f>SUM(C162:C162)</f>
        <v>0</v>
      </c>
      <c r="D161" s="40" t="str">
        <f t="shared" si="4"/>
        <v>   </v>
      </c>
      <c r="E161" s="41">
        <f t="shared" si="1"/>
        <v>0</v>
      </c>
    </row>
    <row r="162" spans="1:5" ht="19.5" customHeight="1">
      <c r="A162" s="21" t="s">
        <v>138</v>
      </c>
      <c r="B162" s="36">
        <v>0</v>
      </c>
      <c r="C162" s="107">
        <v>0</v>
      </c>
      <c r="D162" s="40" t="str">
        <f t="shared" si="4"/>
        <v>   </v>
      </c>
      <c r="E162" s="41">
        <f t="shared" si="1"/>
        <v>0</v>
      </c>
    </row>
    <row r="163" spans="1:5" ht="20.25" customHeight="1">
      <c r="A163" s="44" t="s">
        <v>15</v>
      </c>
      <c r="B163" s="116">
        <f>B62+B72+B74+B79+B107+B149+B150+B159+B161</f>
        <v>84953767.05</v>
      </c>
      <c r="C163" s="116">
        <f>C62+C72+C74+C79+C107+C149+C150+C159+C161</f>
        <v>30648827.64</v>
      </c>
      <c r="D163" s="46">
        <f t="shared" si="4"/>
        <v>36.07706721464331</v>
      </c>
      <c r="E163" s="47">
        <f t="shared" si="1"/>
        <v>-54304939.41</v>
      </c>
    </row>
    <row r="164" spans="1:5" s="13" customFormat="1" ht="36.75" customHeight="1">
      <c r="A164" s="71" t="s">
        <v>291</v>
      </c>
      <c r="B164" s="71"/>
      <c r="C164" s="165"/>
      <c r="D164" s="165"/>
      <c r="E164" s="165"/>
    </row>
    <row r="165" spans="1:5" s="13" customFormat="1" ht="12" customHeight="1">
      <c r="A165" s="71" t="s">
        <v>146</v>
      </c>
      <c r="B165" s="71"/>
      <c r="C165" s="72" t="s">
        <v>292</v>
      </c>
      <c r="D165" s="73"/>
      <c r="E165" s="74"/>
    </row>
    <row r="166" spans="1:5" ht="13.5">
      <c r="A166" s="71"/>
      <c r="B166" s="71"/>
      <c r="C166" s="117"/>
      <c r="D166" s="71"/>
      <c r="E166" s="118"/>
    </row>
    <row r="167" spans="1:5" ht="15">
      <c r="A167" s="18"/>
      <c r="B167" s="18"/>
      <c r="C167" s="19"/>
      <c r="D167" s="18"/>
      <c r="E167" s="20"/>
    </row>
    <row r="168" spans="1:5" ht="12.75">
      <c r="A168" s="6"/>
      <c r="B168" s="6"/>
      <c r="C168" s="5"/>
      <c r="D168" s="6"/>
      <c r="E168" s="2"/>
    </row>
    <row r="169" spans="1:5" ht="12.75">
      <c r="A169" s="6"/>
      <c r="B169" s="6"/>
      <c r="C169" s="5"/>
      <c r="D169" s="6"/>
      <c r="E169" s="2"/>
    </row>
  </sheetData>
  <sheetProtection/>
  <mergeCells count="2">
    <mergeCell ref="A1:E1"/>
    <mergeCell ref="C164:E164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9"/>
  <sheetViews>
    <sheetView zoomScalePageLayoutView="0" workbookViewId="0" topLeftCell="A29">
      <selection activeCell="C41" sqref="C41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3.5">
      <c r="A1" s="166" t="s">
        <v>346</v>
      </c>
      <c r="B1" s="166"/>
      <c r="C1" s="166"/>
      <c r="D1" s="166"/>
      <c r="E1" s="166"/>
    </row>
    <row r="2" spans="1:5" ht="13.5">
      <c r="A2" s="22"/>
      <c r="B2" s="22"/>
      <c r="C2" s="148"/>
      <c r="D2" s="148"/>
      <c r="E2" s="148"/>
    </row>
    <row r="3" spans="1:5" ht="1.5" customHeight="1" thickBot="1">
      <c r="A3" s="22"/>
      <c r="B3" s="22"/>
      <c r="C3" s="23"/>
      <c r="D3" s="22"/>
      <c r="E3" s="22" t="s">
        <v>0</v>
      </c>
    </row>
    <row r="4" spans="1:5" ht="66.75" customHeight="1">
      <c r="A4" s="24" t="s">
        <v>1</v>
      </c>
      <c r="B4" s="25" t="s">
        <v>293</v>
      </c>
      <c r="C4" s="26" t="s">
        <v>341</v>
      </c>
      <c r="D4" s="25" t="s">
        <v>296</v>
      </c>
      <c r="E4" s="27" t="s">
        <v>295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8" customHeight="1">
      <c r="A7" s="38" t="s">
        <v>45</v>
      </c>
      <c r="B7" s="143">
        <f>SUM(B8)</f>
        <v>29300</v>
      </c>
      <c r="C7" s="143">
        <f>SUM(C8)</f>
        <v>11912.91</v>
      </c>
      <c r="D7" s="40">
        <f aca="true" t="shared" si="0" ref="D7:D104">IF(B7=0,"   ",C7/B7*100)</f>
        <v>40.65839590443686</v>
      </c>
      <c r="E7" s="41">
        <f aca="true" t="shared" si="1" ref="E7:E105">C7-B7</f>
        <v>-17387.09</v>
      </c>
    </row>
    <row r="8" spans="1:5" ht="13.5">
      <c r="A8" s="21" t="s">
        <v>44</v>
      </c>
      <c r="B8" s="36">
        <v>29300</v>
      </c>
      <c r="C8" s="86">
        <v>11912.91</v>
      </c>
      <c r="D8" s="40">
        <f t="shared" si="0"/>
        <v>40.65839590443686</v>
      </c>
      <c r="E8" s="41">
        <f t="shared" si="1"/>
        <v>-17387.09</v>
      </c>
    </row>
    <row r="9" spans="1:5" ht="15" customHeight="1">
      <c r="A9" s="38" t="s">
        <v>129</v>
      </c>
      <c r="B9" s="143">
        <f>SUM(B10)</f>
        <v>658200</v>
      </c>
      <c r="C9" s="143">
        <f>SUM(C10)</f>
        <v>444324.03</v>
      </c>
      <c r="D9" s="40">
        <f t="shared" si="0"/>
        <v>67.50592980856884</v>
      </c>
      <c r="E9" s="41">
        <f t="shared" si="1"/>
        <v>-213875.96999999997</v>
      </c>
    </row>
    <row r="10" spans="1:5" ht="13.5">
      <c r="A10" s="21" t="s">
        <v>130</v>
      </c>
      <c r="B10" s="36">
        <v>658200</v>
      </c>
      <c r="C10" s="86">
        <v>444324.03</v>
      </c>
      <c r="D10" s="40">
        <f t="shared" si="0"/>
        <v>67.50592980856884</v>
      </c>
      <c r="E10" s="41">
        <f t="shared" si="1"/>
        <v>-213875.96999999997</v>
      </c>
    </row>
    <row r="11" spans="1:5" ht="18.75" customHeight="1">
      <c r="A11" s="21" t="s">
        <v>7</v>
      </c>
      <c r="B11" s="36">
        <f>SUM(B12:B12)</f>
        <v>0</v>
      </c>
      <c r="C11" s="36">
        <f>SUM(C12:C12)</f>
        <v>1339.8</v>
      </c>
      <c r="D11" s="40" t="str">
        <f t="shared" si="0"/>
        <v>   </v>
      </c>
      <c r="E11" s="41">
        <f t="shared" si="1"/>
        <v>1339.8</v>
      </c>
    </row>
    <row r="12" spans="1:5" ht="21" customHeight="1">
      <c r="A12" s="21" t="s">
        <v>26</v>
      </c>
      <c r="B12" s="36">
        <v>0</v>
      </c>
      <c r="C12" s="107">
        <v>1339.8</v>
      </c>
      <c r="D12" s="40" t="str">
        <f t="shared" si="0"/>
        <v>   </v>
      </c>
      <c r="E12" s="41">
        <f t="shared" si="1"/>
        <v>1339.8</v>
      </c>
    </row>
    <row r="13" spans="1:5" ht="21" customHeight="1">
      <c r="A13" s="21" t="s">
        <v>9</v>
      </c>
      <c r="B13" s="36">
        <f>SUM(B14:B15)</f>
        <v>239000</v>
      </c>
      <c r="C13" s="36">
        <f>SUM(C14:C15)</f>
        <v>6789.170000000001</v>
      </c>
      <c r="D13" s="40">
        <f t="shared" si="0"/>
        <v>2.840656903765691</v>
      </c>
      <c r="E13" s="41">
        <f t="shared" si="1"/>
        <v>-232210.83</v>
      </c>
    </row>
    <row r="14" spans="1:5" ht="13.5">
      <c r="A14" s="21" t="s">
        <v>27</v>
      </c>
      <c r="B14" s="36">
        <v>79000</v>
      </c>
      <c r="C14" s="86">
        <v>2100.45</v>
      </c>
      <c r="D14" s="40">
        <f t="shared" si="0"/>
        <v>2.65879746835443</v>
      </c>
      <c r="E14" s="41">
        <f t="shared" si="1"/>
        <v>-76899.55</v>
      </c>
    </row>
    <row r="15" spans="1:5" ht="13.5">
      <c r="A15" s="21" t="s">
        <v>152</v>
      </c>
      <c r="B15" s="36">
        <f>SUM(B16:B17)</f>
        <v>160000</v>
      </c>
      <c r="C15" s="36">
        <f>SUM(C16:C17)</f>
        <v>4688.720000000001</v>
      </c>
      <c r="D15" s="40">
        <f t="shared" si="0"/>
        <v>2.930450000000001</v>
      </c>
      <c r="E15" s="41">
        <f t="shared" si="1"/>
        <v>-155311.28</v>
      </c>
    </row>
    <row r="16" spans="1:5" ht="13.5">
      <c r="A16" s="21" t="s">
        <v>153</v>
      </c>
      <c r="B16" s="36">
        <v>11000</v>
      </c>
      <c r="C16" s="86">
        <v>16487.06</v>
      </c>
      <c r="D16" s="40">
        <f t="shared" si="0"/>
        <v>149.88236363636364</v>
      </c>
      <c r="E16" s="41">
        <f t="shared" si="1"/>
        <v>5487.060000000001</v>
      </c>
    </row>
    <row r="17" spans="1:5" ht="13.5">
      <c r="A17" s="21" t="s">
        <v>154</v>
      </c>
      <c r="B17" s="36">
        <v>149000</v>
      </c>
      <c r="C17" s="86">
        <v>-11798.34</v>
      </c>
      <c r="D17" s="40">
        <f t="shared" si="0"/>
        <v>-7.91834899328859</v>
      </c>
      <c r="E17" s="41">
        <f t="shared" si="1"/>
        <v>-160798.34</v>
      </c>
    </row>
    <row r="18" spans="1:5" ht="18.75" customHeight="1">
      <c r="A18" s="21" t="s">
        <v>187</v>
      </c>
      <c r="B18" s="36">
        <v>0</v>
      </c>
      <c r="C18" s="86">
        <v>400</v>
      </c>
      <c r="D18" s="40" t="str">
        <f t="shared" si="0"/>
        <v>   </v>
      </c>
      <c r="E18" s="41">
        <f t="shared" si="1"/>
        <v>400</v>
      </c>
    </row>
    <row r="19" spans="1:5" ht="27" customHeight="1">
      <c r="A19" s="21" t="s">
        <v>86</v>
      </c>
      <c r="B19" s="36">
        <v>0</v>
      </c>
      <c r="C19" s="86">
        <v>0</v>
      </c>
      <c r="D19" s="40" t="str">
        <f t="shared" si="0"/>
        <v>   </v>
      </c>
      <c r="E19" s="41">
        <f t="shared" si="1"/>
        <v>0</v>
      </c>
    </row>
    <row r="20" spans="1:5" ht="30.75" customHeight="1">
      <c r="A20" s="21" t="s">
        <v>28</v>
      </c>
      <c r="B20" s="36">
        <f>SUM(B21:B23)</f>
        <v>131400</v>
      </c>
      <c r="C20" s="36">
        <f>SUM(C21:C23)</f>
        <v>49514.56</v>
      </c>
      <c r="D20" s="40">
        <f t="shared" si="0"/>
        <v>37.68231354642314</v>
      </c>
      <c r="E20" s="41">
        <f t="shared" si="1"/>
        <v>-81885.44</v>
      </c>
    </row>
    <row r="21" spans="1:5" ht="21.75" customHeight="1">
      <c r="A21" s="21" t="s">
        <v>144</v>
      </c>
      <c r="B21" s="36">
        <v>131400</v>
      </c>
      <c r="C21" s="107">
        <v>49514.56</v>
      </c>
      <c r="D21" s="40">
        <f t="shared" si="0"/>
        <v>37.68231354642314</v>
      </c>
      <c r="E21" s="41">
        <f t="shared" si="1"/>
        <v>-81885.44</v>
      </c>
    </row>
    <row r="22" spans="1:5" ht="21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21" customHeight="1">
      <c r="A23" s="21" t="s">
        <v>251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20.25" customHeight="1">
      <c r="A24" s="21" t="s">
        <v>83</v>
      </c>
      <c r="B24" s="36">
        <v>0</v>
      </c>
      <c r="C24" s="107">
        <v>0</v>
      </c>
      <c r="D24" s="40" t="str">
        <f t="shared" si="0"/>
        <v>   </v>
      </c>
      <c r="E24" s="41">
        <f t="shared" si="1"/>
        <v>0</v>
      </c>
    </row>
    <row r="25" spans="1:5" ht="17.25" customHeight="1">
      <c r="A25" s="21" t="s">
        <v>76</v>
      </c>
      <c r="B25" s="143">
        <f>B26</f>
        <v>106000</v>
      </c>
      <c r="C25" s="143">
        <f>C26</f>
        <v>106605</v>
      </c>
      <c r="D25" s="40">
        <f t="shared" si="0"/>
        <v>100.57075471698114</v>
      </c>
      <c r="E25" s="41">
        <f t="shared" si="1"/>
        <v>605</v>
      </c>
    </row>
    <row r="26" spans="1:5" ht="27.75" customHeight="1">
      <c r="A26" s="21" t="s">
        <v>310</v>
      </c>
      <c r="B26" s="36">
        <v>106000</v>
      </c>
      <c r="C26" s="107">
        <v>106605</v>
      </c>
      <c r="D26" s="40">
        <f t="shared" si="0"/>
        <v>100.57075471698114</v>
      </c>
      <c r="E26" s="41">
        <f t="shared" si="1"/>
        <v>605</v>
      </c>
    </row>
    <row r="27" spans="1:5" ht="17.25" customHeight="1">
      <c r="A27" s="21" t="s">
        <v>32</v>
      </c>
      <c r="B27" s="36">
        <f>B28+B29</f>
        <v>0</v>
      </c>
      <c r="C27" s="36">
        <f>SUM(C28:C29)</f>
        <v>-161.46</v>
      </c>
      <c r="D27" s="40" t="str">
        <f t="shared" si="0"/>
        <v>   </v>
      </c>
      <c r="E27" s="41">
        <f t="shared" si="1"/>
        <v>-161.46</v>
      </c>
    </row>
    <row r="28" spans="1:5" ht="13.5">
      <c r="A28" s="21" t="s">
        <v>46</v>
      </c>
      <c r="B28" s="36">
        <v>0</v>
      </c>
      <c r="C28" s="36">
        <v>-161.46</v>
      </c>
      <c r="D28" s="40" t="str">
        <f t="shared" si="0"/>
        <v>   </v>
      </c>
      <c r="E28" s="41"/>
    </row>
    <row r="29" spans="1:5" ht="13.5">
      <c r="A29" s="21" t="s">
        <v>50</v>
      </c>
      <c r="B29" s="36">
        <v>0</v>
      </c>
      <c r="C29" s="107">
        <v>0</v>
      </c>
      <c r="D29" s="40" t="str">
        <f t="shared" si="0"/>
        <v>   </v>
      </c>
      <c r="E29" s="41">
        <f t="shared" si="1"/>
        <v>0</v>
      </c>
    </row>
    <row r="30" spans="1:5" ht="15.75" customHeight="1">
      <c r="A30" s="21" t="s">
        <v>31</v>
      </c>
      <c r="B30" s="36">
        <v>0</v>
      </c>
      <c r="C30" s="36">
        <v>0</v>
      </c>
      <c r="D30" s="40" t="str">
        <f t="shared" si="0"/>
        <v>   </v>
      </c>
      <c r="E30" s="41">
        <f t="shared" si="1"/>
        <v>0</v>
      </c>
    </row>
    <row r="31" spans="1:5" ht="16.5" customHeight="1">
      <c r="A31" s="44" t="s">
        <v>10</v>
      </c>
      <c r="B31" s="116">
        <f>SUM(B7,B9,B11,B13,B20,B24,B25,B27,B30,B19,B18)</f>
        <v>1163900</v>
      </c>
      <c r="C31" s="116">
        <f>SUM(C7,C9,C11,C13,C20,C24,C25,C27,C30,C19,C18)</f>
        <v>620724.01</v>
      </c>
      <c r="D31" s="46">
        <f t="shared" si="0"/>
        <v>53.331386717071915</v>
      </c>
      <c r="E31" s="47">
        <f t="shared" si="1"/>
        <v>-543175.99</v>
      </c>
    </row>
    <row r="32" spans="1:5" ht="13.5" customHeight="1">
      <c r="A32" s="62" t="s">
        <v>132</v>
      </c>
      <c r="B32" s="145">
        <f>SUM(B33:B36,B39:B42,B47)</f>
        <v>4149100</v>
      </c>
      <c r="C32" s="145">
        <f>SUM(C33:C36,C39:C42,C47)</f>
        <v>2518677.52</v>
      </c>
      <c r="D32" s="46">
        <f t="shared" si="0"/>
        <v>60.704189342267</v>
      </c>
      <c r="E32" s="47">
        <f t="shared" si="1"/>
        <v>-1630422.48</v>
      </c>
    </row>
    <row r="33" spans="1:5" ht="19.5" customHeight="1">
      <c r="A33" s="38" t="s">
        <v>34</v>
      </c>
      <c r="B33" s="143">
        <v>2571200</v>
      </c>
      <c r="C33" s="86">
        <v>1716090</v>
      </c>
      <c r="D33" s="40">
        <f t="shared" si="0"/>
        <v>66.74276602364655</v>
      </c>
      <c r="E33" s="41">
        <f t="shared" si="1"/>
        <v>-855110</v>
      </c>
    </row>
    <row r="34" spans="1:5" ht="19.5" customHeight="1">
      <c r="A34" s="38" t="s">
        <v>218</v>
      </c>
      <c r="B34" s="143">
        <v>0</v>
      </c>
      <c r="C34" s="86">
        <v>0</v>
      </c>
      <c r="D34" s="40" t="str">
        <f t="shared" si="0"/>
        <v>   </v>
      </c>
      <c r="E34" s="41">
        <f t="shared" si="1"/>
        <v>0</v>
      </c>
    </row>
    <row r="35" spans="1:5" ht="30.75" customHeight="1">
      <c r="A35" s="52" t="s">
        <v>51</v>
      </c>
      <c r="B35" s="85">
        <v>103700</v>
      </c>
      <c r="C35" s="86">
        <v>73400</v>
      </c>
      <c r="D35" s="54">
        <f t="shared" si="0"/>
        <v>70.7810993249759</v>
      </c>
      <c r="E35" s="55">
        <f t="shared" si="1"/>
        <v>-30300</v>
      </c>
    </row>
    <row r="36" spans="1:5" ht="24.75" customHeight="1">
      <c r="A36" s="52" t="s">
        <v>140</v>
      </c>
      <c r="B36" s="85">
        <f>SUM(B37:B38)</f>
        <v>100</v>
      </c>
      <c r="C36" s="85">
        <f>SUM(C37:C38)</f>
        <v>100</v>
      </c>
      <c r="D36" s="54">
        <f t="shared" si="0"/>
        <v>100</v>
      </c>
      <c r="E36" s="55">
        <f t="shared" si="1"/>
        <v>0</v>
      </c>
    </row>
    <row r="37" spans="1:5" ht="16.5" customHeight="1">
      <c r="A37" s="52" t="s">
        <v>155</v>
      </c>
      <c r="B37" s="85">
        <v>100</v>
      </c>
      <c r="C37" s="153">
        <v>100</v>
      </c>
      <c r="D37" s="54">
        <f t="shared" si="0"/>
        <v>100</v>
      </c>
      <c r="E37" s="55">
        <f t="shared" si="1"/>
        <v>0</v>
      </c>
    </row>
    <row r="38" spans="1:5" ht="25.5" customHeight="1">
      <c r="A38" s="52" t="s">
        <v>156</v>
      </c>
      <c r="B38" s="85">
        <v>0</v>
      </c>
      <c r="C38" s="153">
        <v>0</v>
      </c>
      <c r="D38" s="54" t="str">
        <f t="shared" si="0"/>
        <v>   </v>
      </c>
      <c r="E38" s="55">
        <f t="shared" si="1"/>
        <v>0</v>
      </c>
    </row>
    <row r="39" spans="1:5" ht="40.5" customHeight="1">
      <c r="A39" s="159" t="s">
        <v>125</v>
      </c>
      <c r="B39" s="85">
        <v>0</v>
      </c>
      <c r="C39" s="85">
        <v>0</v>
      </c>
      <c r="D39" s="54" t="str">
        <f t="shared" si="0"/>
        <v>   </v>
      </c>
      <c r="E39" s="55">
        <f t="shared" si="1"/>
        <v>0</v>
      </c>
    </row>
    <row r="40" spans="1:5" ht="27.75" customHeight="1">
      <c r="A40" s="159" t="s">
        <v>332</v>
      </c>
      <c r="B40" s="85">
        <v>51400</v>
      </c>
      <c r="C40" s="85">
        <v>51400</v>
      </c>
      <c r="D40" s="54">
        <f t="shared" si="0"/>
        <v>100</v>
      </c>
      <c r="E40" s="55">
        <f t="shared" si="1"/>
        <v>0</v>
      </c>
    </row>
    <row r="41" spans="1:5" ht="61.5" customHeight="1">
      <c r="A41" s="21" t="s">
        <v>227</v>
      </c>
      <c r="B41" s="85">
        <v>544300</v>
      </c>
      <c r="C41" s="85">
        <v>380483.52</v>
      </c>
      <c r="D41" s="54">
        <f t="shared" si="0"/>
        <v>69.90327392981813</v>
      </c>
      <c r="E41" s="55">
        <f t="shared" si="1"/>
        <v>-163816.47999999998</v>
      </c>
    </row>
    <row r="42" spans="1:5" ht="15.75" customHeight="1">
      <c r="A42" s="21" t="s">
        <v>55</v>
      </c>
      <c r="B42" s="36">
        <f>B46+B43+B45+B44</f>
        <v>878400</v>
      </c>
      <c r="C42" s="36">
        <f>C46+C43+C45</f>
        <v>297204</v>
      </c>
      <c r="D42" s="40">
        <f t="shared" si="0"/>
        <v>33.83469945355191</v>
      </c>
      <c r="E42" s="41">
        <f t="shared" si="1"/>
        <v>-581196</v>
      </c>
    </row>
    <row r="43" spans="1:5" ht="30" customHeight="1">
      <c r="A43" s="21" t="s">
        <v>179</v>
      </c>
      <c r="B43" s="36">
        <v>0</v>
      </c>
      <c r="C43" s="36">
        <v>0</v>
      </c>
      <c r="D43" s="40" t="str">
        <f>IF(B43=0,"   ",C43/B43*100)</f>
        <v>   </v>
      </c>
      <c r="E43" s="41">
        <f>C43-B43</f>
        <v>0</v>
      </c>
    </row>
    <row r="44" spans="1:5" ht="15" customHeight="1">
      <c r="A44" s="21" t="s">
        <v>299</v>
      </c>
      <c r="B44" s="36">
        <v>482200</v>
      </c>
      <c r="C44" s="36">
        <v>0</v>
      </c>
      <c r="D44" s="40">
        <f>IF(B44=0,"   ",C44/B44*100)</f>
        <v>0</v>
      </c>
      <c r="E44" s="41">
        <f>C44-B44</f>
        <v>-482200</v>
      </c>
    </row>
    <row r="45" spans="1:5" ht="15" customHeight="1">
      <c r="A45" s="21" t="s">
        <v>270</v>
      </c>
      <c r="B45" s="36">
        <v>0</v>
      </c>
      <c r="C45" s="36">
        <v>0</v>
      </c>
      <c r="D45" s="40" t="str">
        <f>IF(B45=0,"   ",C45/B45*100)</f>
        <v>   </v>
      </c>
      <c r="E45" s="41">
        <f>C45-B45</f>
        <v>0</v>
      </c>
    </row>
    <row r="46" spans="1:5" s="6" customFormat="1" ht="16.5" customHeight="1">
      <c r="A46" s="21" t="s">
        <v>104</v>
      </c>
      <c r="B46" s="36">
        <v>396200</v>
      </c>
      <c r="C46" s="36">
        <v>297204</v>
      </c>
      <c r="D46" s="36">
        <f t="shared" si="0"/>
        <v>75.01362948006057</v>
      </c>
      <c r="E46" s="41">
        <f t="shared" si="1"/>
        <v>-98996</v>
      </c>
    </row>
    <row r="47" spans="1:5" s="6" customFormat="1" ht="23.25" customHeight="1">
      <c r="A47" s="21" t="s">
        <v>189</v>
      </c>
      <c r="B47" s="36">
        <v>0</v>
      </c>
      <c r="C47" s="36">
        <v>0</v>
      </c>
      <c r="D47" s="36" t="str">
        <f>IF(B47=0,"   ",C47/B47*100)</f>
        <v>   </v>
      </c>
      <c r="E47" s="41">
        <f>C47-B47</f>
        <v>0</v>
      </c>
    </row>
    <row r="48" spans="1:5" ht="40.5" customHeight="1">
      <c r="A48" s="44" t="s">
        <v>11</v>
      </c>
      <c r="B48" s="116">
        <f>SUM(B31,B32,)</f>
        <v>5313000</v>
      </c>
      <c r="C48" s="116">
        <f>SUM(C31,C32,)</f>
        <v>3139401.5300000003</v>
      </c>
      <c r="D48" s="46">
        <f t="shared" si="0"/>
        <v>59.08905571240355</v>
      </c>
      <c r="E48" s="47">
        <f t="shared" si="1"/>
        <v>-2173598.4699999997</v>
      </c>
    </row>
    <row r="49" spans="1:5" ht="41.25" customHeight="1">
      <c r="A49" s="33" t="s">
        <v>12</v>
      </c>
      <c r="B49" s="154"/>
      <c r="C49" s="155"/>
      <c r="D49" s="40" t="str">
        <f t="shared" si="0"/>
        <v>   </v>
      </c>
      <c r="E49" s="41">
        <f t="shared" si="1"/>
        <v>0</v>
      </c>
    </row>
    <row r="50" spans="1:5" ht="21" customHeight="1">
      <c r="A50" s="21" t="s">
        <v>35</v>
      </c>
      <c r="B50" s="36">
        <f>SUM(B51,B54,B55)</f>
        <v>1432900</v>
      </c>
      <c r="C50" s="36">
        <f>SUM(C51,C54,C55)</f>
        <v>898130.24</v>
      </c>
      <c r="D50" s="40">
        <f t="shared" si="0"/>
        <v>62.67919882755252</v>
      </c>
      <c r="E50" s="41">
        <f t="shared" si="1"/>
        <v>-534769.76</v>
      </c>
    </row>
    <row r="51" spans="1:5" ht="14.25" customHeight="1">
      <c r="A51" s="21" t="s">
        <v>36</v>
      </c>
      <c r="B51" s="36">
        <v>1417400</v>
      </c>
      <c r="C51" s="36">
        <v>895630.24</v>
      </c>
      <c r="D51" s="40">
        <f t="shared" si="0"/>
        <v>63.18824890644843</v>
      </c>
      <c r="E51" s="41">
        <f t="shared" si="1"/>
        <v>-521769.76</v>
      </c>
    </row>
    <row r="52" spans="1:5" ht="13.5">
      <c r="A52" s="21" t="s">
        <v>116</v>
      </c>
      <c r="B52" s="36">
        <v>860753</v>
      </c>
      <c r="C52" s="99">
        <v>526462</v>
      </c>
      <c r="D52" s="40">
        <f t="shared" si="0"/>
        <v>61.162958479377934</v>
      </c>
      <c r="E52" s="41">
        <f t="shared" si="1"/>
        <v>-334291</v>
      </c>
    </row>
    <row r="53" spans="1:5" ht="13.5">
      <c r="A53" s="21" t="s">
        <v>334</v>
      </c>
      <c r="B53" s="36">
        <v>51400</v>
      </c>
      <c r="C53" s="99">
        <v>51400</v>
      </c>
      <c r="D53" s="40">
        <f>IF(B53=0,"   ",C53/B53*100)</f>
        <v>100</v>
      </c>
      <c r="E53" s="41">
        <f>C53-B53</f>
        <v>0</v>
      </c>
    </row>
    <row r="54" spans="1:5" ht="13.5">
      <c r="A54" s="21" t="s">
        <v>91</v>
      </c>
      <c r="B54" s="36">
        <v>500</v>
      </c>
      <c r="C54" s="107">
        <v>0</v>
      </c>
      <c r="D54" s="40">
        <f t="shared" si="0"/>
        <v>0</v>
      </c>
      <c r="E54" s="41">
        <f t="shared" si="1"/>
        <v>-500</v>
      </c>
    </row>
    <row r="55" spans="1:5" ht="13.5">
      <c r="A55" s="21" t="s">
        <v>52</v>
      </c>
      <c r="B55" s="36">
        <f>B56+B57</f>
        <v>15000</v>
      </c>
      <c r="C55" s="36">
        <f>C56</f>
        <v>2500</v>
      </c>
      <c r="D55" s="40">
        <f t="shared" si="0"/>
        <v>16.666666666666664</v>
      </c>
      <c r="E55" s="41">
        <f t="shared" si="1"/>
        <v>-12500</v>
      </c>
    </row>
    <row r="56" spans="1:5" ht="27">
      <c r="A56" s="17" t="s">
        <v>233</v>
      </c>
      <c r="B56" s="36">
        <v>15000</v>
      </c>
      <c r="C56" s="107">
        <v>2500</v>
      </c>
      <c r="D56" s="40">
        <f t="shared" si="0"/>
        <v>16.666666666666664</v>
      </c>
      <c r="E56" s="41">
        <f t="shared" si="1"/>
        <v>-12500</v>
      </c>
    </row>
    <row r="57" spans="1:5" ht="13.5">
      <c r="A57" s="17" t="s">
        <v>232</v>
      </c>
      <c r="B57" s="36">
        <v>0</v>
      </c>
      <c r="C57" s="107">
        <v>0</v>
      </c>
      <c r="D57" s="40" t="str">
        <f t="shared" si="0"/>
        <v>   </v>
      </c>
      <c r="E57" s="41">
        <f t="shared" si="1"/>
        <v>0</v>
      </c>
    </row>
    <row r="58" spans="1:5" ht="19.5" customHeight="1">
      <c r="A58" s="21" t="s">
        <v>49</v>
      </c>
      <c r="B58" s="107">
        <f>SUM(B59)</f>
        <v>103700</v>
      </c>
      <c r="C58" s="107">
        <f>SUM(C59)</f>
        <v>60293.14</v>
      </c>
      <c r="D58" s="40">
        <f t="shared" si="0"/>
        <v>58.14189006750241</v>
      </c>
      <c r="E58" s="41">
        <f t="shared" si="1"/>
        <v>-43406.86</v>
      </c>
    </row>
    <row r="59" spans="1:5" ht="15.75" customHeight="1">
      <c r="A59" s="21" t="s">
        <v>102</v>
      </c>
      <c r="B59" s="36">
        <v>103700</v>
      </c>
      <c r="C59" s="107">
        <v>60293.14</v>
      </c>
      <c r="D59" s="40">
        <f t="shared" si="0"/>
        <v>58.14189006750241</v>
      </c>
      <c r="E59" s="41">
        <f t="shared" si="1"/>
        <v>-43406.86</v>
      </c>
    </row>
    <row r="60" spans="1:5" ht="21" customHeight="1">
      <c r="A60" s="21" t="s">
        <v>37</v>
      </c>
      <c r="B60" s="36">
        <f>SUM(B61)</f>
        <v>5000</v>
      </c>
      <c r="C60" s="107">
        <f>SUM(C61)</f>
        <v>0</v>
      </c>
      <c r="D60" s="40">
        <f t="shared" si="0"/>
        <v>0</v>
      </c>
      <c r="E60" s="41">
        <f t="shared" si="1"/>
        <v>-5000</v>
      </c>
    </row>
    <row r="61" spans="1:5" ht="15" customHeight="1">
      <c r="A61" s="60" t="s">
        <v>325</v>
      </c>
      <c r="B61" s="36">
        <v>5000</v>
      </c>
      <c r="C61" s="107">
        <v>0</v>
      </c>
      <c r="D61" s="40">
        <f t="shared" si="0"/>
        <v>0</v>
      </c>
      <c r="E61" s="41">
        <f t="shared" si="1"/>
        <v>-5000</v>
      </c>
    </row>
    <row r="62" spans="1:5" ht="19.5" customHeight="1">
      <c r="A62" s="21" t="s">
        <v>38</v>
      </c>
      <c r="B62" s="36">
        <f>SUM(B70+B63+B68+B78)</f>
        <v>2253401</v>
      </c>
      <c r="C62" s="36">
        <f>SUM(C70+C63+C68+C78)</f>
        <v>863810.77</v>
      </c>
      <c r="D62" s="40">
        <f t="shared" si="0"/>
        <v>38.3336463416853</v>
      </c>
      <c r="E62" s="41">
        <f t="shared" si="1"/>
        <v>-1389590.23</v>
      </c>
    </row>
    <row r="63" spans="1:5" ht="15" customHeight="1">
      <c r="A63" s="62" t="s">
        <v>157</v>
      </c>
      <c r="B63" s="36">
        <f>SUM(B64:B67)</f>
        <v>513100</v>
      </c>
      <c r="C63" s="36">
        <f>SUM(C64:C67)</f>
        <v>0</v>
      </c>
      <c r="D63" s="40">
        <f aca="true" t="shared" si="2" ref="D63:D69">IF(B63=0,"   ",C63/B63*100)</f>
        <v>0</v>
      </c>
      <c r="E63" s="41">
        <f aca="true" t="shared" si="3" ref="E63:E69">C63-B63</f>
        <v>-513100</v>
      </c>
    </row>
    <row r="64" spans="1:5" ht="15.75" customHeight="1">
      <c r="A64" s="62" t="s">
        <v>158</v>
      </c>
      <c r="B64" s="36">
        <v>0</v>
      </c>
      <c r="C64" s="36">
        <v>0</v>
      </c>
      <c r="D64" s="40" t="str">
        <f t="shared" si="2"/>
        <v>   </v>
      </c>
      <c r="E64" s="41">
        <f t="shared" si="3"/>
        <v>0</v>
      </c>
    </row>
    <row r="65" spans="1:5" ht="19.5" customHeight="1">
      <c r="A65" s="62" t="s">
        <v>161</v>
      </c>
      <c r="B65" s="36">
        <v>0</v>
      </c>
      <c r="C65" s="36">
        <v>0</v>
      </c>
      <c r="D65" s="40" t="str">
        <f t="shared" si="2"/>
        <v>   </v>
      </c>
      <c r="E65" s="41">
        <f t="shared" si="3"/>
        <v>0</v>
      </c>
    </row>
    <row r="66" spans="1:5" ht="19.5" customHeight="1">
      <c r="A66" s="62" t="s">
        <v>300</v>
      </c>
      <c r="B66" s="36">
        <v>482200</v>
      </c>
      <c r="C66" s="36">
        <v>0</v>
      </c>
      <c r="D66" s="40">
        <f t="shared" si="2"/>
        <v>0</v>
      </c>
      <c r="E66" s="41">
        <f t="shared" si="3"/>
        <v>-482200</v>
      </c>
    </row>
    <row r="67" spans="1:5" ht="19.5" customHeight="1">
      <c r="A67" s="62" t="s">
        <v>301</v>
      </c>
      <c r="B67" s="36">
        <v>30900</v>
      </c>
      <c r="C67" s="36">
        <v>0</v>
      </c>
      <c r="D67" s="40">
        <f t="shared" si="2"/>
        <v>0</v>
      </c>
      <c r="E67" s="41">
        <f t="shared" si="3"/>
        <v>-30900</v>
      </c>
    </row>
    <row r="68" spans="1:5" ht="19.5" customHeight="1">
      <c r="A68" s="62" t="s">
        <v>220</v>
      </c>
      <c r="B68" s="36">
        <f>SUM(B69)</f>
        <v>0</v>
      </c>
      <c r="C68" s="36">
        <f>SUM(C69)</f>
        <v>0</v>
      </c>
      <c r="D68" s="40" t="str">
        <f t="shared" si="2"/>
        <v>   </v>
      </c>
      <c r="E68" s="41">
        <f t="shared" si="3"/>
        <v>0</v>
      </c>
    </row>
    <row r="69" spans="1:5" ht="19.5" customHeight="1">
      <c r="A69" s="62" t="s">
        <v>221</v>
      </c>
      <c r="B69" s="36">
        <v>0</v>
      </c>
      <c r="C69" s="36">
        <v>0</v>
      </c>
      <c r="D69" s="40" t="str">
        <f t="shared" si="2"/>
        <v>   </v>
      </c>
      <c r="E69" s="41">
        <f t="shared" si="3"/>
        <v>0</v>
      </c>
    </row>
    <row r="70" spans="1:5" ht="12.75" customHeight="1">
      <c r="A70" s="62" t="s">
        <v>124</v>
      </c>
      <c r="B70" s="36">
        <f>SUM(B71:B77)</f>
        <v>1648801</v>
      </c>
      <c r="C70" s="36">
        <f>SUM(C71:C77)</f>
        <v>853810.77</v>
      </c>
      <c r="D70" s="40">
        <f t="shared" si="0"/>
        <v>51.783736788126646</v>
      </c>
      <c r="E70" s="41">
        <f t="shared" si="1"/>
        <v>-794990.23</v>
      </c>
    </row>
    <row r="71" spans="1:5" ht="24.75" customHeight="1">
      <c r="A71" s="60" t="s">
        <v>141</v>
      </c>
      <c r="B71" s="36">
        <v>0</v>
      </c>
      <c r="C71" s="36">
        <v>0</v>
      </c>
      <c r="D71" s="40" t="str">
        <f t="shared" si="0"/>
        <v>   </v>
      </c>
      <c r="E71" s="55">
        <f t="shared" si="1"/>
        <v>0</v>
      </c>
    </row>
    <row r="72" spans="1:5" ht="33.75" customHeight="1">
      <c r="A72" s="17" t="s">
        <v>238</v>
      </c>
      <c r="B72" s="36">
        <v>521101.75</v>
      </c>
      <c r="C72" s="36">
        <v>0</v>
      </c>
      <c r="D72" s="40">
        <f t="shared" si="0"/>
        <v>0</v>
      </c>
      <c r="E72" s="55">
        <f t="shared" si="1"/>
        <v>-521101.75</v>
      </c>
    </row>
    <row r="73" spans="1:5" ht="26.25" customHeight="1">
      <c r="A73" s="17" t="s">
        <v>239</v>
      </c>
      <c r="B73" s="36">
        <v>82599.25</v>
      </c>
      <c r="C73" s="36">
        <v>82599.25</v>
      </c>
      <c r="D73" s="40">
        <f t="shared" si="0"/>
        <v>100</v>
      </c>
      <c r="E73" s="41">
        <f t="shared" si="1"/>
        <v>0</v>
      </c>
    </row>
    <row r="74" spans="1:5" ht="26.25" customHeight="1">
      <c r="A74" s="17" t="s">
        <v>240</v>
      </c>
      <c r="B74" s="36">
        <v>544300</v>
      </c>
      <c r="C74" s="36">
        <v>380483.52</v>
      </c>
      <c r="D74" s="40">
        <f t="shared" si="0"/>
        <v>69.90327392981813</v>
      </c>
      <c r="E74" s="41">
        <f t="shared" si="1"/>
        <v>-163816.47999999998</v>
      </c>
    </row>
    <row r="75" spans="1:5" ht="26.25" customHeight="1">
      <c r="A75" s="17" t="s">
        <v>241</v>
      </c>
      <c r="B75" s="36">
        <v>60500</v>
      </c>
      <c r="C75" s="36">
        <v>60500</v>
      </c>
      <c r="D75" s="40">
        <f>IF(B75=0,"   ",C75/B75*100)</f>
        <v>100</v>
      </c>
      <c r="E75" s="41">
        <f>C75-B75</f>
        <v>0</v>
      </c>
    </row>
    <row r="76" spans="1:5" ht="26.25" customHeight="1">
      <c r="A76" s="17" t="s">
        <v>242</v>
      </c>
      <c r="B76" s="36">
        <v>396200</v>
      </c>
      <c r="C76" s="36">
        <v>297204</v>
      </c>
      <c r="D76" s="40">
        <f>IF(B76=0,"   ",C76/B76*100)</f>
        <v>75.01362948006057</v>
      </c>
      <c r="E76" s="41">
        <f>C76-B76</f>
        <v>-98996</v>
      </c>
    </row>
    <row r="77" spans="1:5" ht="25.5" customHeight="1">
      <c r="A77" s="17" t="s">
        <v>243</v>
      </c>
      <c r="B77" s="36">
        <v>44100</v>
      </c>
      <c r="C77" s="36">
        <v>33024</v>
      </c>
      <c r="D77" s="40">
        <f t="shared" si="0"/>
        <v>74.8843537414966</v>
      </c>
      <c r="E77" s="41">
        <f t="shared" si="1"/>
        <v>-11076</v>
      </c>
    </row>
    <row r="78" spans="1:5" ht="18.75" customHeight="1">
      <c r="A78" s="68" t="s">
        <v>168</v>
      </c>
      <c r="B78" s="36">
        <f>SUM(B79+B80)</f>
        <v>91500</v>
      </c>
      <c r="C78" s="36">
        <f>SUM(C79+C80)</f>
        <v>10000</v>
      </c>
      <c r="D78" s="40">
        <f>IF(B78=0,"   ",C78/B78*100)</f>
        <v>10.92896174863388</v>
      </c>
      <c r="E78" s="41">
        <f>C78-B78</f>
        <v>-81500</v>
      </c>
    </row>
    <row r="79" spans="1:5" ht="31.5" customHeight="1">
      <c r="A79" s="17" t="s">
        <v>147</v>
      </c>
      <c r="B79" s="36">
        <v>31500</v>
      </c>
      <c r="C79" s="36">
        <v>0</v>
      </c>
      <c r="D79" s="40">
        <f>IF(B79=0,"   ",C79/B79*100)</f>
        <v>0</v>
      </c>
      <c r="E79" s="41">
        <f>C79-B79</f>
        <v>-31500</v>
      </c>
    </row>
    <row r="80" spans="1:5" ht="23.25" customHeight="1">
      <c r="A80" s="60" t="s">
        <v>169</v>
      </c>
      <c r="B80" s="36">
        <v>60000</v>
      </c>
      <c r="C80" s="36">
        <v>10000</v>
      </c>
      <c r="D80" s="40">
        <f>IF(B80=0,"   ",C80/B80*100)</f>
        <v>16.666666666666664</v>
      </c>
      <c r="E80" s="41">
        <f>C80-B80</f>
        <v>-50000</v>
      </c>
    </row>
    <row r="81" spans="1:5" ht="18.75" customHeight="1">
      <c r="A81" s="21" t="s">
        <v>13</v>
      </c>
      <c r="B81" s="36">
        <f>SUM(B90+B82+B84+B98)</f>
        <v>645877.53</v>
      </c>
      <c r="C81" s="36">
        <f>SUM(C90+C82+C84)</f>
        <v>232133.28</v>
      </c>
      <c r="D81" s="40">
        <f t="shared" si="0"/>
        <v>35.94075799478579</v>
      </c>
      <c r="E81" s="41">
        <f t="shared" si="1"/>
        <v>-413744.25</v>
      </c>
    </row>
    <row r="82" spans="1:5" ht="12.75" customHeight="1">
      <c r="A82" s="128" t="s">
        <v>14</v>
      </c>
      <c r="B82" s="36">
        <f>B83</f>
        <v>0</v>
      </c>
      <c r="C82" s="36">
        <f>C83</f>
        <v>0</v>
      </c>
      <c r="D82" s="40" t="str">
        <f aca="true" t="shared" si="4" ref="D82:D89">IF(B82=0,"   ",C82/B82*100)</f>
        <v>   </v>
      </c>
      <c r="E82" s="41">
        <f aca="true" t="shared" si="5" ref="E82:E89">C82-B82</f>
        <v>0</v>
      </c>
    </row>
    <row r="83" spans="1:5" ht="12.75" customHeight="1">
      <c r="A83" s="21" t="s">
        <v>163</v>
      </c>
      <c r="B83" s="36">
        <v>0</v>
      </c>
      <c r="C83" s="36">
        <v>0</v>
      </c>
      <c r="D83" s="40" t="str">
        <f t="shared" si="4"/>
        <v>   </v>
      </c>
      <c r="E83" s="41">
        <f t="shared" si="5"/>
        <v>0</v>
      </c>
    </row>
    <row r="84" spans="1:5" ht="13.5" customHeight="1">
      <c r="A84" s="128" t="s">
        <v>64</v>
      </c>
      <c r="B84" s="36">
        <f>SUM(B85:B89)</f>
        <v>458239</v>
      </c>
      <c r="C84" s="36">
        <f>SUM(C85:C89)</f>
        <v>174752</v>
      </c>
      <c r="D84" s="40">
        <f t="shared" si="4"/>
        <v>38.13555808213618</v>
      </c>
      <c r="E84" s="41">
        <f t="shared" si="5"/>
        <v>-283487</v>
      </c>
    </row>
    <row r="85" spans="1:5" ht="14.25" customHeight="1">
      <c r="A85" s="21" t="s">
        <v>134</v>
      </c>
      <c r="B85" s="36">
        <v>0</v>
      </c>
      <c r="C85" s="36">
        <v>0</v>
      </c>
      <c r="D85" s="40" t="str">
        <f t="shared" si="4"/>
        <v>   </v>
      </c>
      <c r="E85" s="41">
        <f t="shared" si="5"/>
        <v>0</v>
      </c>
    </row>
    <row r="86" spans="1:5" ht="14.25" customHeight="1">
      <c r="A86" s="38" t="s">
        <v>266</v>
      </c>
      <c r="B86" s="36">
        <v>132739</v>
      </c>
      <c r="C86" s="36">
        <v>61152</v>
      </c>
      <c r="D86" s="40">
        <f t="shared" si="4"/>
        <v>46.069354146106264</v>
      </c>
      <c r="E86" s="41">
        <f t="shared" si="5"/>
        <v>-71587</v>
      </c>
    </row>
    <row r="87" spans="1:5" ht="14.25" customHeight="1">
      <c r="A87" s="21" t="s">
        <v>326</v>
      </c>
      <c r="B87" s="36">
        <v>325500</v>
      </c>
      <c r="C87" s="36">
        <v>113600</v>
      </c>
      <c r="D87" s="40">
        <f t="shared" si="4"/>
        <v>34.90015360983103</v>
      </c>
      <c r="E87" s="41">
        <f t="shared" si="5"/>
        <v>-211900</v>
      </c>
    </row>
    <row r="88" spans="1:5" ht="14.25" customHeight="1">
      <c r="A88" s="21" t="s">
        <v>273</v>
      </c>
      <c r="B88" s="36">
        <v>0</v>
      </c>
      <c r="C88" s="36">
        <v>0</v>
      </c>
      <c r="D88" s="40" t="str">
        <f t="shared" si="4"/>
        <v>   </v>
      </c>
      <c r="E88" s="41">
        <f t="shared" si="5"/>
        <v>0</v>
      </c>
    </row>
    <row r="89" spans="1:5" ht="14.25" customHeight="1">
      <c r="A89" s="21" t="s">
        <v>282</v>
      </c>
      <c r="B89" s="36">
        <v>0</v>
      </c>
      <c r="C89" s="36">
        <v>0</v>
      </c>
      <c r="D89" s="40" t="str">
        <f t="shared" si="4"/>
        <v>   </v>
      </c>
      <c r="E89" s="41">
        <f t="shared" si="5"/>
        <v>0</v>
      </c>
    </row>
    <row r="90" spans="1:5" ht="13.5">
      <c r="A90" s="21" t="s">
        <v>58</v>
      </c>
      <c r="B90" s="36">
        <f>B91+B93+B92+B94</f>
        <v>187538.53</v>
      </c>
      <c r="C90" s="36">
        <f>C91+C93+C92+C98+C94</f>
        <v>57381.28</v>
      </c>
      <c r="D90" s="40">
        <f t="shared" si="0"/>
        <v>30.5970618411054</v>
      </c>
      <c r="E90" s="41">
        <f t="shared" si="1"/>
        <v>-130157.25</v>
      </c>
    </row>
    <row r="91" spans="1:5" ht="13.5">
      <c r="A91" s="21" t="s">
        <v>56</v>
      </c>
      <c r="B91" s="36">
        <v>187538.53</v>
      </c>
      <c r="C91" s="107">
        <v>57281.28</v>
      </c>
      <c r="D91" s="40">
        <f t="shared" si="0"/>
        <v>30.543739465164837</v>
      </c>
      <c r="E91" s="41">
        <f t="shared" si="1"/>
        <v>-130257.25</v>
      </c>
    </row>
    <row r="92" spans="1:5" ht="27">
      <c r="A92" s="17" t="s">
        <v>274</v>
      </c>
      <c r="B92" s="36">
        <v>0</v>
      </c>
      <c r="C92" s="107">
        <v>0</v>
      </c>
      <c r="D92" s="40" t="str">
        <f t="shared" si="0"/>
        <v>   </v>
      </c>
      <c r="E92" s="41">
        <f t="shared" si="1"/>
        <v>0</v>
      </c>
    </row>
    <row r="93" spans="1:5" ht="13.5">
      <c r="A93" s="21" t="s">
        <v>59</v>
      </c>
      <c r="B93" s="36">
        <v>0</v>
      </c>
      <c r="C93" s="107">
        <v>0</v>
      </c>
      <c r="D93" s="40" t="str">
        <f t="shared" si="0"/>
        <v>   </v>
      </c>
      <c r="E93" s="41">
        <f t="shared" si="1"/>
        <v>0</v>
      </c>
    </row>
    <row r="94" spans="1:5" ht="13.5" customHeight="1">
      <c r="A94" s="17" t="s">
        <v>196</v>
      </c>
      <c r="B94" s="36">
        <f>SUM(B95:B97)</f>
        <v>0</v>
      </c>
      <c r="C94" s="36">
        <f>SUM(C95:C97)</f>
        <v>0</v>
      </c>
      <c r="D94" s="40" t="str">
        <f>IF(B94=0,"   ",C94/B94*100)</f>
        <v>   </v>
      </c>
      <c r="E94" s="41">
        <f>C94-B94</f>
        <v>0</v>
      </c>
    </row>
    <row r="95" spans="1:5" ht="27">
      <c r="A95" s="17" t="s">
        <v>203</v>
      </c>
      <c r="B95" s="36">
        <v>0</v>
      </c>
      <c r="C95" s="107">
        <v>0</v>
      </c>
      <c r="D95" s="40" t="str">
        <f t="shared" si="0"/>
        <v>   </v>
      </c>
      <c r="E95" s="41">
        <f t="shared" si="1"/>
        <v>0</v>
      </c>
    </row>
    <row r="96" spans="1:5" ht="27">
      <c r="A96" s="17" t="s">
        <v>204</v>
      </c>
      <c r="B96" s="36">
        <v>0</v>
      </c>
      <c r="C96" s="107">
        <v>0</v>
      </c>
      <c r="D96" s="40" t="str">
        <f t="shared" si="0"/>
        <v>   </v>
      </c>
      <c r="E96" s="41">
        <f t="shared" si="1"/>
        <v>0</v>
      </c>
    </row>
    <row r="97" spans="1:5" ht="27.75" thickBot="1">
      <c r="A97" s="17" t="s">
        <v>205</v>
      </c>
      <c r="B97" s="36">
        <v>0</v>
      </c>
      <c r="C97" s="107">
        <v>0</v>
      </c>
      <c r="D97" s="40" t="str">
        <f t="shared" si="0"/>
        <v>   </v>
      </c>
      <c r="E97" s="41">
        <f t="shared" si="1"/>
        <v>0</v>
      </c>
    </row>
    <row r="98" spans="1:5" ht="14.25" thickBot="1">
      <c r="A98" s="62" t="s">
        <v>311</v>
      </c>
      <c r="B98" s="111">
        <f>SUM(B99)</f>
        <v>100</v>
      </c>
      <c r="C98" s="111">
        <f>SUM(C99)</f>
        <v>100</v>
      </c>
      <c r="D98" s="40">
        <f t="shared" si="0"/>
        <v>100</v>
      </c>
      <c r="E98" s="41">
        <f t="shared" si="1"/>
        <v>0</v>
      </c>
    </row>
    <row r="99" spans="1:5" ht="13.5">
      <c r="A99" s="62" t="s">
        <v>262</v>
      </c>
      <c r="B99" s="36">
        <v>100</v>
      </c>
      <c r="C99" s="99">
        <v>100</v>
      </c>
      <c r="D99" s="40">
        <f>IF(B99=0,"   ",C99/B99*100)</f>
        <v>100</v>
      </c>
      <c r="E99" s="41">
        <f>C99-B99</f>
        <v>0</v>
      </c>
    </row>
    <row r="100" spans="1:5" ht="14.25" customHeight="1">
      <c r="A100" s="21" t="s">
        <v>17</v>
      </c>
      <c r="B100" s="36">
        <v>8000</v>
      </c>
      <c r="C100" s="36">
        <v>0</v>
      </c>
      <c r="D100" s="40">
        <f t="shared" si="0"/>
        <v>0</v>
      </c>
      <c r="E100" s="41">
        <f t="shared" si="1"/>
        <v>-8000</v>
      </c>
    </row>
    <row r="101" spans="1:5" ht="13.5" customHeight="1">
      <c r="A101" s="21" t="s">
        <v>41</v>
      </c>
      <c r="B101" s="143">
        <f>B102</f>
        <v>969900</v>
      </c>
      <c r="C101" s="143">
        <f>C102</f>
        <v>760601.47</v>
      </c>
      <c r="D101" s="40">
        <f t="shared" si="0"/>
        <v>78.42060727910093</v>
      </c>
      <c r="E101" s="41">
        <f t="shared" si="1"/>
        <v>-209298.53000000003</v>
      </c>
    </row>
    <row r="102" spans="1:5" ht="13.5">
      <c r="A102" s="21" t="s">
        <v>42</v>
      </c>
      <c r="B102" s="36">
        <v>969900</v>
      </c>
      <c r="C102" s="107">
        <v>760601.47</v>
      </c>
      <c r="D102" s="40">
        <f t="shared" si="0"/>
        <v>78.42060727910093</v>
      </c>
      <c r="E102" s="41">
        <f t="shared" si="1"/>
        <v>-209298.53000000003</v>
      </c>
    </row>
    <row r="103" spans="1:5" ht="18.75" customHeight="1">
      <c r="A103" s="21" t="s">
        <v>119</v>
      </c>
      <c r="B103" s="36">
        <f>SUM(B104,)</f>
        <v>20000</v>
      </c>
      <c r="C103" s="36">
        <f>SUM(C104,)</f>
        <v>10000</v>
      </c>
      <c r="D103" s="40">
        <f t="shared" si="0"/>
        <v>50</v>
      </c>
      <c r="E103" s="41">
        <f t="shared" si="1"/>
        <v>-10000</v>
      </c>
    </row>
    <row r="104" spans="1:5" ht="13.5">
      <c r="A104" s="21" t="s">
        <v>43</v>
      </c>
      <c r="B104" s="36">
        <v>20000</v>
      </c>
      <c r="C104" s="99">
        <v>10000</v>
      </c>
      <c r="D104" s="40">
        <f t="shared" si="0"/>
        <v>50</v>
      </c>
      <c r="E104" s="41">
        <f t="shared" si="1"/>
        <v>-10000</v>
      </c>
    </row>
    <row r="105" spans="1:5" ht="22.5" customHeight="1">
      <c r="A105" s="44" t="s">
        <v>15</v>
      </c>
      <c r="B105" s="116">
        <f>B50+B58+B60+B62+B81+B100+B101+B103</f>
        <v>5438778.53</v>
      </c>
      <c r="C105" s="116">
        <f>C50+C58+C60+C62+C81+C100+C101+C103</f>
        <v>2824968.9</v>
      </c>
      <c r="D105" s="46">
        <f>IF(B105=0,"   ",C105/B105*100)</f>
        <v>51.941237989699864</v>
      </c>
      <c r="E105" s="47">
        <f t="shared" si="1"/>
        <v>-2613809.6300000004</v>
      </c>
    </row>
    <row r="106" spans="1:5" s="13" customFormat="1" ht="33" customHeight="1">
      <c r="A106" s="71" t="s">
        <v>291</v>
      </c>
      <c r="B106" s="71"/>
      <c r="C106" s="165"/>
      <c r="D106" s="165"/>
      <c r="E106" s="165"/>
    </row>
    <row r="107" spans="1:5" s="13" customFormat="1" ht="12" customHeight="1">
      <c r="A107" s="71" t="s">
        <v>146</v>
      </c>
      <c r="B107" s="71"/>
      <c r="C107" s="72" t="s">
        <v>292</v>
      </c>
      <c r="D107" s="73"/>
      <c r="E107" s="74"/>
    </row>
    <row r="108" spans="1:5" ht="13.5">
      <c r="A108" s="71"/>
      <c r="B108" s="71"/>
      <c r="C108" s="117"/>
      <c r="D108" s="71"/>
      <c r="E108" s="118"/>
    </row>
    <row r="109" spans="1:5" ht="13.5">
      <c r="A109" s="71"/>
      <c r="B109" s="71"/>
      <c r="C109" s="117"/>
      <c r="D109" s="71"/>
      <c r="E109" s="118"/>
    </row>
    <row r="110" spans="1:5" ht="13.5">
      <c r="A110" s="71"/>
      <c r="B110" s="71"/>
      <c r="C110" s="117"/>
      <c r="D110" s="71"/>
      <c r="E110" s="118"/>
    </row>
    <row r="111" spans="1:5" ht="13.5">
      <c r="A111" s="71"/>
      <c r="B111" s="71"/>
      <c r="C111" s="117"/>
      <c r="D111" s="71"/>
      <c r="E111" s="118"/>
    </row>
    <row r="112" spans="1:5" ht="13.5">
      <c r="A112" s="22"/>
      <c r="B112" s="160"/>
      <c r="C112" s="160"/>
      <c r="D112" s="160"/>
      <c r="E112" s="160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</sheetData>
  <sheetProtection/>
  <mergeCells count="2">
    <mergeCell ref="A1:E1"/>
    <mergeCell ref="C106:E106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zoomScalePageLayoutView="0" workbookViewId="0" topLeftCell="A16">
      <selection activeCell="B32" sqref="B32"/>
    </sheetView>
  </sheetViews>
  <sheetFormatPr defaultColWidth="9.00390625" defaultRowHeight="12.75"/>
  <cols>
    <col min="1" max="1" width="114.1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3.5">
      <c r="A1" s="166" t="s">
        <v>347</v>
      </c>
      <c r="B1" s="166"/>
      <c r="C1" s="166"/>
      <c r="D1" s="166"/>
      <c r="E1" s="166"/>
    </row>
    <row r="2" spans="1:5" ht="12.75" customHeight="1" thickBot="1">
      <c r="A2" s="22"/>
      <c r="B2" s="22"/>
      <c r="C2" s="148"/>
      <c r="D2" s="148"/>
      <c r="E2" s="148"/>
    </row>
    <row r="3" spans="1:5" ht="5.25" customHeight="1" hidden="1" thickBot="1">
      <c r="A3" s="22"/>
      <c r="B3" s="22"/>
      <c r="C3" s="23"/>
      <c r="D3" s="22"/>
      <c r="E3" s="22" t="s">
        <v>0</v>
      </c>
    </row>
    <row r="4" spans="1:5" ht="72.75" customHeight="1">
      <c r="A4" s="24" t="s">
        <v>1</v>
      </c>
      <c r="B4" s="25" t="s">
        <v>293</v>
      </c>
      <c r="C4" s="26" t="s">
        <v>348</v>
      </c>
      <c r="D4" s="25" t="s">
        <v>296</v>
      </c>
      <c r="E4" s="27" t="s">
        <v>295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6.5" customHeight="1">
      <c r="A7" s="38" t="s">
        <v>45</v>
      </c>
      <c r="B7" s="143">
        <f>SUM(B8)</f>
        <v>401400</v>
      </c>
      <c r="C7" s="143">
        <f>SUM(C8)</f>
        <v>238757.43</v>
      </c>
      <c r="D7" s="40">
        <f aca="true" t="shared" si="0" ref="D7:D111">IF(B7=0,"   ",C7/B7*100)</f>
        <v>59.48117339312407</v>
      </c>
      <c r="E7" s="41">
        <f aca="true" t="shared" si="1" ref="E7:E112">C7-B7</f>
        <v>-162642.57</v>
      </c>
    </row>
    <row r="8" spans="1:5" ht="13.5">
      <c r="A8" s="21" t="s">
        <v>44</v>
      </c>
      <c r="B8" s="36">
        <v>401400</v>
      </c>
      <c r="C8" s="86">
        <v>238757.43</v>
      </c>
      <c r="D8" s="40">
        <f t="shared" si="0"/>
        <v>59.48117339312407</v>
      </c>
      <c r="E8" s="41">
        <f t="shared" si="1"/>
        <v>-162642.57</v>
      </c>
    </row>
    <row r="9" spans="1:5" ht="18" customHeight="1">
      <c r="A9" s="38" t="s">
        <v>129</v>
      </c>
      <c r="B9" s="143">
        <f>SUM(B10)</f>
        <v>915700</v>
      </c>
      <c r="C9" s="143">
        <f>SUM(C10)</f>
        <v>618189.94</v>
      </c>
      <c r="D9" s="40">
        <f t="shared" si="0"/>
        <v>67.51009500928251</v>
      </c>
      <c r="E9" s="41">
        <f t="shared" si="1"/>
        <v>-297510.06000000006</v>
      </c>
    </row>
    <row r="10" spans="1:5" ht="13.5">
      <c r="A10" s="21" t="s">
        <v>130</v>
      </c>
      <c r="B10" s="36">
        <v>915700</v>
      </c>
      <c r="C10" s="86">
        <v>618189.94</v>
      </c>
      <c r="D10" s="40">
        <f t="shared" si="0"/>
        <v>67.51009500928251</v>
      </c>
      <c r="E10" s="41">
        <f t="shared" si="1"/>
        <v>-297510.06000000006</v>
      </c>
    </row>
    <row r="11" spans="1:5" ht="16.5" customHeight="1">
      <c r="A11" s="21" t="s">
        <v>7</v>
      </c>
      <c r="B11" s="36">
        <f>SUM(B12:B12)</f>
        <v>55600</v>
      </c>
      <c r="C11" s="36">
        <f>C12</f>
        <v>41475.78</v>
      </c>
      <c r="D11" s="40">
        <f t="shared" si="0"/>
        <v>74.59672661870503</v>
      </c>
      <c r="E11" s="41">
        <f t="shared" si="1"/>
        <v>-14124.220000000001</v>
      </c>
    </row>
    <row r="12" spans="1:5" ht="13.5">
      <c r="A12" s="21" t="s">
        <v>26</v>
      </c>
      <c r="B12" s="36">
        <v>55600</v>
      </c>
      <c r="C12" s="86">
        <v>41475.78</v>
      </c>
      <c r="D12" s="40">
        <f t="shared" si="0"/>
        <v>74.59672661870503</v>
      </c>
      <c r="E12" s="41">
        <f t="shared" si="1"/>
        <v>-14124.220000000001</v>
      </c>
    </row>
    <row r="13" spans="1:5" ht="18" customHeight="1">
      <c r="A13" s="21" t="s">
        <v>9</v>
      </c>
      <c r="B13" s="36">
        <f>SUM(B14:B15)</f>
        <v>1032000</v>
      </c>
      <c r="C13" s="36">
        <f>SUM(C14:C15)</f>
        <v>475019.34</v>
      </c>
      <c r="D13" s="40">
        <f t="shared" si="0"/>
        <v>46.02900581395349</v>
      </c>
      <c r="E13" s="41">
        <f t="shared" si="1"/>
        <v>-556980.6599999999</v>
      </c>
    </row>
    <row r="14" spans="1:5" ht="13.5">
      <c r="A14" s="21" t="s">
        <v>27</v>
      </c>
      <c r="B14" s="36">
        <v>640000</v>
      </c>
      <c r="C14" s="86">
        <v>66319.5</v>
      </c>
      <c r="D14" s="40">
        <f t="shared" si="0"/>
        <v>10.362421874999999</v>
      </c>
      <c r="E14" s="41">
        <f t="shared" si="1"/>
        <v>-573680.5</v>
      </c>
    </row>
    <row r="15" spans="1:5" ht="13.5">
      <c r="A15" s="21" t="s">
        <v>152</v>
      </c>
      <c r="B15" s="36">
        <f>SUM(B16:B17)</f>
        <v>392000</v>
      </c>
      <c r="C15" s="36">
        <f>SUM(C16:C17)</f>
        <v>408699.84</v>
      </c>
      <c r="D15" s="40">
        <f t="shared" si="0"/>
        <v>104.26016326530613</v>
      </c>
      <c r="E15" s="41">
        <f t="shared" si="1"/>
        <v>16699.840000000026</v>
      </c>
    </row>
    <row r="16" spans="1:5" ht="13.5">
      <c r="A16" s="21" t="s">
        <v>153</v>
      </c>
      <c r="B16" s="36">
        <v>105000</v>
      </c>
      <c r="C16" s="86">
        <v>306031.82</v>
      </c>
      <c r="D16" s="40">
        <f t="shared" si="0"/>
        <v>291.4588761904762</v>
      </c>
      <c r="E16" s="41">
        <f t="shared" si="1"/>
        <v>201031.82</v>
      </c>
    </row>
    <row r="17" spans="1:5" ht="13.5">
      <c r="A17" s="21" t="s">
        <v>154</v>
      </c>
      <c r="B17" s="36">
        <v>287000</v>
      </c>
      <c r="C17" s="86">
        <v>102668.02</v>
      </c>
      <c r="D17" s="40">
        <f t="shared" si="0"/>
        <v>35.77282926829268</v>
      </c>
      <c r="E17" s="41">
        <f t="shared" si="1"/>
        <v>-184331.97999999998</v>
      </c>
    </row>
    <row r="18" spans="1:5" ht="13.5">
      <c r="A18" s="21" t="s">
        <v>187</v>
      </c>
      <c r="B18" s="36">
        <v>0</v>
      </c>
      <c r="C18" s="86">
        <v>1900</v>
      </c>
      <c r="D18" s="40" t="str">
        <f t="shared" si="0"/>
        <v>   </v>
      </c>
      <c r="E18" s="41">
        <f t="shared" si="1"/>
        <v>1900</v>
      </c>
    </row>
    <row r="19" spans="1:5" ht="18" customHeight="1">
      <c r="A19" s="21" t="s">
        <v>86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36" customHeight="1">
      <c r="A20" s="21" t="s">
        <v>28</v>
      </c>
      <c r="B20" s="36">
        <f>SUM(B21:B24)</f>
        <v>56000</v>
      </c>
      <c r="C20" s="36">
        <f>SUM(C21:C24)</f>
        <v>116112.13</v>
      </c>
      <c r="D20" s="40">
        <f t="shared" si="0"/>
        <v>207.3430892857143</v>
      </c>
      <c r="E20" s="41">
        <f t="shared" si="1"/>
        <v>60112.130000000005</v>
      </c>
    </row>
    <row r="21" spans="1:5" ht="13.5">
      <c r="A21" s="21" t="s">
        <v>29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13.5">
      <c r="A22" s="21" t="s">
        <v>144</v>
      </c>
      <c r="B22" s="36">
        <v>26000</v>
      </c>
      <c r="C22" s="107">
        <v>58976.25</v>
      </c>
      <c r="D22" s="40">
        <f t="shared" si="0"/>
        <v>226.83173076923077</v>
      </c>
      <c r="E22" s="41">
        <f t="shared" si="1"/>
        <v>32976.25</v>
      </c>
    </row>
    <row r="23" spans="1:5" ht="15.75" customHeight="1">
      <c r="A23" s="21" t="s">
        <v>30</v>
      </c>
      <c r="B23" s="36">
        <v>10000</v>
      </c>
      <c r="C23" s="36">
        <v>18637.08</v>
      </c>
      <c r="D23" s="40">
        <f t="shared" si="0"/>
        <v>186.3708</v>
      </c>
      <c r="E23" s="41">
        <f t="shared" si="1"/>
        <v>8637.080000000002</v>
      </c>
    </row>
    <row r="24" spans="1:5" ht="42" customHeight="1">
      <c r="A24" s="21" t="s">
        <v>215</v>
      </c>
      <c r="B24" s="36">
        <v>20000</v>
      </c>
      <c r="C24" s="86">
        <v>38498.8</v>
      </c>
      <c r="D24" s="40">
        <f t="shared" si="0"/>
        <v>192.494</v>
      </c>
      <c r="E24" s="41">
        <f t="shared" si="1"/>
        <v>18498.800000000003</v>
      </c>
    </row>
    <row r="25" spans="1:5" ht="15.75" customHeight="1">
      <c r="A25" s="21" t="s">
        <v>88</v>
      </c>
      <c r="B25" s="36">
        <v>0</v>
      </c>
      <c r="C25" s="86">
        <v>1106.18</v>
      </c>
      <c r="D25" s="40" t="str">
        <f t="shared" si="0"/>
        <v>   </v>
      </c>
      <c r="E25" s="41">
        <f t="shared" si="1"/>
        <v>1106.18</v>
      </c>
    </row>
    <row r="26" spans="1:5" ht="15" customHeight="1">
      <c r="A26" s="21" t="s">
        <v>78</v>
      </c>
      <c r="B26" s="36">
        <f>SUM(B27:B28)</f>
        <v>119000</v>
      </c>
      <c r="C26" s="36">
        <f>SUM(C27:C28)</f>
        <v>119343</v>
      </c>
      <c r="D26" s="40">
        <f t="shared" si="0"/>
        <v>100.28823529411765</v>
      </c>
      <c r="E26" s="41">
        <f t="shared" si="1"/>
        <v>343</v>
      </c>
    </row>
    <row r="27" spans="1:5" ht="13.5" customHeight="1">
      <c r="A27" s="21" t="s">
        <v>127</v>
      </c>
      <c r="B27" s="36">
        <v>119000</v>
      </c>
      <c r="C27" s="86">
        <v>119343</v>
      </c>
      <c r="D27" s="40">
        <f t="shared" si="0"/>
        <v>100.28823529411765</v>
      </c>
      <c r="E27" s="41">
        <f t="shared" si="1"/>
        <v>343</v>
      </c>
    </row>
    <row r="28" spans="1:5" ht="26.25" customHeight="1">
      <c r="A28" s="21" t="s">
        <v>79</v>
      </c>
      <c r="B28" s="36">
        <v>0</v>
      </c>
      <c r="C28" s="86">
        <v>0</v>
      </c>
      <c r="D28" s="40" t="str">
        <f t="shared" si="0"/>
        <v>   </v>
      </c>
      <c r="E28" s="41">
        <f t="shared" si="1"/>
        <v>0</v>
      </c>
    </row>
    <row r="29" spans="1:5" ht="16.5" customHeight="1">
      <c r="A29" s="21" t="s">
        <v>31</v>
      </c>
      <c r="B29" s="36">
        <v>0</v>
      </c>
      <c r="C29" s="36">
        <v>0</v>
      </c>
      <c r="D29" s="40"/>
      <c r="E29" s="41">
        <f t="shared" si="1"/>
        <v>0</v>
      </c>
    </row>
    <row r="30" spans="1:5" ht="18.75" customHeight="1">
      <c r="A30" s="21" t="s">
        <v>32</v>
      </c>
      <c r="B30" s="36">
        <f>B31+B33+B32</f>
        <v>91416.71</v>
      </c>
      <c r="C30" s="36">
        <f>C31+C33+C32</f>
        <v>35501.66</v>
      </c>
      <c r="D30" s="40">
        <f t="shared" si="0"/>
        <v>38.834978856710116</v>
      </c>
      <c r="E30" s="41">
        <f t="shared" si="1"/>
        <v>-55915.05</v>
      </c>
    </row>
    <row r="31" spans="1:5" ht="13.5" customHeight="1">
      <c r="A31" s="21" t="s">
        <v>121</v>
      </c>
      <c r="B31" s="36">
        <v>0</v>
      </c>
      <c r="C31" s="107">
        <v>-7.34</v>
      </c>
      <c r="D31" s="40" t="str">
        <f t="shared" si="0"/>
        <v>   </v>
      </c>
      <c r="E31" s="41">
        <f t="shared" si="1"/>
        <v>-7.34</v>
      </c>
    </row>
    <row r="32" spans="1:5" ht="13.5" customHeight="1">
      <c r="A32" s="21" t="s">
        <v>323</v>
      </c>
      <c r="B32" s="36">
        <v>91416.71</v>
      </c>
      <c r="C32" s="107">
        <v>35509</v>
      </c>
      <c r="D32" s="40"/>
      <c r="E32" s="41"/>
    </row>
    <row r="33" spans="1:5" ht="13.5" customHeight="1">
      <c r="A33" s="21" t="s">
        <v>122</v>
      </c>
      <c r="B33" s="36">
        <v>0</v>
      </c>
      <c r="C33" s="107">
        <v>0</v>
      </c>
      <c r="D33" s="40"/>
      <c r="E33" s="41">
        <f t="shared" si="1"/>
        <v>0</v>
      </c>
    </row>
    <row r="34" spans="1:5" ht="25.5" customHeight="1">
      <c r="A34" s="44" t="s">
        <v>10</v>
      </c>
      <c r="B34" s="156">
        <f>SUM(B7,B9,B11,B13,B19,B20,B25,B26,B29,B30,B18)</f>
        <v>2671116.71</v>
      </c>
      <c r="C34" s="156">
        <f>SUM(C7,C9,C11,C13,C19,C20,C25,C26,C29,C30,C18)</f>
        <v>1647405.46</v>
      </c>
      <c r="D34" s="46">
        <f t="shared" si="0"/>
        <v>61.67478395206475</v>
      </c>
      <c r="E34" s="47">
        <f t="shared" si="1"/>
        <v>-1023711.25</v>
      </c>
    </row>
    <row r="35" spans="1:5" ht="18.75" customHeight="1">
      <c r="A35" s="62" t="s">
        <v>132</v>
      </c>
      <c r="B35" s="145">
        <f>SUM(B36:B39,B43:B44,B49,B50,B51,B42)</f>
        <v>8611700</v>
      </c>
      <c r="C35" s="145">
        <f>SUM(C36:C39,C44:C44,C49,C50,C51,C42)</f>
        <v>4178408.19</v>
      </c>
      <c r="D35" s="46">
        <f t="shared" si="0"/>
        <v>48.52013179743837</v>
      </c>
      <c r="E35" s="47">
        <f t="shared" si="1"/>
        <v>-4433291.8100000005</v>
      </c>
    </row>
    <row r="36" spans="1:5" ht="16.5" customHeight="1">
      <c r="A36" s="38" t="s">
        <v>34</v>
      </c>
      <c r="B36" s="143">
        <v>4436700</v>
      </c>
      <c r="C36" s="86">
        <v>2961170</v>
      </c>
      <c r="D36" s="40">
        <f t="shared" si="0"/>
        <v>66.74262402235897</v>
      </c>
      <c r="E36" s="41">
        <f t="shared" si="1"/>
        <v>-1475530</v>
      </c>
    </row>
    <row r="37" spans="1:5" ht="16.5" customHeight="1">
      <c r="A37" s="38" t="s">
        <v>218</v>
      </c>
      <c r="B37" s="143">
        <v>0</v>
      </c>
      <c r="C37" s="86">
        <v>0</v>
      </c>
      <c r="D37" s="40" t="str">
        <f>IF(B37=0,"   ",C37/B37*100)</f>
        <v>   </v>
      </c>
      <c r="E37" s="41">
        <f>C37-B37</f>
        <v>0</v>
      </c>
    </row>
    <row r="38" spans="1:5" ht="24.75" customHeight="1">
      <c r="A38" s="52" t="s">
        <v>51</v>
      </c>
      <c r="B38" s="85">
        <v>207400</v>
      </c>
      <c r="C38" s="86">
        <v>124600</v>
      </c>
      <c r="D38" s="54">
        <f t="shared" si="0"/>
        <v>60.077145612343294</v>
      </c>
      <c r="E38" s="55">
        <f t="shared" si="1"/>
        <v>-82800</v>
      </c>
    </row>
    <row r="39" spans="1:5" ht="24.75" customHeight="1">
      <c r="A39" s="52" t="s">
        <v>140</v>
      </c>
      <c r="B39" s="85">
        <f>SUM(B40:B41)</f>
        <v>200</v>
      </c>
      <c r="C39" s="85">
        <f>SUM(C40:C41)</f>
        <v>200</v>
      </c>
      <c r="D39" s="54">
        <f t="shared" si="0"/>
        <v>100</v>
      </c>
      <c r="E39" s="55">
        <f t="shared" si="1"/>
        <v>0</v>
      </c>
    </row>
    <row r="40" spans="1:5" ht="12.75" customHeight="1">
      <c r="A40" s="52" t="s">
        <v>155</v>
      </c>
      <c r="B40" s="85">
        <v>200</v>
      </c>
      <c r="C40" s="85">
        <v>200</v>
      </c>
      <c r="D40" s="54">
        <f>IF(B40=0,"   ",C40/B40*100)</f>
        <v>100</v>
      </c>
      <c r="E40" s="55">
        <f>C40-B40</f>
        <v>0</v>
      </c>
    </row>
    <row r="41" spans="1:5" ht="24.75" customHeight="1">
      <c r="A41" s="52" t="s">
        <v>156</v>
      </c>
      <c r="B41" s="85">
        <v>0</v>
      </c>
      <c r="C41" s="85">
        <v>0</v>
      </c>
      <c r="D41" s="54" t="str">
        <f>IF(B41=0,"   ",C41/B41*100)</f>
        <v>   </v>
      </c>
      <c r="E41" s="55">
        <f>C41-B41</f>
        <v>0</v>
      </c>
    </row>
    <row r="42" spans="1:5" ht="41.25" customHeight="1">
      <c r="A42" s="21" t="s">
        <v>227</v>
      </c>
      <c r="B42" s="85">
        <v>716900</v>
      </c>
      <c r="C42" s="85">
        <v>625347.9</v>
      </c>
      <c r="D42" s="54">
        <f>IF(B42=0,"   ",C42/B42*100)</f>
        <v>87.22944622680988</v>
      </c>
      <c r="E42" s="55">
        <f>C42-B42</f>
        <v>-91552.09999999998</v>
      </c>
    </row>
    <row r="43" spans="1:5" ht="30" customHeight="1">
      <c r="A43" s="21" t="s">
        <v>253</v>
      </c>
      <c r="B43" s="85">
        <v>0</v>
      </c>
      <c r="C43" s="85">
        <v>0</v>
      </c>
      <c r="D43" s="54" t="str">
        <f>IF(B43=0,"   ",C43/B43*100)</f>
        <v>   </v>
      </c>
      <c r="E43" s="55">
        <f>C43-B43</f>
        <v>0</v>
      </c>
    </row>
    <row r="44" spans="1:5" ht="18" customHeight="1">
      <c r="A44" s="21" t="s">
        <v>55</v>
      </c>
      <c r="B44" s="36">
        <f>SUM(B45:B48)</f>
        <v>3204050</v>
      </c>
      <c r="C44" s="36">
        <f>SUM(C45:C48)</f>
        <v>443700</v>
      </c>
      <c r="D44" s="40">
        <f t="shared" si="0"/>
        <v>13.848098500335512</v>
      </c>
      <c r="E44" s="41">
        <f t="shared" si="1"/>
        <v>-2760350</v>
      </c>
    </row>
    <row r="45" spans="1:5" ht="18" customHeight="1">
      <c r="A45" s="21" t="s">
        <v>179</v>
      </c>
      <c r="B45" s="36">
        <v>275000</v>
      </c>
      <c r="C45" s="36">
        <v>0</v>
      </c>
      <c r="D45" s="40">
        <f t="shared" si="0"/>
        <v>0</v>
      </c>
      <c r="E45" s="41">
        <f t="shared" si="1"/>
        <v>-275000</v>
      </c>
    </row>
    <row r="46" spans="1:5" ht="16.5" customHeight="1">
      <c r="A46" s="21" t="s">
        <v>299</v>
      </c>
      <c r="B46" s="36">
        <v>80000</v>
      </c>
      <c r="C46" s="36">
        <v>0</v>
      </c>
      <c r="D46" s="40">
        <f t="shared" si="0"/>
        <v>0</v>
      </c>
      <c r="E46" s="41">
        <f t="shared" si="1"/>
        <v>-80000</v>
      </c>
    </row>
    <row r="47" spans="1:5" ht="18" customHeight="1">
      <c r="A47" s="21" t="s">
        <v>270</v>
      </c>
      <c r="B47" s="36">
        <v>2297350</v>
      </c>
      <c r="C47" s="36">
        <v>0</v>
      </c>
      <c r="D47" s="40">
        <f t="shared" si="0"/>
        <v>0</v>
      </c>
      <c r="E47" s="41">
        <f t="shared" si="1"/>
        <v>-2297350</v>
      </c>
    </row>
    <row r="48" spans="1:5" s="6" customFormat="1" ht="15.75" customHeight="1">
      <c r="A48" s="21" t="s">
        <v>104</v>
      </c>
      <c r="B48" s="36">
        <v>551700</v>
      </c>
      <c r="C48" s="36">
        <v>443700</v>
      </c>
      <c r="D48" s="36">
        <f t="shared" si="0"/>
        <v>80.4241435562806</v>
      </c>
      <c r="E48" s="41">
        <f t="shared" si="1"/>
        <v>-108000</v>
      </c>
    </row>
    <row r="49" spans="1:5" ht="27.75" customHeight="1">
      <c r="A49" s="21" t="s">
        <v>275</v>
      </c>
      <c r="B49" s="36">
        <v>0</v>
      </c>
      <c r="C49" s="36">
        <v>0</v>
      </c>
      <c r="D49" s="40" t="str">
        <f t="shared" si="0"/>
        <v>   </v>
      </c>
      <c r="E49" s="41">
        <f t="shared" si="1"/>
        <v>0</v>
      </c>
    </row>
    <row r="50" spans="1:5" ht="30" customHeight="1">
      <c r="A50" s="159" t="s">
        <v>332</v>
      </c>
      <c r="B50" s="36">
        <v>46450</v>
      </c>
      <c r="C50" s="36">
        <v>46450</v>
      </c>
      <c r="D50" s="40">
        <f t="shared" si="0"/>
        <v>100</v>
      </c>
      <c r="E50" s="41">
        <f t="shared" si="1"/>
        <v>0</v>
      </c>
    </row>
    <row r="51" spans="1:5" ht="15" customHeight="1">
      <c r="A51" s="21" t="s">
        <v>189</v>
      </c>
      <c r="B51" s="36">
        <v>0</v>
      </c>
      <c r="C51" s="36">
        <v>-23059.71</v>
      </c>
      <c r="D51" s="40" t="str">
        <f t="shared" si="0"/>
        <v>   </v>
      </c>
      <c r="E51" s="41">
        <f t="shared" si="1"/>
        <v>-23059.71</v>
      </c>
    </row>
    <row r="52" spans="1:5" ht="33" customHeight="1">
      <c r="A52" s="44" t="s">
        <v>11</v>
      </c>
      <c r="B52" s="116">
        <f>SUM(B34,B35,)</f>
        <v>11282816.71</v>
      </c>
      <c r="C52" s="116">
        <f>SUM(C34,C35,)</f>
        <v>5825813.65</v>
      </c>
      <c r="D52" s="46">
        <f t="shared" si="0"/>
        <v>51.63439059358787</v>
      </c>
      <c r="E52" s="47">
        <f t="shared" si="1"/>
        <v>-5457003.0600000005</v>
      </c>
    </row>
    <row r="53" spans="1:5" ht="12.75" customHeight="1">
      <c r="A53" s="33" t="s">
        <v>12</v>
      </c>
      <c r="B53" s="154"/>
      <c r="C53" s="155"/>
      <c r="D53" s="40" t="str">
        <f t="shared" si="0"/>
        <v>   </v>
      </c>
      <c r="E53" s="41"/>
    </row>
    <row r="54" spans="1:5" ht="24" customHeight="1">
      <c r="A54" s="21" t="s">
        <v>35</v>
      </c>
      <c r="B54" s="36">
        <f>SUM(B55,B58,B59)</f>
        <v>1396764</v>
      </c>
      <c r="C54" s="36">
        <f>SUM(C55,C58,C59)</f>
        <v>923442.16</v>
      </c>
      <c r="D54" s="40">
        <f t="shared" si="0"/>
        <v>66.11296969280423</v>
      </c>
      <c r="E54" s="41">
        <f t="shared" si="1"/>
        <v>-473321.83999999997</v>
      </c>
    </row>
    <row r="55" spans="1:5" ht="12.75" customHeight="1">
      <c r="A55" s="21" t="s">
        <v>36</v>
      </c>
      <c r="B55" s="36">
        <v>1356264</v>
      </c>
      <c r="C55" s="36">
        <v>890942.16</v>
      </c>
      <c r="D55" s="40">
        <f t="shared" si="0"/>
        <v>65.69090973438799</v>
      </c>
      <c r="E55" s="41">
        <f t="shared" si="1"/>
        <v>-465321.83999999997</v>
      </c>
    </row>
    <row r="56" spans="1:5" ht="13.5">
      <c r="A56" s="21" t="s">
        <v>116</v>
      </c>
      <c r="B56" s="36">
        <v>778418</v>
      </c>
      <c r="C56" s="99">
        <v>537910.97</v>
      </c>
      <c r="D56" s="40">
        <f t="shared" si="0"/>
        <v>69.10310013386123</v>
      </c>
      <c r="E56" s="41">
        <f t="shared" si="1"/>
        <v>-240507.03000000003</v>
      </c>
    </row>
    <row r="57" spans="1:5" ht="13.5">
      <c r="A57" s="21" t="s">
        <v>334</v>
      </c>
      <c r="B57" s="36">
        <v>46450</v>
      </c>
      <c r="C57" s="99">
        <v>46450</v>
      </c>
      <c r="D57" s="40">
        <f>IF(B57=0,"   ",C57/B57*100)</f>
        <v>100</v>
      </c>
      <c r="E57" s="41">
        <f>C57-B57</f>
        <v>0</v>
      </c>
    </row>
    <row r="58" spans="1:5" ht="13.5">
      <c r="A58" s="21" t="s">
        <v>91</v>
      </c>
      <c r="B58" s="36">
        <v>500</v>
      </c>
      <c r="C58" s="107">
        <v>0</v>
      </c>
      <c r="D58" s="40">
        <f t="shared" si="0"/>
        <v>0</v>
      </c>
      <c r="E58" s="41">
        <f t="shared" si="1"/>
        <v>-500</v>
      </c>
    </row>
    <row r="59" spans="1:5" ht="13.5">
      <c r="A59" s="21" t="s">
        <v>52</v>
      </c>
      <c r="B59" s="107">
        <f>SUM(B60)</f>
        <v>40000</v>
      </c>
      <c r="C59" s="107">
        <f>SUM(C60:C60)</f>
        <v>32500</v>
      </c>
      <c r="D59" s="40">
        <f t="shared" si="0"/>
        <v>81.25</v>
      </c>
      <c r="E59" s="41">
        <f t="shared" si="1"/>
        <v>-7500</v>
      </c>
    </row>
    <row r="60" spans="1:5" ht="25.5" customHeight="1">
      <c r="A60" s="17" t="s">
        <v>233</v>
      </c>
      <c r="B60" s="36">
        <v>40000</v>
      </c>
      <c r="C60" s="107">
        <v>32500</v>
      </c>
      <c r="D60" s="40">
        <f t="shared" si="0"/>
        <v>81.25</v>
      </c>
      <c r="E60" s="41">
        <f t="shared" si="1"/>
        <v>-7500</v>
      </c>
    </row>
    <row r="61" spans="1:5" ht="15" customHeight="1">
      <c r="A61" s="21" t="s">
        <v>49</v>
      </c>
      <c r="B61" s="107">
        <f>SUM(B62)</f>
        <v>207400</v>
      </c>
      <c r="C61" s="107">
        <f>SUM(C62)</f>
        <v>123537.34</v>
      </c>
      <c r="D61" s="40">
        <f t="shared" si="0"/>
        <v>59.56477338476374</v>
      </c>
      <c r="E61" s="41">
        <f t="shared" si="1"/>
        <v>-83862.66</v>
      </c>
    </row>
    <row r="62" spans="1:5" ht="12" customHeight="1">
      <c r="A62" s="21" t="s">
        <v>102</v>
      </c>
      <c r="B62" s="36">
        <v>207400</v>
      </c>
      <c r="C62" s="107">
        <v>123537.34</v>
      </c>
      <c r="D62" s="40">
        <f t="shared" si="0"/>
        <v>59.56477338476374</v>
      </c>
      <c r="E62" s="41">
        <f t="shared" si="1"/>
        <v>-83862.66</v>
      </c>
    </row>
    <row r="63" spans="1:5" ht="16.5" customHeight="1">
      <c r="A63" s="21" t="s">
        <v>37</v>
      </c>
      <c r="B63" s="36">
        <f>SUM(B64)</f>
        <v>5000</v>
      </c>
      <c r="C63" s="107">
        <f>SUM(C64)</f>
        <v>0</v>
      </c>
      <c r="D63" s="40">
        <f t="shared" si="0"/>
        <v>0</v>
      </c>
      <c r="E63" s="41">
        <f t="shared" si="1"/>
        <v>-5000</v>
      </c>
    </row>
    <row r="64" spans="1:5" ht="18" customHeight="1">
      <c r="A64" s="60" t="s">
        <v>325</v>
      </c>
      <c r="B64" s="36">
        <v>5000</v>
      </c>
      <c r="C64" s="107">
        <v>0</v>
      </c>
      <c r="D64" s="40">
        <f t="shared" si="0"/>
        <v>0</v>
      </c>
      <c r="E64" s="41">
        <f t="shared" si="1"/>
        <v>-5000</v>
      </c>
    </row>
    <row r="65" spans="1:5" ht="21.75" customHeight="1">
      <c r="A65" s="21" t="s">
        <v>38</v>
      </c>
      <c r="B65" s="107">
        <f>B71+B66+B79</f>
        <v>2422798.68</v>
      </c>
      <c r="C65" s="107">
        <f>C71+C66+C79</f>
        <v>1262219.5799999998</v>
      </c>
      <c r="D65" s="40">
        <f t="shared" si="0"/>
        <v>52.09758410467682</v>
      </c>
      <c r="E65" s="41">
        <f t="shared" si="1"/>
        <v>-1160579.1000000003</v>
      </c>
    </row>
    <row r="66" spans="1:5" ht="21.75" customHeight="1">
      <c r="A66" s="60" t="s">
        <v>157</v>
      </c>
      <c r="B66" s="36">
        <f>SUM(B67:B70)</f>
        <v>89200</v>
      </c>
      <c r="C66" s="36">
        <f>SUM(C67:C70)</f>
        <v>0</v>
      </c>
      <c r="D66" s="40">
        <f>IF(B66=0,"   ",C66/B66*100)</f>
        <v>0</v>
      </c>
      <c r="E66" s="41">
        <f>C66-B66</f>
        <v>-89200</v>
      </c>
    </row>
    <row r="67" spans="1:5" ht="11.25" customHeight="1">
      <c r="A67" s="60" t="s">
        <v>158</v>
      </c>
      <c r="B67" s="36">
        <v>0</v>
      </c>
      <c r="C67" s="114">
        <v>0</v>
      </c>
      <c r="D67" s="40" t="str">
        <f>IF(B67=0,"   ",C67/B67*100)</f>
        <v>   </v>
      </c>
      <c r="E67" s="41">
        <f>C67-B67</f>
        <v>0</v>
      </c>
    </row>
    <row r="68" spans="1:5" ht="12" customHeight="1">
      <c r="A68" s="60" t="s">
        <v>161</v>
      </c>
      <c r="B68" s="96">
        <v>0</v>
      </c>
      <c r="C68" s="114">
        <v>0</v>
      </c>
      <c r="D68" s="40" t="str">
        <f>IF(B68=0,"   ",C68/B68*100)</f>
        <v>   </v>
      </c>
      <c r="E68" s="41">
        <f>C68-B68</f>
        <v>0</v>
      </c>
    </row>
    <row r="69" spans="1:5" ht="15.75" customHeight="1">
      <c r="A69" s="60" t="s">
        <v>300</v>
      </c>
      <c r="B69" s="96">
        <v>80000</v>
      </c>
      <c r="C69" s="114">
        <v>0</v>
      </c>
      <c r="D69" s="40">
        <f>IF(B69=0,"   ",C69/B69*100)</f>
        <v>0</v>
      </c>
      <c r="E69" s="41">
        <f>C69-B69</f>
        <v>-80000</v>
      </c>
    </row>
    <row r="70" spans="1:5" ht="12" customHeight="1">
      <c r="A70" s="60" t="s">
        <v>301</v>
      </c>
      <c r="B70" s="96">
        <v>9200</v>
      </c>
      <c r="C70" s="114">
        <v>0</v>
      </c>
      <c r="D70" s="40">
        <f>IF(B70=0,"   ",C70/B70*100)</f>
        <v>0</v>
      </c>
      <c r="E70" s="41">
        <f>C70-B70</f>
        <v>-9200</v>
      </c>
    </row>
    <row r="71" spans="1:5" ht="15.75" customHeight="1">
      <c r="A71" s="68" t="s">
        <v>124</v>
      </c>
      <c r="B71" s="96">
        <f>SUM(B72:B78)</f>
        <v>2184300</v>
      </c>
      <c r="C71" s="96">
        <f>SUM(C72:C78)</f>
        <v>1212920.9</v>
      </c>
      <c r="D71" s="40">
        <f t="shared" si="0"/>
        <v>55.529043629538066</v>
      </c>
      <c r="E71" s="41">
        <f t="shared" si="1"/>
        <v>-971379.1000000001</v>
      </c>
    </row>
    <row r="72" spans="1:5" ht="18" customHeight="1">
      <c r="A72" s="60" t="s">
        <v>141</v>
      </c>
      <c r="B72" s="36">
        <v>0</v>
      </c>
      <c r="C72" s="107">
        <v>0</v>
      </c>
      <c r="D72" s="40" t="str">
        <f t="shared" si="0"/>
        <v>   </v>
      </c>
      <c r="E72" s="41">
        <f t="shared" si="1"/>
        <v>0</v>
      </c>
    </row>
    <row r="73" spans="1:5" ht="30.75" customHeight="1">
      <c r="A73" s="17" t="s">
        <v>238</v>
      </c>
      <c r="B73" s="36">
        <v>774700</v>
      </c>
      <c r="C73" s="107">
        <v>14873</v>
      </c>
      <c r="D73" s="40">
        <f t="shared" si="0"/>
        <v>1.919839938040532</v>
      </c>
      <c r="E73" s="41">
        <f t="shared" si="1"/>
        <v>-759827</v>
      </c>
    </row>
    <row r="74" spans="1:5" ht="29.25" customHeight="1">
      <c r="A74" s="17" t="s">
        <v>239</v>
      </c>
      <c r="B74" s="36">
        <v>0</v>
      </c>
      <c r="C74" s="107">
        <v>0</v>
      </c>
      <c r="D74" s="40" t="str">
        <f t="shared" si="0"/>
        <v>   </v>
      </c>
      <c r="E74" s="41">
        <f t="shared" si="1"/>
        <v>0</v>
      </c>
    </row>
    <row r="75" spans="1:5" ht="27" customHeight="1">
      <c r="A75" s="17" t="s">
        <v>240</v>
      </c>
      <c r="B75" s="36">
        <v>716900</v>
      </c>
      <c r="C75" s="107">
        <v>625347.9</v>
      </c>
      <c r="D75" s="40">
        <f t="shared" si="0"/>
        <v>87.22944622680988</v>
      </c>
      <c r="E75" s="41">
        <f t="shared" si="1"/>
        <v>-91552.09999999998</v>
      </c>
    </row>
    <row r="76" spans="1:5" ht="27" customHeight="1">
      <c r="A76" s="17" t="s">
        <v>241</v>
      </c>
      <c r="B76" s="108">
        <v>79700</v>
      </c>
      <c r="C76" s="107">
        <v>79700</v>
      </c>
      <c r="D76" s="40">
        <f t="shared" si="0"/>
        <v>100</v>
      </c>
      <c r="E76" s="41">
        <f t="shared" si="1"/>
        <v>0</v>
      </c>
    </row>
    <row r="77" spans="1:5" ht="27" customHeight="1">
      <c r="A77" s="17" t="s">
        <v>242</v>
      </c>
      <c r="B77" s="108">
        <v>551700</v>
      </c>
      <c r="C77" s="107">
        <v>443700</v>
      </c>
      <c r="D77" s="40">
        <f t="shared" si="0"/>
        <v>80.4241435562806</v>
      </c>
      <c r="E77" s="41">
        <f t="shared" si="1"/>
        <v>-108000</v>
      </c>
    </row>
    <row r="78" spans="1:5" ht="27" customHeight="1">
      <c r="A78" s="62" t="s">
        <v>243</v>
      </c>
      <c r="B78" s="108">
        <v>61300</v>
      </c>
      <c r="C78" s="107">
        <v>49300</v>
      </c>
      <c r="D78" s="40">
        <f t="shared" si="0"/>
        <v>80.4241435562806</v>
      </c>
      <c r="E78" s="41">
        <f t="shared" si="1"/>
        <v>-12000</v>
      </c>
    </row>
    <row r="79" spans="1:5" ht="17.25" customHeight="1">
      <c r="A79" s="62" t="s">
        <v>168</v>
      </c>
      <c r="B79" s="108">
        <f>SUM(B80:B81)</f>
        <v>149298.68</v>
      </c>
      <c r="C79" s="108">
        <f>SUM(C80:C81)</f>
        <v>49298.68</v>
      </c>
      <c r="D79" s="40">
        <f>IF(B79=0,"   ",C79/B79*100)</f>
        <v>33.02017137726871</v>
      </c>
      <c r="E79" s="41">
        <f>C79-B79</f>
        <v>-100000</v>
      </c>
    </row>
    <row r="80" spans="1:5" ht="33" customHeight="1">
      <c r="A80" s="62" t="s">
        <v>147</v>
      </c>
      <c r="B80" s="108">
        <v>99298.68</v>
      </c>
      <c r="C80" s="107">
        <v>49298.68</v>
      </c>
      <c r="D80" s="40">
        <f>IF(B80=0,"   ",C80/B80*100)</f>
        <v>49.646863382272564</v>
      </c>
      <c r="E80" s="41">
        <f>C80-B80</f>
        <v>-49999.99999999999</v>
      </c>
    </row>
    <row r="81" spans="1:5" ht="27" customHeight="1">
      <c r="A81" s="62" t="s">
        <v>169</v>
      </c>
      <c r="B81" s="108">
        <v>50000</v>
      </c>
      <c r="C81" s="107">
        <v>0</v>
      </c>
      <c r="D81" s="40">
        <f>IF(B81=0,"   ",C81/B81*100)</f>
        <v>0</v>
      </c>
      <c r="E81" s="41">
        <f>C81-B81</f>
        <v>-50000</v>
      </c>
    </row>
    <row r="82" spans="1:5" ht="20.25" customHeight="1">
      <c r="A82" s="21" t="s">
        <v>13</v>
      </c>
      <c r="B82" s="36">
        <f>SUM(B83,B85,B96,B105)</f>
        <v>4915030.24</v>
      </c>
      <c r="C82" s="36">
        <f>SUM(C83,C85,C96,C105)</f>
        <v>800449.84</v>
      </c>
      <c r="D82" s="40">
        <f t="shared" si="0"/>
        <v>16.285756158440236</v>
      </c>
      <c r="E82" s="41">
        <f t="shared" si="1"/>
        <v>-4114580.4000000004</v>
      </c>
    </row>
    <row r="83" spans="1:5" ht="13.5">
      <c r="A83" s="21" t="s">
        <v>14</v>
      </c>
      <c r="B83" s="36">
        <f>SUM(B84:B84)</f>
        <v>430000</v>
      </c>
      <c r="C83" s="36">
        <f>SUM(C84:C84)</f>
        <v>0</v>
      </c>
      <c r="D83" s="40">
        <f t="shared" si="0"/>
        <v>0</v>
      </c>
      <c r="E83" s="41">
        <f t="shared" si="1"/>
        <v>-430000</v>
      </c>
    </row>
    <row r="84" spans="1:5" ht="15.75" customHeight="1">
      <c r="A84" s="21" t="s">
        <v>93</v>
      </c>
      <c r="B84" s="36">
        <v>430000</v>
      </c>
      <c r="C84" s="107">
        <v>0</v>
      </c>
      <c r="D84" s="40">
        <f t="shared" si="0"/>
        <v>0</v>
      </c>
      <c r="E84" s="41">
        <f t="shared" si="1"/>
        <v>-430000</v>
      </c>
    </row>
    <row r="85" spans="1:5" ht="13.5">
      <c r="A85" s="21" t="s">
        <v>87</v>
      </c>
      <c r="B85" s="36">
        <f>SUM(B86:B92)</f>
        <v>3384830.2399999998</v>
      </c>
      <c r="C85" s="36">
        <f>SUM(C86:C92)</f>
        <v>135000</v>
      </c>
      <c r="D85" s="40">
        <f t="shared" si="0"/>
        <v>3.9883831810720296</v>
      </c>
      <c r="E85" s="41">
        <f t="shared" si="1"/>
        <v>-3249830.2399999998</v>
      </c>
    </row>
    <row r="86" spans="1:5" ht="13.5">
      <c r="A86" s="21" t="s">
        <v>273</v>
      </c>
      <c r="B86" s="36">
        <v>2297350</v>
      </c>
      <c r="C86" s="36">
        <v>0</v>
      </c>
      <c r="D86" s="40">
        <f aca="true" t="shared" si="2" ref="D86:D94">IF(B86=0,"   ",C86/B86*100)</f>
        <v>0</v>
      </c>
      <c r="E86" s="41">
        <f aca="true" t="shared" si="3" ref="E86:E94">C86-B86</f>
        <v>-2297350</v>
      </c>
    </row>
    <row r="87" spans="1:5" ht="13.5">
      <c r="A87" s="21" t="s">
        <v>282</v>
      </c>
      <c r="B87" s="36">
        <v>155090</v>
      </c>
      <c r="C87" s="36">
        <v>0</v>
      </c>
      <c r="D87" s="40">
        <f t="shared" si="2"/>
        <v>0</v>
      </c>
      <c r="E87" s="41">
        <f t="shared" si="3"/>
        <v>-155090</v>
      </c>
    </row>
    <row r="88" spans="1:5" ht="13.5">
      <c r="A88" s="38" t="s">
        <v>151</v>
      </c>
      <c r="B88" s="36">
        <v>30000</v>
      </c>
      <c r="C88" s="36">
        <v>30000</v>
      </c>
      <c r="D88" s="40">
        <f t="shared" si="2"/>
        <v>100</v>
      </c>
      <c r="E88" s="41">
        <f t="shared" si="3"/>
        <v>0</v>
      </c>
    </row>
    <row r="89" spans="1:5" ht="13.5">
      <c r="A89" s="38" t="s">
        <v>328</v>
      </c>
      <c r="B89" s="36">
        <v>60000</v>
      </c>
      <c r="C89" s="36">
        <v>0</v>
      </c>
      <c r="D89" s="40">
        <f t="shared" si="2"/>
        <v>0</v>
      </c>
      <c r="E89" s="41">
        <f t="shared" si="3"/>
        <v>-60000</v>
      </c>
    </row>
    <row r="90" spans="1:5" ht="13.5">
      <c r="A90" s="21" t="s">
        <v>326</v>
      </c>
      <c r="B90" s="36">
        <v>294028.4</v>
      </c>
      <c r="C90" s="36">
        <v>105000</v>
      </c>
      <c r="D90" s="40">
        <f t="shared" si="2"/>
        <v>35.710836096105</v>
      </c>
      <c r="E90" s="41">
        <f t="shared" si="3"/>
        <v>-189028.40000000002</v>
      </c>
    </row>
    <row r="91" spans="1:5" ht="14.25" customHeight="1">
      <c r="A91" s="38" t="s">
        <v>329</v>
      </c>
      <c r="B91" s="36">
        <v>90000</v>
      </c>
      <c r="C91" s="36">
        <v>0</v>
      </c>
      <c r="D91" s="40">
        <f t="shared" si="2"/>
        <v>0</v>
      </c>
      <c r="E91" s="41">
        <f t="shared" si="3"/>
        <v>-90000</v>
      </c>
    </row>
    <row r="92" spans="1:5" ht="16.5" customHeight="1">
      <c r="A92" s="17" t="s">
        <v>196</v>
      </c>
      <c r="B92" s="36">
        <f>SUM(B93:B95)</f>
        <v>458361.83999999997</v>
      </c>
      <c r="C92" s="36">
        <f>SUM(C93:C95)</f>
        <v>0</v>
      </c>
      <c r="D92" s="40">
        <f t="shared" si="2"/>
        <v>0</v>
      </c>
      <c r="E92" s="41">
        <f t="shared" si="3"/>
        <v>-458361.83999999997</v>
      </c>
    </row>
    <row r="93" spans="1:5" ht="27">
      <c r="A93" s="17" t="s">
        <v>203</v>
      </c>
      <c r="B93" s="36">
        <v>275000</v>
      </c>
      <c r="C93" s="36">
        <v>0</v>
      </c>
      <c r="D93" s="40">
        <f t="shared" si="2"/>
        <v>0</v>
      </c>
      <c r="E93" s="41">
        <f t="shared" si="3"/>
        <v>-275000</v>
      </c>
    </row>
    <row r="94" spans="1:5" ht="27">
      <c r="A94" s="17" t="s">
        <v>204</v>
      </c>
      <c r="B94" s="36">
        <v>91680.92</v>
      </c>
      <c r="C94" s="36">
        <v>0</v>
      </c>
      <c r="D94" s="40">
        <f t="shared" si="2"/>
        <v>0</v>
      </c>
      <c r="E94" s="41">
        <f t="shared" si="3"/>
        <v>-91680.92</v>
      </c>
    </row>
    <row r="95" spans="1:5" ht="27">
      <c r="A95" s="17" t="s">
        <v>205</v>
      </c>
      <c r="B95" s="36">
        <v>91680.92</v>
      </c>
      <c r="C95" s="107">
        <v>0</v>
      </c>
      <c r="D95" s="40">
        <f t="shared" si="0"/>
        <v>0</v>
      </c>
      <c r="E95" s="41">
        <f t="shared" si="1"/>
        <v>-91680.92</v>
      </c>
    </row>
    <row r="96" spans="1:5" ht="13.5">
      <c r="A96" s="21" t="s">
        <v>69</v>
      </c>
      <c r="B96" s="36">
        <f>B97+B98+B99+B101+B100</f>
        <v>1100000</v>
      </c>
      <c r="C96" s="36">
        <f>C97+C98+C99+C101+C100</f>
        <v>665249.84</v>
      </c>
      <c r="D96" s="40">
        <f t="shared" si="0"/>
        <v>60.477258181818186</v>
      </c>
      <c r="E96" s="41">
        <f t="shared" si="1"/>
        <v>-434750.16000000003</v>
      </c>
    </row>
    <row r="97" spans="1:5" ht="13.5">
      <c r="A97" s="21" t="s">
        <v>56</v>
      </c>
      <c r="B97" s="36">
        <v>1000000</v>
      </c>
      <c r="C97" s="107">
        <v>613107.84</v>
      </c>
      <c r="D97" s="40">
        <f t="shared" si="0"/>
        <v>61.310784</v>
      </c>
      <c r="E97" s="41">
        <f t="shared" si="1"/>
        <v>-386892.16000000003</v>
      </c>
    </row>
    <row r="98" spans="1:5" ht="13.5">
      <c r="A98" s="21" t="s">
        <v>57</v>
      </c>
      <c r="B98" s="36">
        <v>0</v>
      </c>
      <c r="C98" s="107">
        <v>0</v>
      </c>
      <c r="D98" s="40" t="str">
        <f t="shared" si="0"/>
        <v>   </v>
      </c>
      <c r="E98" s="41">
        <f t="shared" si="1"/>
        <v>0</v>
      </c>
    </row>
    <row r="99" spans="1:5" ht="27">
      <c r="A99" s="21" t="s">
        <v>330</v>
      </c>
      <c r="B99" s="36">
        <v>100000</v>
      </c>
      <c r="C99" s="107">
        <v>52142</v>
      </c>
      <c r="D99" s="40">
        <f t="shared" si="0"/>
        <v>52.141999999999996</v>
      </c>
      <c r="E99" s="41">
        <f t="shared" si="1"/>
        <v>-47858</v>
      </c>
    </row>
    <row r="100" spans="1:5" ht="27">
      <c r="A100" s="17" t="s">
        <v>274</v>
      </c>
      <c r="B100" s="36">
        <v>0</v>
      </c>
      <c r="C100" s="107">
        <v>0</v>
      </c>
      <c r="D100" s="40" t="str">
        <f t="shared" si="0"/>
        <v>   </v>
      </c>
      <c r="E100" s="41">
        <f t="shared" si="1"/>
        <v>0</v>
      </c>
    </row>
    <row r="101" spans="1:5" ht="15.75" customHeight="1">
      <c r="A101" s="17" t="s">
        <v>196</v>
      </c>
      <c r="B101" s="36">
        <f>SUM(B102:B104)</f>
        <v>0</v>
      </c>
      <c r="C101" s="36">
        <f>SUM(C102:C104)</f>
        <v>0</v>
      </c>
      <c r="D101" s="40" t="str">
        <f aca="true" t="shared" si="4" ref="D101:D106">IF(B101=0,"   ",C101/B101*100)</f>
        <v>   </v>
      </c>
      <c r="E101" s="41">
        <f aca="true" t="shared" si="5" ref="E101:E106">C101-B101</f>
        <v>0</v>
      </c>
    </row>
    <row r="102" spans="1:5" ht="27">
      <c r="A102" s="17" t="s">
        <v>203</v>
      </c>
      <c r="B102" s="36">
        <v>0</v>
      </c>
      <c r="C102" s="107">
        <v>0</v>
      </c>
      <c r="D102" s="40" t="str">
        <f t="shared" si="4"/>
        <v>   </v>
      </c>
      <c r="E102" s="41">
        <f t="shared" si="5"/>
        <v>0</v>
      </c>
    </row>
    <row r="103" spans="1:5" ht="27">
      <c r="A103" s="17" t="s">
        <v>204</v>
      </c>
      <c r="B103" s="36">
        <v>0</v>
      </c>
      <c r="C103" s="107">
        <v>0</v>
      </c>
      <c r="D103" s="40" t="str">
        <f t="shared" si="4"/>
        <v>   </v>
      </c>
      <c r="E103" s="41">
        <f t="shared" si="5"/>
        <v>0</v>
      </c>
    </row>
    <row r="104" spans="1:5" ht="27.75" thickBot="1">
      <c r="A104" s="17" t="s">
        <v>205</v>
      </c>
      <c r="B104" s="36">
        <v>0</v>
      </c>
      <c r="C104" s="107">
        <v>0</v>
      </c>
      <c r="D104" s="40" t="str">
        <f t="shared" si="4"/>
        <v>   </v>
      </c>
      <c r="E104" s="41">
        <f t="shared" si="5"/>
        <v>0</v>
      </c>
    </row>
    <row r="105" spans="1:5" ht="14.25" thickBot="1">
      <c r="A105" s="62" t="s">
        <v>311</v>
      </c>
      <c r="B105" s="111">
        <f>SUM(B106)</f>
        <v>200</v>
      </c>
      <c r="C105" s="111">
        <f>SUM(C106)</f>
        <v>200</v>
      </c>
      <c r="D105" s="40">
        <f t="shared" si="4"/>
        <v>100</v>
      </c>
      <c r="E105" s="41">
        <f t="shared" si="5"/>
        <v>0</v>
      </c>
    </row>
    <row r="106" spans="1:5" ht="13.5">
      <c r="A106" s="62" t="s">
        <v>262</v>
      </c>
      <c r="B106" s="36">
        <v>200</v>
      </c>
      <c r="C106" s="99">
        <v>200</v>
      </c>
      <c r="D106" s="40">
        <f t="shared" si="4"/>
        <v>100</v>
      </c>
      <c r="E106" s="41">
        <f t="shared" si="5"/>
        <v>0</v>
      </c>
    </row>
    <row r="107" spans="1:5" ht="20.25" customHeight="1">
      <c r="A107" s="21" t="s">
        <v>17</v>
      </c>
      <c r="B107" s="36">
        <v>0</v>
      </c>
      <c r="C107" s="36">
        <v>0</v>
      </c>
      <c r="D107" s="40" t="str">
        <f t="shared" si="0"/>
        <v>   </v>
      </c>
      <c r="E107" s="41">
        <f t="shared" si="1"/>
        <v>0</v>
      </c>
    </row>
    <row r="108" spans="1:5" ht="18" customHeight="1">
      <c r="A108" s="21" t="s">
        <v>41</v>
      </c>
      <c r="B108" s="143">
        <f>SUM(B109,)</f>
        <v>2469800</v>
      </c>
      <c r="C108" s="143">
        <f>SUM(C109,)</f>
        <v>2104003.84</v>
      </c>
      <c r="D108" s="40">
        <f t="shared" si="0"/>
        <v>85.18923961454368</v>
      </c>
      <c r="E108" s="41">
        <f t="shared" si="1"/>
        <v>-365796.16000000015</v>
      </c>
    </row>
    <row r="109" spans="1:5" ht="14.25" customHeight="1">
      <c r="A109" s="21" t="s">
        <v>42</v>
      </c>
      <c r="B109" s="36">
        <v>2469800</v>
      </c>
      <c r="C109" s="107">
        <v>2104003.84</v>
      </c>
      <c r="D109" s="40">
        <f t="shared" si="0"/>
        <v>85.18923961454368</v>
      </c>
      <c r="E109" s="41">
        <f t="shared" si="1"/>
        <v>-365796.16000000015</v>
      </c>
    </row>
    <row r="110" spans="1:5" ht="18.75" customHeight="1">
      <c r="A110" s="21" t="s">
        <v>119</v>
      </c>
      <c r="B110" s="36">
        <f>SUM(B111,)</f>
        <v>20000</v>
      </c>
      <c r="C110" s="36">
        <f>C111</f>
        <v>20000</v>
      </c>
      <c r="D110" s="40">
        <f t="shared" si="0"/>
        <v>100</v>
      </c>
      <c r="E110" s="41">
        <f t="shared" si="1"/>
        <v>0</v>
      </c>
    </row>
    <row r="111" spans="1:5" ht="12.75" customHeight="1">
      <c r="A111" s="21" t="s">
        <v>43</v>
      </c>
      <c r="B111" s="36">
        <v>20000</v>
      </c>
      <c r="C111" s="99">
        <v>20000</v>
      </c>
      <c r="D111" s="40">
        <f t="shared" si="0"/>
        <v>100</v>
      </c>
      <c r="E111" s="41">
        <f t="shared" si="1"/>
        <v>0</v>
      </c>
    </row>
    <row r="112" spans="1:5" ht="30.75" customHeight="1">
      <c r="A112" s="44" t="s">
        <v>15</v>
      </c>
      <c r="B112" s="116">
        <f>SUM(B54,B61,B63,B65,B82,B107,B108,B110,)</f>
        <v>11436792.92</v>
      </c>
      <c r="C112" s="116">
        <f>SUM(C54,C61,C63,C65,C82,C107,C108,C110,)</f>
        <v>5233652.76</v>
      </c>
      <c r="D112" s="46">
        <f>IF(B112=0,"   ",C112/B112*100)</f>
        <v>45.76154168925881</v>
      </c>
      <c r="E112" s="47">
        <f t="shared" si="1"/>
        <v>-6203140.16</v>
      </c>
    </row>
    <row r="113" spans="1:5" s="13" customFormat="1" ht="30.75" customHeight="1">
      <c r="A113" s="71" t="s">
        <v>291</v>
      </c>
      <c r="B113" s="71"/>
      <c r="C113" s="165"/>
      <c r="D113" s="165"/>
      <c r="E113" s="165"/>
    </row>
    <row r="114" spans="1:5" s="13" customFormat="1" ht="12" customHeight="1">
      <c r="A114" s="71" t="s">
        <v>146</v>
      </c>
      <c r="B114" s="71"/>
      <c r="C114" s="72" t="s">
        <v>292</v>
      </c>
      <c r="D114" s="73"/>
      <c r="E114" s="74"/>
    </row>
    <row r="115" spans="1:5" ht="15" customHeight="1">
      <c r="A115" s="71"/>
      <c r="B115" s="71"/>
      <c r="C115" s="117"/>
      <c r="D115" s="71"/>
      <c r="E115" s="118"/>
    </row>
    <row r="116" spans="1:5" ht="12" customHeight="1">
      <c r="A116" s="71"/>
      <c r="B116" s="71"/>
      <c r="C116" s="72"/>
      <c r="D116" s="73"/>
      <c r="E116" s="74"/>
    </row>
    <row r="117" spans="1:5" ht="12.75">
      <c r="A117" s="6"/>
      <c r="B117" s="6"/>
      <c r="C117" s="5"/>
      <c r="D117" s="6"/>
      <c r="E117" s="2"/>
    </row>
    <row r="118" spans="1:5" ht="12.75">
      <c r="A118" s="6"/>
      <c r="B118" s="6"/>
      <c r="C118" s="5"/>
      <c r="D118" s="6"/>
      <c r="E118" s="2"/>
    </row>
    <row r="119" spans="1:5" ht="12.75">
      <c r="A119" s="6"/>
      <c r="B119" s="6"/>
      <c r="C119" s="5"/>
      <c r="D119" s="6"/>
      <c r="E119" s="2"/>
    </row>
    <row r="120" spans="1:5" ht="12.75">
      <c r="A120" s="6"/>
      <c r="B120" s="6"/>
      <c r="C120" s="5"/>
      <c r="D120" s="6"/>
      <c r="E120" s="2"/>
    </row>
  </sheetData>
  <sheetProtection/>
  <mergeCells count="2">
    <mergeCell ref="A1:E1"/>
    <mergeCell ref="C113:E113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2021-09-03T04:51:51Z</cp:lastPrinted>
  <dcterms:created xsi:type="dcterms:W3CDTF">2001-03-21T05:21:19Z</dcterms:created>
  <dcterms:modified xsi:type="dcterms:W3CDTF">2021-09-03T04:52:31Z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