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Иль!$A$1:$F$105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Иль!$19:$24,Иль!$30:$40,Иль!$46:$46,Иль!$48:$51,Иль!$59:$59,Иль!$61:$63,Иль!$69:$70,Иль!$79:$80,Иль!$82:$82,Иль!$87:$91,Иль!$94:$101,Иль!$144:$144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19" hidden="1">Лист1!$82:$84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район!$18:$19,район!$21:$21,район!$26:$26,район!$28:$32,район!$36:$36,район!$39:$39,район!$51:$52,район!$64:$64,район!$71:$71,район!$88:$88,район!$95:$95,район!$123:$125,район!$128:$129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Хор!$19:$24,Хор!$28:$38,Хор!$42:$42,Хор!$46:$46,Хор!$48:$50,Хор!$57:$57,Хор!$59:$61,Хор!$67:$68,Хор!$74:$74,Хор!$78:$79,Хор!$83:$87,Хор!$90:$97,Хор!$144:$144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Юсь!$19:$24,Юсь!$31:$33,Юсь!$36:$36,Юсь!$43:$49,Юсь!$57:$57,Юсь!$59:$61,Юсь!$67:$68,Юсь!$78:$79,Юсь!$83:$87,Юсь!$90:$97,Юсь!$141:$141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Яро!$19:$24,Яро!$28:$33,Яро!$44:$45,Яро!$47:$48,Яро!$55:$55,Яро!$57:$58,Яро!$65:$66,Яро!$76:$77,Яро!$81:$85,Яро!$88:$95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Иль!$A$1:$F$105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Хор!$A$1:$F$101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Иль!$19:$24,Иль!$30:$31,Иль!$33:$33,Иль!$46:$46,Иль!$51:$51,Иль!$61:$62,Иль!$69:$70,Иль!$79:$80,Иль!$82:$82,Иль!$94:$98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район!$18:$19,район!$21:$21,район!$29:$31,район!$51:$52,район!#REF!,район!$64:$64,район!$71:$71,район!$88:$88,район!$95:$95,район!$123:$125</definedName>
    <definedName name="Z_1A52382B_3765_4E8C_903F_6B8919B7242E_.wvu.Rows" localSheetId="1" hidden="1">Справка!#REF!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Хор!$19:$24,Хор!$28:$38,Хор!$42:$42,Хор!$48:$50,Хор!$57:$57,Хор!$59:$61,Хор!$67:$68,Хор!$74:$74,Хор!$78:$79,Хор!$83:$87,Хор!$90:$97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Юсь!$20:$24,Юсь!$36:$36,Юсь!#REF!,Юсь!$43:$48,Юсь!$57:$57,Юсь!$59:$60,Юсь!$67:$68,Юсь!$78:$79,Юсь!$83:$87,Юсь!$90:$97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Яро!$19:$24,Яро!$44:$44,Яро!$55:$55,Яро!$57:$59,Яро!$65:$66,Яро!$76:$77,Яро!$81:$85,Яро!$88:$95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Иль!$A$1:$F$105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Иль!$19:$24,Иль!$30:$31,Иль!$33:$33,Иль!$46:$46,Иль!$51:$51,Иль!$61:$62,Иль!$69:$70,Иль!$79:$80,Иль!$82:$82,Иль!$84:$91,Иль!$94:$98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район!$18:$19,район!$21:$21,район!$29:$31,район!$51:$52,район!$64:$64,район!$71:$71,район!$88:$88,район!$95:$95,район!$123:$125</definedName>
    <definedName name="Z_3DCB9AAA_F09C_4EA6_B992_F93E466D374A_.wvu.Rows" localSheetId="1" hidden="1">Справка!#REF!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Хор!$19:$24,Хор!$32:$32,Хор!$42:$42,Хор!$46:$46,Хор!$57:$57,Хор!$59:$60,Хор!$67:$68,Хор!$83:$87,Хор!$90:$97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Юсь!$20:$24,Юсь!#REF!,Юсь!$43:$48,Юсь!$57:$57,Юсь!$59:$60,Юсь!$67:$68,Юсь!$78:$79,Юсь!$82:$87,Юсь!$90:$97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Яро!$19:$24,Яро!$29:$30,Яро!$32:$32,Яро!$44:$44,Яро!$55:$55,Яро!$57:$58,Яро!$65:$66,Яро!$76:$77,Яро!$81:$86,Яро!$88:$95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Иль!$A$1:$F$105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Иль!$19:$24,Иль!$30:$40,Иль!$46:$46,Иль!$48:$51,Иль!$59:$59,Иль!$61:$63,Иль!$69:$70,Иль!$79:$80,Иль!$82:$82,Иль!$87:$91,Иль!$94:$101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$18:$19,район!$21:$21,район!$26:$26,район!$28:$32,район!$36:$36,район!$39:$39,район!$47:$47,район!$51:$52,район!#REF!,район!#REF!,район!$58:$60,район!$64:$64,район!$71:$71,район!$82:$82,район!$88:$88,район!$91:$91,район!$95:$95,район!$103:$103,район!$123:$125,район!$128:$129</definedName>
    <definedName name="Z_42584DC0_1D41_4C93_9B38_C388E7B8DAC4_.wvu.Rows" localSheetId="1" hidden="1">Справка!#REF!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Хор!$19:$24,Хор!$28:$38,Хор!$42:$42,Хор!$46:$46,Хор!$48:$50,Хор!$57:$57,Хор!$59:$61,Хор!$67:$68,Хор!$74:$74,Хор!$78:$79,Хор!$83:$87,Хор!$90:$97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Юсь!$19:$24,Юсь!$31:$33,Юсь!$36:$36,Юсь!#REF!,Юсь!$43:$48,Юсь!$57:$57,Юсь!$59:$61,Юсь!$67:$68,Юсь!$78:$79,Юсь!$83:$87,Юсь!$90:$97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Яро!$19:$24,Яро!$28:$36,Яро!$44:$45,Яро!$47:$48,Яро!$55:$55,Яро!$57:$59,Яро!$65:$66,Яро!$76:$77,Яро!$81:$85,Яро!$88:$95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Иль!$A$1:$F$105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Иль!$19:$24,Иль!$30:$31,Иль!$33:$33,Иль!$46:$46,Иль!$51:$51,Иль!$61:$62,Иль!$69:$70,Иль!$79:$80,Иль!$82:$82,Иль!$94:$98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район!$18:$19,район!$21:$21,район!$29:$31,район!$51:$52,район!$64:$64,район!$71:$71,район!$88:$88,район!$95:$95,район!$123:$125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Хор!$19:$24,Хор!$32:$32,Хор!$42:$42,Хор!$46:$46,Хор!$57:$57,Хор!$59:$60,Хор!$67:$68,Хор!$83:$87,Хор!$90:$97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Юсь!$20:$24,Юсь!#REF!,Юсь!$43:$48,Юсь!$57:$57,Юсь!$59:$60,Юсь!$67:$68,Юсь!$78:$79,Юсь!$82:$87,Юсь!$90:$97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Яро!$19:$24,Яро!$44:$44,Яро!$55:$55,Яро!$57:$58,Яро!$65:$66,Яро!$76:$77,Яро!$81:$86,Яро!$88:$95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Иль!$A$1:$F$105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район!$A$1:$F$137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Але!$19:$24,Але!$28:$28,Але!$36:$36,Але!$46:$46,Але!$55:$56,Але!$63:$64,Але!$74:$75,Але!$79:$82,Але!$86:$93,Але!$142:$142</definedName>
    <definedName name="Z_61528DAC_5C4C_48F4_ADE2_8A724B05A086_.wvu.Rows" localSheetId="5" hidden="1">Иль!$19:$23,Иль!$34:$34,Иль!$40:$40,Иль!$59:$59,Иль!$61:$62,Иль!$69:$70,Иль!$79:$80,Иль!$82:$82,Иль!$87:$91,Иль!$94:$101,Иль!$144:$144</definedName>
    <definedName name="Z_61528DAC_5C4C_48F4_ADE2_8A724B05A086_.wvu.Rows" localSheetId="6" hidden="1">Кад!$19:$24,Кад!$31:$35,Кад!$38:$38,Кад!$44:$44,Кад!$48:$48,Кад!$56:$56,Кад!$58:$59,Кад!$66:$67,Кад!$77:$77,Кад!$82:$86,Кад!$89:$96,Кад!$142:$142</definedName>
    <definedName name="Z_61528DAC_5C4C_48F4_ADE2_8A724B05A086_.wvu.Rows" localSheetId="0" hidden="1">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Мор!$17:$24,Мор!$27:$27,Мор!$44:$44,Мор!$47:$47,Мор!$57:$57,Мор!$59:$60,Мор!$64:$65,Мор!$67:$68,Мор!$78:$78,Мор!$83:$88,Мор!$91:$97,Мор!$142:$142</definedName>
    <definedName name="Z_61528DAC_5C4C_48F4_ADE2_8A724B05A086_.wvu.Rows" localSheetId="8" hidden="1">Мос!$19:$24,Мос!$29:$33,Мос!$44:$44,Мос!$50:$50,Мос!$58:$58,Мос!$60:$61,Мос!$68:$69,Мос!$82:$82,Мос!$85:$92,Мос!$95:$102,Мос!$143:$143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Ори!$19:$24,Ори!$31:$35,Ори!$44:$44,Ори!$48:$50,Ори!$57:$57,Ори!$59:$60,Ори!$67:$68,Ори!$78:$78,Ори!$81:$81,Ори!$84:$88,Ори!$91:$98,Ори!$142:$142</definedName>
    <definedName name="Z_61528DAC_5C4C_48F4_ADE2_8A724B05A086_.wvu.Rows" localSheetId="2" hidden="1">район!$39:$39,район!$95:$95</definedName>
    <definedName name="Z_61528DAC_5C4C_48F4_ADE2_8A724B05A086_.wvu.Rows" localSheetId="4" hidden="1">Сун!$19:$24,Сун!$33:$34,Сун!$45:$45,Сун!$49:$51,Сун!$58:$58,Сун!$60:$61,Сун!$68:$69,Сун!$79:$79,Сун!$82:$82,Сун!$85:$85,Сун!$87:$89,Сун!$93:$100,Сун!$142:$142</definedName>
    <definedName name="Z_61528DAC_5C4C_48F4_ADE2_8A724B05A086_.wvu.Rows" localSheetId="10" hidden="1">Сят!$19:$24,Сят!$31:$33,Сят!$38:$38,Сят!$45:$47,Сят!$57:$57,Сят!$59:$60,Сят!$67:$68,Сят!$78:$78,Сят!$83:$87,Сят!$90:$97,Сят!$143:$143</definedName>
    <definedName name="Z_61528DAC_5C4C_48F4_ADE2_8A724B05A086_.wvu.Rows" localSheetId="11" hidden="1">Тор!$19:$24,Тор!$32:$34,Тор!$39:$39,Тор!$50:$50,Тор!$57:$57,Тор!$59:$60,Тор!$67:$68,Тор!$75:$75,Тор!$79:$79,Тор!$86:$95,Тор!$142:$142</definedName>
    <definedName name="Z_61528DAC_5C4C_48F4_ADE2_8A724B05A086_.wvu.Rows" localSheetId="12" hidden="1">Хор!$19:$24,Хор!$28:$37,Хор!$42:$42,Хор!$48:$50,Хор!$57:$57,Хор!$59:$61,Хор!$67:$68,Хор!$78:$78,Хор!$83:$87,Хор!$90:$97,Хор!$144:$144</definedName>
    <definedName name="Z_61528DAC_5C4C_48F4_ADE2_8A724B05A086_.wvu.Rows" localSheetId="13" hidden="1">Чум!$19:$24,Чум!$31:$36,Чум!$48:$49,Чум!$57:$57,Чум!$59:$60,Чум!$67:$68,Чум!$78:$78,Чум!$83:$87,Чум!$90:$97,Чум!$142:$142</definedName>
    <definedName name="Z_61528DAC_5C4C_48F4_ADE2_8A724B05A086_.wvu.Rows" localSheetId="14" hidden="1">Шать!$19:$25,Шать!$31:$33,Шать!$43:$43,Шать!$47:$49,Шать!$57:$57,Шать!$59:$60,Шать!$67:$68,Шать!$74:$74,Шать!$78:$78,Шать!$84:$86,Шать!$90:$97,Шать!$142:$142</definedName>
    <definedName name="Z_61528DAC_5C4C_48F4_ADE2_8A724B05A086_.wvu.Rows" localSheetId="15" hidden="1">Юнг!$19:$24,Юнг!$38:$38,Юнг!$42:$42,Юнг!$46:$46,Юнг!$56:$56,Юнг!$58:$59,Юнг!$66:$67,Юнг!$77:$77,Юнг!$82:$86,Юнг!$89:$96,Юнг!$142:$142</definedName>
    <definedName name="Z_61528DAC_5C4C_48F4_ADE2_8A724B05A086_.wvu.Rows" localSheetId="16" hidden="1">Юсь!$19:$24,Юсь!$36:$36,Юсь!$43:$48,Юсь!$57:$57,Юсь!$59:$61,Юсь!$67:$68,Юсь!$83:$87,Юсь!$90:$97,Юсь!$141:$141</definedName>
    <definedName name="Z_61528DAC_5C4C_48F4_ADE2_8A724B05A086_.wvu.Rows" localSheetId="17" hidden="1">Яра!$19:$24,Яра!$28:$29,Яра!$33:$33,Яра!$46:$46,Яра!$48:$50,Яра!$58:$58,Яра!$60:$61,Яра!$68:$69,Яра!$79:$79,Яра!$84:$88,Яра!$91:$98,Яра!$143:$143</definedName>
    <definedName name="Z_61528DAC_5C4C_48F4_ADE2_8A724B05A086_.wvu.Rows" localSheetId="18" hidden="1">Яро!$19:$24,Яро!$28:$28,Яро!$44:$44,Яро!$55:$55,Яро!$57:$58,Яро!$65:$66,Яро!$76:$76,Яро!$83:$85,Яро!$88:$91,Яро!$93:$95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Иль!$A$1:$F$105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Иль!$19:$24,Иль!$30:$40,Иль!$46:$46,Иль!$48:$51,Иль!$59:$59,Иль!$61:$63,Иль!$69:$70,Иль!$79:$80,Иль!$82:$82,Иль!$87:$91,Иль!$94:$101,Иль!$144:$144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район!$18:$19,район!$21:$21,район!$26:$26,район!$28:$32,район!$36:$36,район!$39:$39,район!$51:$52,район!#REF!,район!$64:$64,район!$71:$71,район!$88:$88,район!$95:$95,район!$123:$125,район!$128:$129</definedName>
    <definedName name="Z_A54C432C_6C68_4B53_A75C_446EB3A61B2B_.wvu.Rows" localSheetId="1" hidden="1">Справка!#REF!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Хор!$19:$24,Хор!$28:$33,Хор!$42:$42,Хор!$46:$46,Хор!$48:$50,Хор!$57:$57,Хор!$59:$61,Хор!$67:$68,Хор!$74:$74,Хор!$78:$79,Хор!$83:$87,Хор!$90:$97,Хор!$144:$144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Юсь!$19:$24,Юсь!$31:$33,Юсь!$36:$36,Юсь!#REF!,Юсь!$43:$49,Юсь!$57:$57,Юсь!$59:$60,Юсь!$67:$68,Юсь!$78:$79,Юсь!$83:$87,Юсь!$90:$97,Юсь!$141:$141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Яро!$19:$24,Яро!$28:$36,Яро!$44:$44,Яро!$47:$47,Яро!$55:$55,Яро!$57:$59,Яро!$65:$66,Яро!$76:$76,Яро!$81:$85,Яро!$88:$95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Иль!$A$1:$F$105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Юсь!$A$1:$F$101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Иль!$19:$24,Иль!$34:$34,Иль!$39:$40,Иль!$49:$51,Иль!$59:$59,Иль!$61:$63,Иль!$69:$70,Иль!$79:$80,Иль!$82:$82,Иль!$87:$91,Иль!$94:$101,Иль!$144:$144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4" hidden="1">Сун!$19:$24,Сун!$34:$36,Сун!$39:$39,Сун!$49:$51,Сун!$54:$54,Сун!$58:$58,Сун!$60:$62,Сун!$68:$69,Сун!$79:$80,Сун!$82:$82,Сун!$85:$85,Сун!$87:$90,Сун!$93:$100,Сун!$142:$142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Хор!$19:$24,Хор!$28:$38,Хор!$42:$42,Хор!$48:$50,Хор!$57:$57,Хор!$59:$61,Хор!$67:$68,Хор!$78:$79,Хор!$83:$87,Хор!$90:$97,Хор!$144:$144</definedName>
    <definedName name="Z_B30CE22D_C12F_4E12_8BB9_3AAE0A6991CC_.wvu.Rows" localSheetId="13" hidden="1">Чум!$19:$24,Чум!$31:$36,Чум!$47:$49,Чум!$57:$57,Чум!$59:$61,Чум!$67:$68,Чум!$78:$79,Чум!$83:$87,Чум!$90:$97,Чум!$142:$142</definedName>
    <definedName name="Z_B30CE22D_C12F_4E12_8BB9_3AAE0A6991CC_.wvu.Rows" localSheetId="14" hidden="1">Шать!$19:$25,Шать!$31:$33,Шать!$57:$57,Шать!$59:$60,Шать!$67:$68,Шать!$78:$79,Шать!$84:$86,Шать!$90:$97,Шать!$142:$142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Юсь!$19:$24,Юсь!$31:$33,Юсь!$36:$36,Юсь!$43:$48,Юсь!$57:$57,Юсь!$59:$60,Юсь!$67:$68,Юсь!$78:$79,Юсь!$83:$87,Юсь!$90:$97,Юсь!$141:$141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Яро!$19:$24,Яро!$28:$28,Яро!$36:$36,Яро!$44:$44,Яро!$55:$55,Яро!$57:$59,Яро!$65:$66,Яро!$76:$76,Яро!$81:$85,Яро!$88:$91,Яро!$93:$95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Иль!$A$1:$F$105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Иль!$19:$24,Иль!$46:$46,Иль!$51:$51,Иль!$61:$62,Иль!$69:$70,Иль!$79:$80,Иль!$82:$82,Иль!$87:$91,Иль!$94:$98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район!$18:$19,район!$21:$21,район!$29:$31,район!$51:$52,район!$64:$64,район!$71:$71,район!$88:$88,район!$95:$95,район!$123:$125</definedName>
    <definedName name="Z_B31C8DB7_3E78_4144_A6B5_8DE36DE63F0E_.wvu.Rows" localSheetId="4" hidden="1">Сун!$19:$24,Сун!$49:$51,Сун!$58:$58,Сун!$60:$61,Сун!$68:$69,Сун!$79:$79,Сун!$82:$82,Сун!$88:$89,Сун!$93:$97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Хор!$19:$24,Хор!$32:$32,Хор!$42:$42,Хор!$57:$57,Хор!$59:$60,Хор!$67:$68,Хор!$83:$87,Хор!$90:$97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Яро!$19:$24,Яро!$55:$55,Яро!$57:$58,Яро!$65:$66,Яро!$76:$77,Яро!$81:$86,Яро!$88:$95</definedName>
    <definedName name="_xlnm.Print_Area" localSheetId="5">Иль!$A$1:$F$105</definedName>
    <definedName name="_xlnm.Print_Area" localSheetId="0">Консол!$A$1:$K$50</definedName>
    <definedName name="_xlnm.Print_Area" localSheetId="7">Мор!$A$1:$F$101</definedName>
    <definedName name="_xlnm.Print_Area" localSheetId="1">Справка!$A$1:$EY$31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Admin - Личное представление" guid="{1718F1EE-9F48-4DBE-9531-3B70F9C4A5DD}" mergeInterval="0" personalView="1" maximized="1" xWindow="1" yWindow="1" windowWidth="1280" windowHeight="804" tabRatio="695" activeSheetId="3"/>
    <customWorkbookView name="morgau_fin5 - Личное представление" guid="{B31C8DB7-3E78-4144-A6B5-8DE36DE63F0E}" mergeInterval="0" personalView="1" maximized="1" xWindow="1" yWindow="1" windowWidth="1916" windowHeight="850" tabRatio="695" activeSheetId="7"/>
    <customWorkbookView name="morgau_fin7 - Личное представление" guid="{5BFCA170-DEAE-4D2C-98A0-1E68B427AC01}" mergeInterval="0" personalView="1" maximized="1" xWindow="1" yWindow="1" windowWidth="1916" windowHeight="850" tabRatio="695" activeSheetId="19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morgau_fin2 - Личное представление" guid="{B30CE22D-C12F-4E12-8BB9-3AAE0A6991CC}" mergeInterval="0" personalView="1" maximized="1" xWindow="1" yWindow="1" windowWidth="1916" windowHeight="850" tabRatio="695" activeSheetId="2"/>
    <customWorkbookView name="morgau_fin3 - Личное представление" guid="{61528DAC-5C4C-48F4-ADE2-8A724B05A086}" mergeInterval="0" personalView="1" maximized="1" xWindow="1" yWindow="1" windowWidth="1916" windowHeight="850" tabRatio="695" activeSheetId="19"/>
  </customWorkbookViews>
</workbook>
</file>

<file path=xl/calcChain.xml><?xml version="1.0" encoding="utf-8"?>
<calcChain xmlns="http://schemas.openxmlformats.org/spreadsheetml/2006/main">
  <c r="BO23" i="2"/>
  <c r="D64" i="14"/>
  <c r="D34" i="13"/>
  <c r="CR19" i="2"/>
  <c r="C40" i="9"/>
  <c r="DS17" i="2"/>
  <c r="DP17"/>
  <c r="BF17"/>
  <c r="CV26"/>
  <c r="CV29"/>
  <c r="BF25"/>
  <c r="BF24"/>
  <c r="D130" i="3"/>
  <c r="C126"/>
  <c r="C120"/>
  <c r="D106"/>
  <c r="C104"/>
  <c r="D77"/>
  <c r="D43"/>
  <c r="D34"/>
  <c r="D40" i="16"/>
  <c r="E24" i="1"/>
  <c r="D36" i="19" l="1"/>
  <c r="BR29" i="2" s="1"/>
  <c r="E47" i="9"/>
  <c r="F47"/>
  <c r="D5" i="6"/>
  <c r="CD19" i="2"/>
  <c r="CC19"/>
  <c r="CV18"/>
  <c r="D53" i="3"/>
  <c r="C53"/>
  <c r="E57"/>
  <c r="F57"/>
  <c r="D67" i="5"/>
  <c r="C67"/>
  <c r="F71"/>
  <c r="E71"/>
  <c r="D12" i="3"/>
  <c r="C12"/>
  <c r="F13"/>
  <c r="E13"/>
  <c r="C41" i="5"/>
  <c r="D41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3"/>
  <c r="C77"/>
  <c r="C84"/>
  <c r="D60"/>
  <c r="D62"/>
  <c r="D68"/>
  <c r="D73"/>
  <c r="D77"/>
  <c r="D84"/>
  <c r="CO19" i="2"/>
  <c r="C22" i="1"/>
  <c r="CP17" i="2"/>
  <c r="CP14"/>
  <c r="BN20"/>
  <c r="D66" i="15"/>
  <c r="F71"/>
  <c r="E71"/>
  <c r="C34" i="16"/>
  <c r="BN26" i="2" s="1"/>
  <c r="F70" i="7"/>
  <c r="E70"/>
  <c r="D66" i="11"/>
  <c r="D35" i="6"/>
  <c r="C35"/>
  <c r="BN16" i="2" s="1"/>
  <c r="F36" i="6"/>
  <c r="E36"/>
  <c r="D64" i="19"/>
  <c r="D31"/>
  <c r="C31"/>
  <c r="BE29" i="2" s="1"/>
  <c r="E46" i="19"/>
  <c r="C77" i="3"/>
  <c r="CG19" i="2"/>
  <c r="CF19"/>
  <c r="CG17"/>
  <c r="CF17"/>
  <c r="CD17"/>
  <c r="CC17"/>
  <c r="D66" i="17"/>
  <c r="D65" i="16"/>
  <c r="D66" i="14"/>
  <c r="D66" i="13"/>
  <c r="D66" i="10"/>
  <c r="D66" i="8"/>
  <c r="D65" i="7"/>
  <c r="C56" i="17"/>
  <c r="AZ15" i="2"/>
  <c r="D40" i="7"/>
  <c r="C62" i="3"/>
  <c r="D54" i="19"/>
  <c r="CM14" i="2"/>
  <c r="D40" i="13"/>
  <c r="BP23" i="2"/>
  <c r="BP27"/>
  <c r="BP14"/>
  <c r="D82" i="18"/>
  <c r="D93" i="3"/>
  <c r="C93"/>
  <c r="F94"/>
  <c r="E94"/>
  <c r="CO17" i="2"/>
  <c r="CO14"/>
  <c r="F133" i="3"/>
  <c r="E133"/>
  <c r="F132"/>
  <c r="E132"/>
  <c r="F131"/>
  <c r="E131"/>
  <c r="C130"/>
  <c r="F129"/>
  <c r="C128"/>
  <c r="F128" s="1"/>
  <c r="F127"/>
  <c r="E127"/>
  <c r="D126"/>
  <c r="E125"/>
  <c r="E124"/>
  <c r="E123"/>
  <c r="F122"/>
  <c r="E122"/>
  <c r="F121"/>
  <c r="E121"/>
  <c r="D120"/>
  <c r="F119"/>
  <c r="E119"/>
  <c r="F118"/>
  <c r="E118"/>
  <c r="F117"/>
  <c r="E117"/>
  <c r="F116"/>
  <c r="E116"/>
  <c r="D115"/>
  <c r="C115"/>
  <c r="F114"/>
  <c r="E114"/>
  <c r="F113"/>
  <c r="E113"/>
  <c r="D112"/>
  <c r="C112"/>
  <c r="F111"/>
  <c r="E111"/>
  <c r="F110"/>
  <c r="E110"/>
  <c r="F109"/>
  <c r="E109"/>
  <c r="F108"/>
  <c r="E108"/>
  <c r="F107"/>
  <c r="E107"/>
  <c r="C106"/>
  <c r="F105"/>
  <c r="E105"/>
  <c r="D104"/>
  <c r="F103"/>
  <c r="E103"/>
  <c r="F102"/>
  <c r="E102"/>
  <c r="F101"/>
  <c r="E101"/>
  <c r="D100"/>
  <c r="C100"/>
  <c r="F99"/>
  <c r="E99"/>
  <c r="F98"/>
  <c r="E98"/>
  <c r="F96"/>
  <c r="E96"/>
  <c r="F92"/>
  <c r="E92"/>
  <c r="F91"/>
  <c r="E91"/>
  <c r="F90"/>
  <c r="E90"/>
  <c r="F89"/>
  <c r="E89"/>
  <c r="F88"/>
  <c r="E88"/>
  <c r="D87"/>
  <c r="C87"/>
  <c r="F86"/>
  <c r="E86"/>
  <c r="D85"/>
  <c r="C85"/>
  <c r="F84"/>
  <c r="E84"/>
  <c r="F83"/>
  <c r="E83"/>
  <c r="F82"/>
  <c r="E82"/>
  <c r="F81"/>
  <c r="E81"/>
  <c r="F80"/>
  <c r="E80"/>
  <c r="F79"/>
  <c r="E79"/>
  <c r="F78"/>
  <c r="E78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D62"/>
  <c r="F60"/>
  <c r="E60"/>
  <c r="F59"/>
  <c r="E59"/>
  <c r="D58"/>
  <c r="C58"/>
  <c r="F56"/>
  <c r="E56"/>
  <c r="F55"/>
  <c r="E55"/>
  <c r="F54"/>
  <c r="E54"/>
  <c r="F52"/>
  <c r="E52"/>
  <c r="D51"/>
  <c r="C51"/>
  <c r="F50"/>
  <c r="E50"/>
  <c r="F49"/>
  <c r="E49"/>
  <c r="D48"/>
  <c r="C48"/>
  <c r="F47"/>
  <c r="F46"/>
  <c r="E46"/>
  <c r="D45"/>
  <c r="C45"/>
  <c r="F44"/>
  <c r="E44"/>
  <c r="C43"/>
  <c r="F42"/>
  <c r="E42"/>
  <c r="F41"/>
  <c r="E41"/>
  <c r="F40"/>
  <c r="E40"/>
  <c r="F39"/>
  <c r="E39"/>
  <c r="F38"/>
  <c r="E38"/>
  <c r="F37"/>
  <c r="E37"/>
  <c r="F36"/>
  <c r="E36"/>
  <c r="F35"/>
  <c r="E35"/>
  <c r="C34"/>
  <c r="F32"/>
  <c r="E32"/>
  <c r="F31"/>
  <c r="E31"/>
  <c r="F30"/>
  <c r="E30"/>
  <c r="F29"/>
  <c r="E29"/>
  <c r="D28"/>
  <c r="C28"/>
  <c r="F27"/>
  <c r="E27"/>
  <c r="F26"/>
  <c r="E26"/>
  <c r="F25"/>
  <c r="E25"/>
  <c r="D24"/>
  <c r="C24"/>
  <c r="F23"/>
  <c r="E23"/>
  <c r="D22"/>
  <c r="C22"/>
  <c r="F21"/>
  <c r="E21"/>
  <c r="F20"/>
  <c r="E20"/>
  <c r="F19"/>
  <c r="E19"/>
  <c r="F18"/>
  <c r="E18"/>
  <c r="D17"/>
  <c r="C17"/>
  <c r="F16"/>
  <c r="E16"/>
  <c r="F15"/>
  <c r="E15"/>
  <c r="F14"/>
  <c r="E14"/>
  <c r="F11"/>
  <c r="E11"/>
  <c r="F10"/>
  <c r="E10"/>
  <c r="F9"/>
  <c r="E9"/>
  <c r="F8"/>
  <c r="E8"/>
  <c r="D7"/>
  <c r="C7"/>
  <c r="F6"/>
  <c r="E6"/>
  <c r="D5"/>
  <c r="C5"/>
  <c r="F71" i="12"/>
  <c r="E71"/>
  <c r="AB28" i="2"/>
  <c r="AZ17"/>
  <c r="AZ19"/>
  <c r="AZ20"/>
  <c r="AZ21"/>
  <c r="AZ24"/>
  <c r="AZ26"/>
  <c r="AZ27"/>
  <c r="AZ28"/>
  <c r="C66" i="8"/>
  <c r="F71"/>
  <c r="E71"/>
  <c r="DF33" i="2"/>
  <c r="C67" i="9"/>
  <c r="C66" i="12"/>
  <c r="E65" i="11"/>
  <c r="C66"/>
  <c r="C66" i="10"/>
  <c r="C65" i="7"/>
  <c r="C66" i="13"/>
  <c r="C66" i="17"/>
  <c r="C65" i="16"/>
  <c r="C66" i="15"/>
  <c r="C66" i="14"/>
  <c r="F71"/>
  <c r="E71"/>
  <c r="C64" i="19"/>
  <c r="D26"/>
  <c r="BE28" i="2"/>
  <c r="D71" i="7"/>
  <c r="D83" i="9"/>
  <c r="D26" i="6"/>
  <c r="E44" i="14"/>
  <c r="F43" i="3" l="1"/>
  <c r="E43"/>
  <c r="F41" i="5"/>
  <c r="E41"/>
  <c r="D25" i="4"/>
  <c r="C25"/>
  <c r="CQ17" i="2"/>
  <c r="CQ14"/>
  <c r="E104" i="3"/>
  <c r="E130"/>
  <c r="F120"/>
  <c r="E24"/>
  <c r="F126"/>
  <c r="F7"/>
  <c r="F24"/>
  <c r="E45"/>
  <c r="E77"/>
  <c r="F12"/>
  <c r="E7"/>
  <c r="E85"/>
  <c r="F87"/>
  <c r="F112"/>
  <c r="C4"/>
  <c r="E12"/>
  <c r="E53"/>
  <c r="F62"/>
  <c r="F77"/>
  <c r="F93"/>
  <c r="E120"/>
  <c r="E100"/>
  <c r="F104"/>
  <c r="D4"/>
  <c r="E48"/>
  <c r="F58"/>
  <c r="F115"/>
  <c r="C33"/>
  <c r="F51"/>
  <c r="E28"/>
  <c r="E17"/>
  <c r="E5"/>
  <c r="E22"/>
  <c r="E34"/>
  <c r="F45"/>
  <c r="F48"/>
  <c r="F100"/>
  <c r="E126"/>
  <c r="E51"/>
  <c r="F53"/>
  <c r="E58"/>
  <c r="E87"/>
  <c r="E93"/>
  <c r="E112"/>
  <c r="E115"/>
  <c r="C134"/>
  <c r="E62"/>
  <c r="D33"/>
  <c r="F85"/>
  <c r="F5"/>
  <c r="F17"/>
  <c r="F22"/>
  <c r="F28"/>
  <c r="F34"/>
  <c r="F130"/>
  <c r="F4" l="1"/>
  <c r="E4"/>
  <c r="C61"/>
  <c r="C72" s="1"/>
  <c r="D61"/>
  <c r="D72" s="1"/>
  <c r="H72" s="1"/>
  <c r="E33"/>
  <c r="F33"/>
  <c r="D34" i="15"/>
  <c r="D36" i="7"/>
  <c r="D66" i="12"/>
  <c r="D34" i="11"/>
  <c r="D26"/>
  <c r="D14"/>
  <c r="AT18" i="2"/>
  <c r="AQ18"/>
  <c r="C73" i="3" l="1"/>
  <c r="G72"/>
  <c r="F61"/>
  <c r="E61"/>
  <c r="E72"/>
  <c r="C34" i="11"/>
  <c r="BN21" i="2" s="1"/>
  <c r="C82" i="12"/>
  <c r="C38" i="17"/>
  <c r="D12" i="19"/>
  <c r="D67" i="18" l="1"/>
  <c r="E44" i="13"/>
  <c r="D82" i="12"/>
  <c r="D64"/>
  <c r="D68" i="6"/>
  <c r="C68"/>
  <c r="E73"/>
  <c r="F73"/>
  <c r="G32" i="1" l="1"/>
  <c r="E49" i="9"/>
  <c r="D5" i="5"/>
  <c r="C29" i="12"/>
  <c r="J15" i="2"/>
  <c r="D12" i="7"/>
  <c r="CD14" i="2"/>
  <c r="CS17"/>
  <c r="AT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2" i="6"/>
  <c r="C42"/>
  <c r="CS16" i="2"/>
  <c r="CR16"/>
  <c r="BQ14"/>
  <c r="E52" i="6"/>
  <c r="F52"/>
  <c r="BR14" i="2"/>
  <c r="CV22"/>
  <c r="CV21"/>
  <c r="D41" i="12"/>
  <c r="E49"/>
  <c r="F49"/>
  <c r="D40" i="11"/>
  <c r="CS23" i="2" l="1"/>
  <c r="CS19"/>
  <c r="CS18"/>
  <c r="CS14" l="1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2" i="13"/>
  <c r="F90" i="18"/>
  <c r="F50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81" i="5"/>
  <c r="F76"/>
  <c r="C26"/>
  <c r="E48"/>
  <c r="F48"/>
  <c r="E48" i="12"/>
  <c r="F48"/>
  <c r="G24" i="1"/>
  <c r="C41" i="15"/>
  <c r="F41" s="1"/>
  <c r="E42"/>
  <c r="C40" i="13"/>
  <c r="C41" i="12"/>
  <c r="F41" i="10"/>
  <c r="E44"/>
  <c r="F44"/>
  <c r="E44" i="9"/>
  <c r="F44"/>
  <c r="E44" i="8"/>
  <c r="F44"/>
  <c r="E44" i="7"/>
  <c r="F44"/>
  <c r="E46" i="6"/>
  <c r="F46"/>
  <c r="E47"/>
  <c r="F47"/>
  <c r="E45" i="5"/>
  <c r="F45"/>
  <c r="CR22" i="2"/>
  <c r="CT22" s="1"/>
  <c r="CV14"/>
  <c r="CV31" s="1"/>
  <c r="J26" i="1" s="1"/>
  <c r="C55" i="7"/>
  <c r="G33" i="1"/>
  <c r="F33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BO21" i="2"/>
  <c r="BP21" s="1"/>
  <c r="D96" i="12"/>
  <c r="ER22" i="2" s="1"/>
  <c r="F35" i="16"/>
  <c r="E35"/>
  <c r="D34"/>
  <c r="E34" s="1"/>
  <c r="D12" i="13"/>
  <c r="D5"/>
  <c r="D81"/>
  <c r="EL23" i="2" s="1"/>
  <c r="D77" i="13"/>
  <c r="EI23" i="2" s="1"/>
  <c r="D64" i="13"/>
  <c r="D72"/>
  <c r="EF23" i="2" s="1"/>
  <c r="D56" i="13"/>
  <c r="D26"/>
  <c r="AQ27" i="2"/>
  <c r="AQ25"/>
  <c r="AQ19"/>
  <c r="AR19" s="1"/>
  <c r="AQ17"/>
  <c r="AT29"/>
  <c r="AU29" s="1"/>
  <c r="BU32"/>
  <c r="BU33" s="1"/>
  <c r="E88" i="16"/>
  <c r="C81" i="14"/>
  <c r="EK24" i="2" s="1"/>
  <c r="E15" i="14"/>
  <c r="C77" i="13"/>
  <c r="EH23" i="2" s="1"/>
  <c r="E42" i="10"/>
  <c r="F42"/>
  <c r="BO19" i="2"/>
  <c r="F76" i="9"/>
  <c r="F35"/>
  <c r="E35"/>
  <c r="D34"/>
  <c r="C34"/>
  <c r="BN19" i="2" s="1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BN22" i="2" s="1"/>
  <c r="E42" i="11"/>
  <c r="F42"/>
  <c r="E42" i="8"/>
  <c r="F42"/>
  <c r="E86" i="7"/>
  <c r="BR17" i="2"/>
  <c r="E42" i="7"/>
  <c r="F42"/>
  <c r="E35"/>
  <c r="F35"/>
  <c r="E59" i="6"/>
  <c r="F59"/>
  <c r="E50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6" i="12"/>
  <c r="D35"/>
  <c r="BO22" i="2" s="1"/>
  <c r="CS26"/>
  <c r="CR26"/>
  <c r="CS28"/>
  <c r="CR28"/>
  <c r="D78" i="18"/>
  <c r="EI28" i="2" s="1"/>
  <c r="D41" i="18"/>
  <c r="C41"/>
  <c r="E51"/>
  <c r="F51"/>
  <c r="D34" i="7"/>
  <c r="BO17" i="2" s="1"/>
  <c r="C34" i="7"/>
  <c r="BN17" i="2" s="1"/>
  <c r="G15" i="1"/>
  <c r="D62" i="19"/>
  <c r="DZ29" i="2" s="1"/>
  <c r="D39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EC18"/>
  <c r="EB18"/>
  <c r="C14" i="14"/>
  <c r="F15" s="1"/>
  <c r="F35" i="15"/>
  <c r="E35"/>
  <c r="CI16" i="2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AP27" i="2"/>
  <c r="CO28"/>
  <c r="CO26"/>
  <c r="CC26"/>
  <c r="CO24"/>
  <c r="CO23"/>
  <c r="CO22"/>
  <c r="CO16"/>
  <c r="D70" i="19"/>
  <c r="EF29" i="2" s="1"/>
  <c r="D63" i="16"/>
  <c r="D55"/>
  <c r="D76"/>
  <c r="D71"/>
  <c r="EF26" i="2" s="1"/>
  <c r="EC25"/>
  <c r="D7" i="7"/>
  <c r="F40"/>
  <c r="D26"/>
  <c r="D17" i="5"/>
  <c r="EF14" i="2"/>
  <c r="DQ20"/>
  <c r="DQ17"/>
  <c r="D5" i="15"/>
  <c r="D5" i="9"/>
  <c r="C35" i="18"/>
  <c r="BN28" i="2" s="1"/>
  <c r="C34" i="8"/>
  <c r="BN18" i="2" s="1"/>
  <c r="AP18"/>
  <c r="AT19"/>
  <c r="AS18"/>
  <c r="F20" i="1"/>
  <c r="DZ22" i="2"/>
  <c r="AQ21"/>
  <c r="D64" i="17"/>
  <c r="D56" i="15"/>
  <c r="D37" i="12"/>
  <c r="BR22" i="2" s="1"/>
  <c r="E15" i="5"/>
  <c r="E16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D11" s="1"/>
  <c r="G5"/>
  <c r="G38"/>
  <c r="C96" i="12"/>
  <c r="EQ22" i="2" s="1"/>
  <c r="D7" i="16"/>
  <c r="E42" i="9"/>
  <c r="F42"/>
  <c r="ER14" i="2"/>
  <c r="EL14"/>
  <c r="EH14"/>
  <c r="EB14"/>
  <c r="D52" i="4"/>
  <c r="D36" i="16"/>
  <c r="G41" i="1"/>
  <c r="D17" i="19"/>
  <c r="D32" i="5"/>
  <c r="BF15" i="2" s="1"/>
  <c r="D64" i="11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G29" i="1"/>
  <c r="D26" i="16"/>
  <c r="D67" i="9"/>
  <c r="D57"/>
  <c r="AD23" i="2"/>
  <c r="I23"/>
  <c r="L23"/>
  <c r="I24"/>
  <c r="AD24"/>
  <c r="AQ28"/>
  <c r="AQ23"/>
  <c r="AQ20"/>
  <c r="AP21"/>
  <c r="AP15"/>
  <c r="E43" i="14"/>
  <c r="F43"/>
  <c r="C26" i="6"/>
  <c r="C65" i="5"/>
  <c r="DE23" i="2"/>
  <c r="DE31" s="1"/>
  <c r="D77" i="17"/>
  <c r="EI27" i="2" s="1"/>
  <c r="D78" i="12"/>
  <c r="D73" i="9"/>
  <c r="G12" i="1"/>
  <c r="C88" i="17"/>
  <c r="EQ27" i="2" s="1"/>
  <c r="DP14"/>
  <c r="D26" i="17"/>
  <c r="D32" i="18"/>
  <c r="C81" i="13"/>
  <c r="EK23" i="2" s="1"/>
  <c r="C26" i="11"/>
  <c r="C26" i="8"/>
  <c r="C32" i="6"/>
  <c r="E67" i="18"/>
  <c r="C64" i="15"/>
  <c r="C81" i="8"/>
  <c r="E83"/>
  <c r="F83"/>
  <c r="CG23" i="2"/>
  <c r="CF23"/>
  <c r="F42" i="13"/>
  <c r="F43"/>
  <c r="E42"/>
  <c r="E43"/>
  <c r="CG27" i="2"/>
  <c r="CF27"/>
  <c r="F40" i="17"/>
  <c r="E40"/>
  <c r="CP27" i="2"/>
  <c r="D7" i="10"/>
  <c r="D7" i="8"/>
  <c r="C31" i="13"/>
  <c r="EL22" i="2"/>
  <c r="EK22"/>
  <c r="D95" i="8"/>
  <c r="EU18" i="2" s="1"/>
  <c r="D66" i="6"/>
  <c r="D65" i="5"/>
  <c r="CO27" i="2"/>
  <c r="D81" i="11"/>
  <c r="EL21" i="2" s="1"/>
  <c r="D65" i="9"/>
  <c r="F43" i="17"/>
  <c r="F44"/>
  <c r="F46"/>
  <c r="F47"/>
  <c r="F48"/>
  <c r="F49"/>
  <c r="E43"/>
  <c r="E44"/>
  <c r="E46"/>
  <c r="E47"/>
  <c r="E48"/>
  <c r="E49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38" i="1"/>
  <c r="F37"/>
  <c r="G36"/>
  <c r="F36"/>
  <c r="F32"/>
  <c r="G30"/>
  <c r="F29"/>
  <c r="F6"/>
  <c r="D12" i="6"/>
  <c r="C91" i="9"/>
  <c r="EN19" i="2" s="1"/>
  <c r="EC27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E30"/>
  <c r="F30"/>
  <c r="E32"/>
  <c r="F32"/>
  <c r="E33"/>
  <c r="F33"/>
  <c r="C34"/>
  <c r="BN29" i="2" s="1"/>
  <c r="BO29"/>
  <c r="E35" i="19"/>
  <c r="F35"/>
  <c r="E36"/>
  <c r="F36"/>
  <c r="E40"/>
  <c r="E41"/>
  <c r="F41"/>
  <c r="E42"/>
  <c r="F42"/>
  <c r="E43"/>
  <c r="F43"/>
  <c r="E44"/>
  <c r="F44"/>
  <c r="E45"/>
  <c r="F45"/>
  <c r="F46"/>
  <c r="F47"/>
  <c r="E48"/>
  <c r="F48"/>
  <c r="C54"/>
  <c r="E56"/>
  <c r="F56"/>
  <c r="F57"/>
  <c r="E58"/>
  <c r="F58"/>
  <c r="E59"/>
  <c r="F59"/>
  <c r="E60"/>
  <c r="F60"/>
  <c r="E61"/>
  <c r="F61"/>
  <c r="C62"/>
  <c r="E63"/>
  <c r="F63"/>
  <c r="EC29" i="2"/>
  <c r="E65" i="19"/>
  <c r="F65"/>
  <c r="E66"/>
  <c r="F66"/>
  <c r="E67"/>
  <c r="F67"/>
  <c r="E68"/>
  <c r="F68"/>
  <c r="E71"/>
  <c r="F71"/>
  <c r="E72"/>
  <c r="F72"/>
  <c r="E74"/>
  <c r="F74"/>
  <c r="D75"/>
  <c r="EI29" i="2" s="1"/>
  <c r="E76" i="19"/>
  <c r="F76"/>
  <c r="E77"/>
  <c r="F77"/>
  <c r="E78"/>
  <c r="C79"/>
  <c r="D79"/>
  <c r="EL29" i="2" s="1"/>
  <c r="E80" i="19"/>
  <c r="F80"/>
  <c r="C81"/>
  <c r="EN29" i="2" s="1"/>
  <c r="D81" i="19"/>
  <c r="EO29" i="2" s="1"/>
  <c r="E82" i="19"/>
  <c r="F82"/>
  <c r="E83"/>
  <c r="F83"/>
  <c r="E84"/>
  <c r="F84"/>
  <c r="F85"/>
  <c r="C86"/>
  <c r="D86"/>
  <c r="ER29" i="2" s="1"/>
  <c r="E87" i="19"/>
  <c r="F87"/>
  <c r="E88"/>
  <c r="F88"/>
  <c r="E89"/>
  <c r="E90"/>
  <c r="E91"/>
  <c r="C92"/>
  <c r="D92"/>
  <c r="EU29" i="2" s="1"/>
  <c r="E93" i="19"/>
  <c r="F93"/>
  <c r="E94"/>
  <c r="F94"/>
  <c r="E95"/>
  <c r="F95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1"/>
  <c r="F41"/>
  <c r="E42"/>
  <c r="F42"/>
  <c r="C45"/>
  <c r="D45"/>
  <c r="D56"/>
  <c r="E58"/>
  <c r="F58"/>
  <c r="F59"/>
  <c r="E60"/>
  <c r="F60"/>
  <c r="E61"/>
  <c r="F61"/>
  <c r="E62"/>
  <c r="F62"/>
  <c r="E63"/>
  <c r="F63"/>
  <c r="C64"/>
  <c r="E65"/>
  <c r="F65"/>
  <c r="E67"/>
  <c r="F67"/>
  <c r="E68"/>
  <c r="F68"/>
  <c r="E69"/>
  <c r="F69"/>
  <c r="E70"/>
  <c r="F70"/>
  <c r="D72"/>
  <c r="EF27" i="2" s="1"/>
  <c r="E74" i="17"/>
  <c r="F74"/>
  <c r="E75"/>
  <c r="F75"/>
  <c r="E76"/>
  <c r="F76"/>
  <c r="C77"/>
  <c r="E78"/>
  <c r="F78"/>
  <c r="E79"/>
  <c r="F79"/>
  <c r="E80"/>
  <c r="F80"/>
  <c r="D81"/>
  <c r="C83"/>
  <c r="D83"/>
  <c r="EO27" i="2" s="1"/>
  <c r="E84" i="17"/>
  <c r="F84"/>
  <c r="E85"/>
  <c r="F85"/>
  <c r="E86"/>
  <c r="F86"/>
  <c r="F87"/>
  <c r="D88"/>
  <c r="ER27" i="2" s="1"/>
  <c r="F89" i="17"/>
  <c r="E90"/>
  <c r="F90"/>
  <c r="E91"/>
  <c r="E92"/>
  <c r="E93"/>
  <c r="C94"/>
  <c r="ET27" i="2" s="1"/>
  <c r="D94" i="17"/>
  <c r="EU27" i="2" s="1"/>
  <c r="E95" i="17"/>
  <c r="F95"/>
  <c r="E96"/>
  <c r="F96"/>
  <c r="E97"/>
  <c r="F97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E30"/>
  <c r="F30"/>
  <c r="D31"/>
  <c r="E32"/>
  <c r="F32"/>
  <c r="E33"/>
  <c r="F33"/>
  <c r="C36"/>
  <c r="BQ23" i="2" s="1"/>
  <c r="D36" i="13"/>
  <c r="E37"/>
  <c r="F37"/>
  <c r="E38"/>
  <c r="F38"/>
  <c r="E41"/>
  <c r="F41"/>
  <c r="F44"/>
  <c r="E45"/>
  <c r="F45"/>
  <c r="E46"/>
  <c r="F46"/>
  <c r="E47"/>
  <c r="F47"/>
  <c r="F48"/>
  <c r="E49"/>
  <c r="F49"/>
  <c r="C56"/>
  <c r="E58"/>
  <c r="F58"/>
  <c r="F59"/>
  <c r="E60"/>
  <c r="F60"/>
  <c r="E61"/>
  <c r="F61"/>
  <c r="E62"/>
  <c r="F62"/>
  <c r="E63"/>
  <c r="F63"/>
  <c r="C64"/>
  <c r="E65"/>
  <c r="F65"/>
  <c r="EB23" i="2"/>
  <c r="EC23"/>
  <c r="E67" i="13"/>
  <c r="F67"/>
  <c r="E68"/>
  <c r="F68"/>
  <c r="E69"/>
  <c r="F69"/>
  <c r="E70"/>
  <c r="F70"/>
  <c r="C72"/>
  <c r="E74"/>
  <c r="F74"/>
  <c r="E75"/>
  <c r="F75"/>
  <c r="E76"/>
  <c r="F76"/>
  <c r="E78"/>
  <c r="F78"/>
  <c r="E79"/>
  <c r="F79"/>
  <c r="E80"/>
  <c r="F80"/>
  <c r="E82"/>
  <c r="C83"/>
  <c r="EN23" i="2" s="1"/>
  <c r="D83" i="13"/>
  <c r="E84"/>
  <c r="F84"/>
  <c r="E85"/>
  <c r="F85"/>
  <c r="E86"/>
  <c r="F86"/>
  <c r="F87"/>
  <c r="C88"/>
  <c r="EQ23" i="2" s="1"/>
  <c r="D88" i="13"/>
  <c r="ER23" i="2" s="1"/>
  <c r="E89" i="13"/>
  <c r="F89"/>
  <c r="E90"/>
  <c r="F90"/>
  <c r="E91"/>
  <c r="E92"/>
  <c r="E93"/>
  <c r="C94"/>
  <c r="ET23" i="2" s="1"/>
  <c r="D94" i="13"/>
  <c r="EU23" i="2" s="1"/>
  <c r="E95" i="13"/>
  <c r="F95"/>
  <c r="E96"/>
  <c r="F96"/>
  <c r="E97"/>
  <c r="F97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BF18" i="2" s="1"/>
  <c r="E32" i="8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BF16" i="2" s="1"/>
  <c r="E33" i="6"/>
  <c r="F33"/>
  <c r="E34"/>
  <c r="F34"/>
  <c r="E37"/>
  <c r="F37"/>
  <c r="D38"/>
  <c r="BR16" i="2" s="1"/>
  <c r="C38" i="6"/>
  <c r="E39"/>
  <c r="E40"/>
  <c r="F40"/>
  <c r="F42"/>
  <c r="E43"/>
  <c r="F43"/>
  <c r="E44"/>
  <c r="F44"/>
  <c r="E45"/>
  <c r="F45"/>
  <c r="E48"/>
  <c r="F48"/>
  <c r="E49"/>
  <c r="F49"/>
  <c r="F50"/>
  <c r="E51"/>
  <c r="F51"/>
  <c r="C58"/>
  <c r="D58"/>
  <c r="E60"/>
  <c r="F60"/>
  <c r="F61"/>
  <c r="E62"/>
  <c r="F62"/>
  <c r="E63"/>
  <c r="F63"/>
  <c r="E64"/>
  <c r="F64"/>
  <c r="E65"/>
  <c r="F65"/>
  <c r="C66"/>
  <c r="E67"/>
  <c r="F67"/>
  <c r="EB16" i="2"/>
  <c r="E69" i="6"/>
  <c r="F69"/>
  <c r="E70"/>
  <c r="F70"/>
  <c r="E71"/>
  <c r="F71"/>
  <c r="E72"/>
  <c r="F72"/>
  <c r="D74"/>
  <c r="EF16" i="2" s="1"/>
  <c r="E75" i="6"/>
  <c r="F75"/>
  <c r="E76"/>
  <c r="F76"/>
  <c r="E78"/>
  <c r="F78"/>
  <c r="C81"/>
  <c r="D81"/>
  <c r="EI16" i="2" s="1"/>
  <c r="E82" i="6"/>
  <c r="F82"/>
  <c r="E83"/>
  <c r="F83"/>
  <c r="E84"/>
  <c r="F84"/>
  <c r="C85"/>
  <c r="EK16" i="2" s="1"/>
  <c r="D85" i="6"/>
  <c r="EL16" i="2" s="1"/>
  <c r="E86" i="6"/>
  <c r="F86"/>
  <c r="C87"/>
  <c r="EN16" i="2" s="1"/>
  <c r="D87" i="6"/>
  <c r="EO16" i="2" s="1"/>
  <c r="E88" i="6"/>
  <c r="F88"/>
  <c r="E89"/>
  <c r="F89"/>
  <c r="E90"/>
  <c r="F90"/>
  <c r="F91"/>
  <c r="C92"/>
  <c r="EQ16" i="2" s="1"/>
  <c r="D92" i="6"/>
  <c r="ER16" i="2" s="1"/>
  <c r="E93" i="6"/>
  <c r="F93"/>
  <c r="E94"/>
  <c r="F94"/>
  <c r="E95"/>
  <c r="E96"/>
  <c r="E97"/>
  <c r="C98"/>
  <c r="D98"/>
  <c r="EU16" i="2" s="1"/>
  <c r="E99" i="6"/>
  <c r="F99"/>
  <c r="E100"/>
  <c r="F100"/>
  <c r="E101"/>
  <c r="F101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AY14" i="2"/>
  <c r="AZ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C9" s="1"/>
  <c r="F11"/>
  <c r="C11" s="1"/>
  <c r="F12"/>
  <c r="F13"/>
  <c r="F16"/>
  <c r="C16" s="1"/>
  <c r="F17"/>
  <c r="G17"/>
  <c r="F18"/>
  <c r="G19"/>
  <c r="D19" s="1"/>
  <c r="F34"/>
  <c r="C34" s="1"/>
  <c r="F39"/>
  <c r="C39" s="1"/>
  <c r="F40"/>
  <c r="C40" s="1"/>
  <c r="G40"/>
  <c r="D40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J17"/>
  <c r="BV17"/>
  <c r="BY17"/>
  <c r="CJ17"/>
  <c r="CL17"/>
  <c r="CM17"/>
  <c r="CT17"/>
  <c r="CZ17"/>
  <c r="DM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X19"/>
  <c r="BE19"/>
  <c r="BF19"/>
  <c r="BJ19"/>
  <c r="BV19"/>
  <c r="BY19"/>
  <c r="CJ19"/>
  <c r="CL19"/>
  <c r="CM19"/>
  <c r="CP19"/>
  <c r="CQ19" s="1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D22" i="1"/>
  <c r="E22" s="1"/>
  <c r="F24"/>
  <c r="F26"/>
  <c r="C26" s="1"/>
  <c r="G26"/>
  <c r="E32"/>
  <c r="E33"/>
  <c r="E36"/>
  <c r="AO22" i="2"/>
  <c r="AO29"/>
  <c r="AO27"/>
  <c r="AO26"/>
  <c r="F39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70" i="19"/>
  <c r="F73"/>
  <c r="E73"/>
  <c r="E42" i="6"/>
  <c r="E76" i="9"/>
  <c r="F75" i="11"/>
  <c r="E77" i="12"/>
  <c r="F73" i="17"/>
  <c r="C72"/>
  <c r="EE27" i="2" s="1"/>
  <c r="E73" i="17"/>
  <c r="E80" i="8"/>
  <c r="F80"/>
  <c r="E74"/>
  <c r="CC20" i="2"/>
  <c r="C72" i="12"/>
  <c r="C39" i="19"/>
  <c r="F40"/>
  <c r="AZ23" i="2" l="1"/>
  <c r="BA23" s="1"/>
  <c r="D25" i="13"/>
  <c r="J31" i="2"/>
  <c r="J33" s="1"/>
  <c r="E11" i="1"/>
  <c r="E9"/>
  <c r="AZ29" i="2"/>
  <c r="BA29" s="1"/>
  <c r="D25" i="19"/>
  <c r="D25" i="16"/>
  <c r="F40" i="8"/>
  <c r="BP22" i="2"/>
  <c r="CQ29"/>
  <c r="CA23"/>
  <c r="BZ14"/>
  <c r="AQ31"/>
  <c r="CQ20"/>
  <c r="E20" i="14"/>
  <c r="CQ23" i="2"/>
  <c r="CQ21"/>
  <c r="CA17"/>
  <c r="CQ28"/>
  <c r="CQ27"/>
  <c r="CQ26"/>
  <c r="CQ25"/>
  <c r="CQ24"/>
  <c r="CQ22"/>
  <c r="CQ18"/>
  <c r="CQ16"/>
  <c r="CQ15"/>
  <c r="BP29"/>
  <c r="F28"/>
  <c r="F27"/>
  <c r="F23"/>
  <c r="F22"/>
  <c r="F20"/>
  <c r="BP19"/>
  <c r="BP17"/>
  <c r="F16"/>
  <c r="C25" i="12"/>
  <c r="AS19" i="2"/>
  <c r="F19" s="1"/>
  <c r="C25" i="9"/>
  <c r="C25" i="6"/>
  <c r="C25" i="16"/>
  <c r="D98" i="8"/>
  <c r="EH27" i="2"/>
  <c r="EJ27" s="1"/>
  <c r="BP25"/>
  <c r="BP18"/>
  <c r="BP28"/>
  <c r="BZ16"/>
  <c r="BA16"/>
  <c r="C94" i="4"/>
  <c r="E64" i="11"/>
  <c r="D96" i="19"/>
  <c r="E14" i="12"/>
  <c r="EQ29" i="2"/>
  <c r="ES29" s="1"/>
  <c r="F17" i="14"/>
  <c r="C98" i="12"/>
  <c r="G98" s="1"/>
  <c r="D98"/>
  <c r="H98" s="1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E40" i="9"/>
  <c r="EB15" i="2"/>
  <c r="ED15" s="1"/>
  <c r="E5" i="12"/>
  <c r="F55" i="16"/>
  <c r="E40" i="8"/>
  <c r="CK27" i="2"/>
  <c r="E72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E5" i="8"/>
  <c r="F26" i="5"/>
  <c r="F26" i="12"/>
  <c r="AR22" i="2"/>
  <c r="F7" i="12"/>
  <c r="E37" i="5"/>
  <c r="C25"/>
  <c r="CH23" i="2"/>
  <c r="Z20"/>
  <c r="E56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1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8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F26" i="19"/>
  <c r="E17" i="17"/>
  <c r="CH27" i="2"/>
  <c r="EA25"/>
  <c r="AU25"/>
  <c r="CH25"/>
  <c r="Z25"/>
  <c r="CE25"/>
  <c r="F37" i="14"/>
  <c r="F35" s="1"/>
  <c r="F34" s="1"/>
  <c r="F20" i="13"/>
  <c r="F64"/>
  <c r="Q22" i="2"/>
  <c r="E94" i="11"/>
  <c r="F40" i="9"/>
  <c r="E20"/>
  <c r="F36"/>
  <c r="F86"/>
  <c r="F7" i="8"/>
  <c r="ES18" i="2"/>
  <c r="F14" i="8"/>
  <c r="F80" i="7"/>
  <c r="E38" i="6"/>
  <c r="E35"/>
  <c r="CE15" i="2"/>
  <c r="AF15"/>
  <c r="W15"/>
  <c r="EP15"/>
  <c r="E84" i="4"/>
  <c r="E73"/>
  <c r="D4"/>
  <c r="D37" s="1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1" i="8"/>
  <c r="F17" i="7"/>
  <c r="DJ16" i="2"/>
  <c r="F38" i="6"/>
  <c r="F87"/>
  <c r="C4"/>
  <c r="DR15" i="2"/>
  <c r="BO15"/>
  <c r="F20" i="5"/>
  <c r="DX14" i="2"/>
  <c r="CE14"/>
  <c r="E7" i="19"/>
  <c r="D4"/>
  <c r="E34"/>
  <c r="AC29" i="2"/>
  <c r="DK29"/>
  <c r="DH29" s="1"/>
  <c r="E84" i="18"/>
  <c r="F77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4" i="13"/>
  <c r="DO23" i="2"/>
  <c r="F56" i="13"/>
  <c r="D98"/>
  <c r="F88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K19"/>
  <c r="E66" i="8"/>
  <c r="CE18" i="2"/>
  <c r="K18"/>
  <c r="BL31"/>
  <c r="E89" i="8"/>
  <c r="EA18" i="2"/>
  <c r="AR18"/>
  <c r="E7" i="6"/>
  <c r="E32"/>
  <c r="F12"/>
  <c r="F86" i="5"/>
  <c r="E20"/>
  <c r="DO15" i="2"/>
  <c r="E20" i="4"/>
  <c r="CK14" i="2"/>
  <c r="Z14"/>
  <c r="E14" i="4"/>
  <c r="E7"/>
  <c r="F31"/>
  <c r="F29" i="19"/>
  <c r="E29"/>
  <c r="E12"/>
  <c r="E26"/>
  <c r="AI29" i="2"/>
  <c r="F31" i="19"/>
  <c r="E92"/>
  <c r="DO29" i="2"/>
  <c r="W29"/>
  <c r="E17" i="18"/>
  <c r="E7"/>
  <c r="Z28" i="2"/>
  <c r="E77" i="17"/>
  <c r="E45"/>
  <c r="DX27" i="2"/>
  <c r="E34" i="17"/>
  <c r="EV27" i="2"/>
  <c r="F31" i="17"/>
  <c r="W27" i="2"/>
  <c r="E94" i="17"/>
  <c r="F94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6" i="13"/>
  <c r="F26"/>
  <c r="BZ23" i="2"/>
  <c r="AI23"/>
  <c r="AR23"/>
  <c r="F72" i="12"/>
  <c r="F96"/>
  <c r="E96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6" i="9"/>
  <c r="E65"/>
  <c r="DO19" i="2"/>
  <c r="E34" i="9"/>
  <c r="F26"/>
  <c r="EV18" i="2"/>
  <c r="EJ18"/>
  <c r="F20" i="8"/>
  <c r="E95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2" i="6"/>
  <c r="DR16" i="2"/>
  <c r="E12" i="6"/>
  <c r="DU16" i="2"/>
  <c r="AI16"/>
  <c r="AC16"/>
  <c r="W16"/>
  <c r="C101" i="5"/>
  <c r="D101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DK15"/>
  <c r="DJ15"/>
  <c r="AO15"/>
  <c r="AA31"/>
  <c r="AA33" s="1"/>
  <c r="E17" i="4"/>
  <c r="C4"/>
  <c r="C37" s="1"/>
  <c r="F83" i="5"/>
  <c r="EP16" i="2"/>
  <c r="E81" i="6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8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8" i="6"/>
  <c r="AF27" i="2"/>
  <c r="AF25"/>
  <c r="N25"/>
  <c r="T24"/>
  <c r="C4" i="7"/>
  <c r="C4" i="8"/>
  <c r="BS19" i="2"/>
  <c r="D4" i="10"/>
  <c r="C4" i="11"/>
  <c r="E14" i="15"/>
  <c r="F17" i="16"/>
  <c r="F86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2" i="8"/>
  <c r="D98" i="11"/>
  <c r="F56"/>
  <c r="F57" i="9"/>
  <c r="E56" i="12"/>
  <c r="F56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70" i="19"/>
  <c r="BZ29" i="2"/>
  <c r="E37" i="18"/>
  <c r="E39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3" i="1"/>
  <c r="H6"/>
  <c r="BR26" i="2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4" i="1"/>
  <c r="G7"/>
  <c r="BF29" i="2"/>
  <c r="EC26"/>
  <c r="EO25"/>
  <c r="EP25" s="1"/>
  <c r="N23"/>
  <c r="EC16"/>
  <c r="ED16" s="1"/>
  <c r="F26" i="6"/>
  <c r="DJ26" i="2"/>
  <c r="AN31"/>
  <c r="E63" i="16"/>
  <c r="E86" i="19"/>
  <c r="AW32" i="2"/>
  <c r="AW33" s="1"/>
  <c r="E66" i="12"/>
  <c r="F66"/>
  <c r="F81" i="15"/>
  <c r="F66" i="13"/>
  <c r="F72" i="8"/>
  <c r="C98"/>
  <c r="D98" i="14"/>
  <c r="E81" i="13"/>
  <c r="E20" i="12"/>
  <c r="F83" i="15"/>
  <c r="E91" i="5"/>
  <c r="F17" i="15"/>
  <c r="EU17" i="2"/>
  <c r="EV17" s="1"/>
  <c r="E85" i="6"/>
  <c r="F32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4" i="13"/>
  <c r="F17" i="18"/>
  <c r="DR14" i="2"/>
  <c r="F17" i="11"/>
  <c r="F85" i="6"/>
  <c r="F77" i="13"/>
  <c r="F80" i="16"/>
  <c r="F62" i="19"/>
  <c r="E14" i="18"/>
  <c r="F20" i="14"/>
  <c r="Q25" i="2"/>
  <c r="CK25"/>
  <c r="Z22"/>
  <c r="EK20"/>
  <c r="EM20" s="1"/>
  <c r="EH16"/>
  <c r="EJ16" s="1"/>
  <c r="E57" i="9"/>
  <c r="F7"/>
  <c r="E64" i="15"/>
  <c r="F81" i="13"/>
  <c r="E93" i="7"/>
  <c r="E5" i="6"/>
  <c r="D25" i="10"/>
  <c r="DN31" i="2"/>
  <c r="DN33" s="1"/>
  <c r="E37" i="12"/>
  <c r="F64"/>
  <c r="EC28" i="2"/>
  <c r="AU24"/>
  <c r="AR16"/>
  <c r="E66" i="6"/>
  <c r="DJ18" i="2"/>
  <c r="F17" i="19"/>
  <c r="E29" i="4"/>
  <c r="E80" i="16"/>
  <c r="E99" i="9"/>
  <c r="DJ19" i="2"/>
  <c r="F14" i="4"/>
  <c r="E77" i="15"/>
  <c r="E94"/>
  <c r="E82" i="12"/>
  <c r="E79" i="19"/>
  <c r="F29" i="10"/>
  <c r="E84"/>
  <c r="F66" i="8"/>
  <c r="E83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CN29"/>
  <c r="AF16"/>
  <c r="F98" i="6"/>
  <c r="N28" i="2"/>
  <c r="D97" i="7"/>
  <c r="AI28" i="2"/>
  <c r="CN21"/>
  <c r="K14"/>
  <c r="EA28"/>
  <c r="CK21"/>
  <c r="F58" i="6"/>
  <c r="F7"/>
  <c r="DM31" i="2"/>
  <c r="DM33" s="1"/>
  <c r="CE26"/>
  <c r="CA26"/>
  <c r="CA29"/>
  <c r="CA28"/>
  <c r="CA27"/>
  <c r="CO31"/>
  <c r="CO33" s="1"/>
  <c r="CA24"/>
  <c r="EP22"/>
  <c r="CF31"/>
  <c r="CF33" s="1"/>
  <c r="CA22"/>
  <c r="AD31"/>
  <c r="L31"/>
  <c r="L33" s="1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8" i="6"/>
  <c r="E55" i="7"/>
  <c r="F55"/>
  <c r="F39" i="19"/>
  <c r="EA17" i="2"/>
  <c r="F14" i="5"/>
  <c r="EV19" i="2"/>
  <c r="E26" i="9"/>
  <c r="E31" i="10"/>
  <c r="F5"/>
  <c r="E77" i="13"/>
  <c r="F92" i="6"/>
  <c r="H36" i="1"/>
  <c r="CH18" i="2"/>
  <c r="F17" i="10"/>
  <c r="F56" i="12"/>
  <c r="CH14" i="2"/>
  <c r="F12" i="14"/>
  <c r="F12" i="17"/>
  <c r="E5" i="18"/>
  <c r="E7" i="14"/>
  <c r="E7" i="15"/>
  <c r="T22" i="2"/>
  <c r="F5" i="8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DJ22" i="2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6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70" i="19"/>
  <c r="AL24" i="2"/>
  <c r="BZ20"/>
  <c r="E77" i="14"/>
  <c r="DA32" i="2"/>
  <c r="DA33" s="1"/>
  <c r="EP29"/>
  <c r="ES27"/>
  <c r="DK25"/>
  <c r="BG23"/>
  <c r="E36" i="9"/>
  <c r="F45" i="17"/>
  <c r="F34"/>
  <c r="E72" i="12"/>
  <c r="AC26" i="2"/>
  <c r="DU24"/>
  <c r="CH24"/>
  <c r="AO19"/>
  <c r="N19"/>
  <c r="DU18"/>
  <c r="E87" i="6"/>
  <c r="F17" i="9"/>
  <c r="F82" i="10"/>
  <c r="E5"/>
  <c r="E88" i="13"/>
  <c r="F82" i="16"/>
  <c r="G24" i="2"/>
  <c r="AK31"/>
  <c r="EE22"/>
  <c r="EG22" s="1"/>
  <c r="E72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6" i="5"/>
  <c r="F66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3" s="1"/>
  <c r="CM31"/>
  <c r="CM33" s="1"/>
  <c r="AB31"/>
  <c r="EK17"/>
  <c r="EM17" s="1"/>
  <c r="N17"/>
  <c r="ED22"/>
  <c r="EM29"/>
  <c r="F91" i="5"/>
  <c r="EP19" i="2"/>
  <c r="F20" i="12"/>
  <c r="F34" i="7"/>
  <c r="BS16" i="2"/>
  <c r="CC31"/>
  <c r="CC33" s="1"/>
  <c r="H37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3" i="17"/>
  <c r="E56"/>
  <c r="E20"/>
  <c r="F79" i="19"/>
  <c r="F20"/>
  <c r="H38" i="1"/>
  <c r="BG27" i="2"/>
  <c r="BE31"/>
  <c r="BE33" s="1"/>
  <c r="E36" i="7"/>
  <c r="F36"/>
  <c r="BQ17" i="2"/>
  <c r="BS17" s="1"/>
  <c r="DZ31"/>
  <c r="DZ33" s="1"/>
  <c r="EV26"/>
  <c r="DJ23"/>
  <c r="AF17"/>
  <c r="CH16"/>
  <c r="EA15"/>
  <c r="BZ15"/>
  <c r="E64" i="8"/>
  <c r="F89" i="10"/>
  <c r="F14"/>
  <c r="F84" i="12"/>
  <c r="F5" i="13"/>
  <c r="F83" i="14"/>
  <c r="E26" i="15"/>
  <c r="F12"/>
  <c r="E31" i="16"/>
  <c r="F20" i="17"/>
  <c r="F65" i="18"/>
  <c r="E20" i="19"/>
  <c r="Z26" i="2"/>
  <c r="E64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B31" i="2"/>
  <c r="BD14"/>
  <c r="G39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6" i="13"/>
  <c r="BR23" i="2"/>
  <c r="BS23" s="1"/>
  <c r="F36" i="13"/>
  <c r="E14"/>
  <c r="F14"/>
  <c r="F20" i="16"/>
  <c r="E20"/>
  <c r="E29" i="17"/>
  <c r="F29"/>
  <c r="D25"/>
  <c r="E62" i="19"/>
  <c r="DY29" i="2"/>
  <c r="EA29" s="1"/>
  <c r="EK18"/>
  <c r="E81" i="8"/>
  <c r="C25"/>
  <c r="F26"/>
  <c r="G16" i="1"/>
  <c r="D16" s="1"/>
  <c r="E16" s="1"/>
  <c r="E67" i="9"/>
  <c r="EC19" i="2"/>
  <c r="F67" i="9"/>
  <c r="E66" i="11"/>
  <c r="F66"/>
  <c r="EC21" i="2"/>
  <c r="E77" i="4"/>
  <c r="EK14" i="2"/>
  <c r="F77" i="4"/>
  <c r="C72" i="15"/>
  <c r="C98" s="1"/>
  <c r="E75"/>
  <c r="C71" i="16"/>
  <c r="F72"/>
  <c r="E72"/>
  <c r="C81" i="17"/>
  <c r="E81" s="1"/>
  <c r="F82"/>
  <c r="E82"/>
  <c r="E77" i="18"/>
  <c r="C73"/>
  <c r="F77"/>
  <c r="E64"/>
  <c r="C57"/>
  <c r="F64"/>
  <c r="C75" i="19"/>
  <c r="C96" s="1"/>
  <c r="F78"/>
  <c r="H11" i="1"/>
  <c r="D102" i="6"/>
  <c r="F93" i="9"/>
  <c r="E89" i="10"/>
  <c r="EV23" i="2"/>
  <c r="F65" i="5"/>
  <c r="E32" i="18"/>
  <c r="CK18" i="2"/>
  <c r="G13" i="1"/>
  <c r="BF14" i="2"/>
  <c r="E31" i="4"/>
  <c r="E5" i="5"/>
  <c r="F5"/>
  <c r="ET16" i="2"/>
  <c r="E98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25" s="1"/>
  <c r="F37" i="15"/>
  <c r="EB28" i="2"/>
  <c r="F67" i="18"/>
  <c r="ET29" i="2"/>
  <c r="EV29" s="1"/>
  <c r="F92" i="19"/>
  <c r="F35" i="1"/>
  <c r="E12" i="11"/>
  <c r="F12"/>
  <c r="EE15" i="2"/>
  <c r="F73" i="5"/>
  <c r="D98" i="17"/>
  <c r="E64"/>
  <c r="F64"/>
  <c r="F76" i="16"/>
  <c r="E76"/>
  <c r="EI26" i="2"/>
  <c r="E54" i="19"/>
  <c r="F54"/>
  <c r="E82" i="18"/>
  <c r="EL28" i="2"/>
  <c r="EM28" s="1"/>
  <c r="F82" i="18"/>
  <c r="F39" i="4"/>
  <c r="E77" i="6"/>
  <c r="C74"/>
  <c r="F77"/>
  <c r="E73" i="7"/>
  <c r="F73"/>
  <c r="F79"/>
  <c r="C76"/>
  <c r="CR31" i="2"/>
  <c r="CR33" s="1"/>
  <c r="CT19"/>
  <c r="F72" i="17"/>
  <c r="CN28" i="2"/>
  <c r="F31" i="8"/>
  <c r="E17" i="9"/>
  <c r="F31" i="11"/>
  <c r="C98" i="13"/>
  <c r="F88" i="14"/>
  <c r="C25"/>
  <c r="E14" i="16"/>
  <c r="D103" i="9"/>
  <c r="ES22" i="2"/>
  <c r="DK16"/>
  <c r="DX16"/>
  <c r="F19" i="1"/>
  <c r="C19" s="1"/>
  <c r="F7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3" i="13"/>
  <c r="EO23" i="2"/>
  <c r="EP23" s="1"/>
  <c r="E83" i="13"/>
  <c r="EE23" i="2"/>
  <c r="F72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40" i="13"/>
  <c r="F40"/>
  <c r="E7" i="5"/>
  <c r="F7"/>
  <c r="EB27" i="2"/>
  <c r="F66" i="17"/>
  <c r="E13" i="7"/>
  <c r="Y17" i="2"/>
  <c r="F13" i="7"/>
  <c r="Y19" i="2"/>
  <c r="G19" s="1"/>
  <c r="E13" i="9"/>
  <c r="D12"/>
  <c r="F95" i="8"/>
  <c r="CE23" i="2"/>
  <c r="K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3" i="17"/>
  <c r="EN27" i="2"/>
  <c r="EP27" s="1"/>
  <c r="E78" i="18"/>
  <c r="EH28" i="2"/>
  <c r="EJ28" s="1"/>
  <c r="F78" i="18"/>
  <c r="E81" i="19"/>
  <c r="F81"/>
  <c r="EB29" i="2"/>
  <c r="ED29" s="1"/>
  <c r="E64" i="19"/>
  <c r="F64"/>
  <c r="C4"/>
  <c r="F5"/>
  <c r="F64" i="10"/>
  <c r="EF17" i="2"/>
  <c r="EC14"/>
  <c r="F62" i="4"/>
  <c r="E62"/>
  <c r="CI31" i="2"/>
  <c r="CI33" s="1"/>
  <c r="CK16"/>
  <c r="CW14"/>
  <c r="F74" i="10"/>
  <c r="C72"/>
  <c r="EE20" i="2" s="1"/>
  <c r="F73" i="11"/>
  <c r="C72"/>
  <c r="C81"/>
  <c r="E82"/>
  <c r="E73" i="13"/>
  <c r="F73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DJ17"/>
  <c r="CD31"/>
  <c r="BG16"/>
  <c r="EA14"/>
  <c r="DU14"/>
  <c r="N14"/>
  <c r="AR15"/>
  <c r="CT26"/>
  <c r="AR27"/>
  <c r="BH32"/>
  <c r="BH33" s="1"/>
  <c r="BJ31"/>
  <c r="DE32"/>
  <c r="DE33" s="1"/>
  <c r="DJ28"/>
  <c r="DJ27"/>
  <c r="DW31"/>
  <c r="DW33" s="1"/>
  <c r="AH31"/>
  <c r="AH33" s="1"/>
  <c r="EG18"/>
  <c r="DK27"/>
  <c r="DJ21"/>
  <c r="G29" l="1"/>
  <c r="D29" s="1"/>
  <c r="EX29" s="1"/>
  <c r="AU19"/>
  <c r="AS31"/>
  <c r="AS33" s="1"/>
  <c r="F24"/>
  <c r="C24" s="1"/>
  <c r="F29"/>
  <c r="C29" s="1"/>
  <c r="F21"/>
  <c r="F18"/>
  <c r="F17"/>
  <c r="C17" s="1"/>
  <c r="C98" i="17"/>
  <c r="BP15" i="2"/>
  <c r="D38" i="19"/>
  <c r="D49" s="1"/>
  <c r="D50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8" i="1"/>
  <c r="ER33" i="2"/>
  <c r="DV33"/>
  <c r="P33"/>
  <c r="AQ33"/>
  <c r="G18"/>
  <c r="D18" s="1"/>
  <c r="AT31"/>
  <c r="AT33" s="1"/>
  <c r="C40" i="5"/>
  <c r="C52" s="1"/>
  <c r="C53" s="1"/>
  <c r="D40" i="18"/>
  <c r="D52" s="1"/>
  <c r="BS15" i="2"/>
  <c r="G15"/>
  <c r="D15" s="1"/>
  <c r="CB29"/>
  <c r="E25" i="15"/>
  <c r="ED26" i="2"/>
  <c r="BN31"/>
  <c r="E25" i="5"/>
  <c r="E4" i="13"/>
  <c r="CZ32" i="2"/>
  <c r="CZ33" s="1"/>
  <c r="E25" i="16"/>
  <c r="BS26" i="2"/>
  <c r="F4" i="16"/>
  <c r="E36"/>
  <c r="F36"/>
  <c r="E4" i="10"/>
  <c r="D39"/>
  <c r="D51" s="1"/>
  <c r="CB18" i="2"/>
  <c r="CB23"/>
  <c r="E4" i="16"/>
  <c r="C40" i="14"/>
  <c r="C51" s="1"/>
  <c r="F4" i="13"/>
  <c r="E25" i="12"/>
  <c r="E71" i="7"/>
  <c r="C41" i="6"/>
  <c r="C53" s="1"/>
  <c r="G16" i="2"/>
  <c r="D16" s="1"/>
  <c r="BO31"/>
  <c r="BO33" s="1"/>
  <c r="E4" i="5"/>
  <c r="F4" i="4"/>
  <c r="D47"/>
  <c r="DG20" i="2"/>
  <c r="DL23"/>
  <c r="DL19"/>
  <c r="BM31"/>
  <c r="DY31"/>
  <c r="ES26"/>
  <c r="D40" i="14"/>
  <c r="AL31" i="2"/>
  <c r="AL33" s="1"/>
  <c r="DL24"/>
  <c r="H20"/>
  <c r="C19"/>
  <c r="BL32"/>
  <c r="BL33" s="1"/>
  <c r="F98" i="8"/>
  <c r="CB16" i="2"/>
  <c r="DG14"/>
  <c r="H31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7" i="17"/>
  <c r="C51" s="1"/>
  <c r="DL26" i="2"/>
  <c r="BA25"/>
  <c r="F25" i="15"/>
  <c r="DH22" i="2"/>
  <c r="F25" i="12"/>
  <c r="F4" i="11"/>
  <c r="I13" i="1"/>
  <c r="C13" s="1"/>
  <c r="F101" i="5"/>
  <c r="E4" i="4"/>
  <c r="F94"/>
  <c r="CB26" i="2"/>
  <c r="DL18"/>
  <c r="DL15"/>
  <c r="F25" i="19"/>
  <c r="BG29" i="2"/>
  <c r="C26"/>
  <c r="DH25"/>
  <c r="CB25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1" i="5"/>
  <c r="C15" i="2"/>
  <c r="I6" i="1"/>
  <c r="C6" s="1"/>
  <c r="C47" i="4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DU31"/>
  <c r="D27"/>
  <c r="DO31"/>
  <c r="CQ31"/>
  <c r="I5" i="1"/>
  <c r="C5" s="1"/>
  <c r="N31" i="2"/>
  <c r="G4" i="1"/>
  <c r="G26" i="2"/>
  <c r="D26" s="1"/>
  <c r="AF31"/>
  <c r="J10" i="1"/>
  <c r="D10" s="1"/>
  <c r="DR31" i="2"/>
  <c r="E4" i="15"/>
  <c r="D40"/>
  <c r="D51" s="1"/>
  <c r="DL25" i="2"/>
  <c r="J25" i="1"/>
  <c r="D25" s="1"/>
  <c r="DH16" i="2"/>
  <c r="ED28"/>
  <c r="F25" i="10"/>
  <c r="D25" i="2"/>
  <c r="AP31"/>
  <c r="H34" i="1"/>
  <c r="D34"/>
  <c r="E34" s="1"/>
  <c r="K31" i="2"/>
  <c r="BQ31"/>
  <c r="DG18"/>
  <c r="D39" i="11"/>
  <c r="D51" s="1"/>
  <c r="DG23" i="2"/>
  <c r="J5" i="1"/>
  <c r="D5" s="1"/>
  <c r="C39" i="13"/>
  <c r="C51" s="1"/>
  <c r="E98" i="8"/>
  <c r="D20" i="2"/>
  <c r="Q31"/>
  <c r="D24"/>
  <c r="I7" i="1"/>
  <c r="C7" s="1"/>
  <c r="E25" i="9"/>
  <c r="EM18" i="2"/>
  <c r="C20"/>
  <c r="C14"/>
  <c r="J6" i="1"/>
  <c r="D6" s="1"/>
  <c r="Z19" i="2"/>
  <c r="DG22"/>
  <c r="DL16"/>
  <c r="DH28"/>
  <c r="EN31"/>
  <c r="BS28"/>
  <c r="C40" i="15"/>
  <c r="DL22" i="2"/>
  <c r="EG19"/>
  <c r="D40" i="5"/>
  <c r="T31" i="2"/>
  <c r="F98" i="12"/>
  <c r="E98"/>
  <c r="CH31" i="2"/>
  <c r="DK31"/>
  <c r="AK32"/>
  <c r="AK33" s="1"/>
  <c r="J13" i="1"/>
  <c r="D13" s="1"/>
  <c r="AX32" i="2"/>
  <c r="AX33" s="1"/>
  <c r="F25" i="5"/>
  <c r="CN31" i="2"/>
  <c r="C40" i="18"/>
  <c r="AC31" i="2"/>
  <c r="J8" i="1"/>
  <c r="D8" s="1"/>
  <c r="W31" i="2"/>
  <c r="CE31"/>
  <c r="AU18"/>
  <c r="DH20"/>
  <c r="DC31"/>
  <c r="DB32"/>
  <c r="DB33" s="1"/>
  <c r="CB15"/>
  <c r="F4" i="18"/>
  <c r="E4"/>
  <c r="J30" i="1"/>
  <c r="D30" s="1"/>
  <c r="DL28" i="2"/>
  <c r="E25" i="18"/>
  <c r="E25" i="10"/>
  <c r="C39" i="9"/>
  <c r="I18" i="1"/>
  <c r="C18" s="1"/>
  <c r="E72" i="10"/>
  <c r="C27" i="2"/>
  <c r="H27"/>
  <c r="EE24"/>
  <c r="E72" i="14"/>
  <c r="F72"/>
  <c r="C98"/>
  <c r="EK21" i="2"/>
  <c r="EM21" s="1"/>
  <c r="F81" i="11"/>
  <c r="E81"/>
  <c r="DH14" i="2"/>
  <c r="DL14"/>
  <c r="EE16"/>
  <c r="C102" i="6"/>
  <c r="E74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3"/>
  <c r="E4" i="12"/>
  <c r="D40"/>
  <c r="F4"/>
  <c r="F12" i="9"/>
  <c r="E12"/>
  <c r="D4"/>
  <c r="Y31" i="2"/>
  <c r="Y33" s="1"/>
  <c r="G17"/>
  <c r="Z17"/>
  <c r="F4" i="10"/>
  <c r="C39"/>
  <c r="EJ15" i="2"/>
  <c r="F14" i="1"/>
  <c r="EG15" i="2"/>
  <c r="DG15"/>
  <c r="E4" i="6"/>
  <c r="D41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8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C35" i="1"/>
  <c r="F28"/>
  <c r="F4"/>
  <c r="H5"/>
  <c r="ED14" i="2"/>
  <c r="EC31"/>
  <c r="EC33" s="1"/>
  <c r="D19"/>
  <c r="H19"/>
  <c r="D4" i="7"/>
  <c r="F12"/>
  <c r="E12"/>
  <c r="D37" i="17"/>
  <c r="F4"/>
  <c r="E4"/>
  <c r="E4" i="14"/>
  <c r="F4"/>
  <c r="EM19" i="2"/>
  <c r="EL31"/>
  <c r="EL33" s="1"/>
  <c r="F103" i="9"/>
  <c r="E103"/>
  <c r="E76" i="7"/>
  <c r="F76"/>
  <c r="C97"/>
  <c r="EH17" i="2"/>
  <c r="EJ17" s="1"/>
  <c r="ES19"/>
  <c r="EQ31"/>
  <c r="EQ33" s="1"/>
  <c r="F25" i="4"/>
  <c r="E25"/>
  <c r="F75" i="19"/>
  <c r="EH29" i="2"/>
  <c r="E75" i="19"/>
  <c r="F96"/>
  <c r="EE26" i="2"/>
  <c r="F71" i="16"/>
  <c r="C97"/>
  <c r="E71"/>
  <c r="EM14" i="2"/>
  <c r="E25" i="8"/>
  <c r="F25"/>
  <c r="F25" i="17"/>
  <c r="E25"/>
  <c r="G23" i="2"/>
  <c r="BR31"/>
  <c r="BR33" s="1"/>
  <c r="D39" i="8"/>
  <c r="F4"/>
  <c r="E4"/>
  <c r="D39" i="1"/>
  <c r="H39"/>
  <c r="E98" i="13"/>
  <c r="F72" i="10"/>
  <c r="C99"/>
  <c r="E99" s="1"/>
  <c r="F25" i="18"/>
  <c r="DL20" i="2"/>
  <c r="C39" i="8"/>
  <c r="C51" s="1"/>
  <c r="D39" i="13"/>
  <c r="F25"/>
  <c r="E25"/>
  <c r="CB21" i="2"/>
  <c r="D21"/>
  <c r="EK27"/>
  <c r="DG27" s="1"/>
  <c r="G14" i="1"/>
  <c r="H16"/>
  <c r="E4" i="19"/>
  <c r="C38"/>
  <c r="C49" s="1"/>
  <c r="F4"/>
  <c r="H7" i="1"/>
  <c r="F25" i="14"/>
  <c r="E25"/>
  <c r="I25" i="1"/>
  <c r="CT31" i="2"/>
  <c r="E38" i="4"/>
  <c r="F38"/>
  <c r="EJ26" i="2"/>
  <c r="DH26"/>
  <c r="BS25"/>
  <c r="EV20"/>
  <c r="EU31"/>
  <c r="BB32"/>
  <c r="BB33" s="1"/>
  <c r="BD31"/>
  <c r="F74" i="6"/>
  <c r="F81" i="17"/>
  <c r="DH23" i="2"/>
  <c r="DH18"/>
  <c r="DL21"/>
  <c r="CB22"/>
  <c r="CA31"/>
  <c r="BJ32"/>
  <c r="BJ33" s="1"/>
  <c r="DX31"/>
  <c r="DH27"/>
  <c r="DL27"/>
  <c r="J12" i="1"/>
  <c r="D12" s="1"/>
  <c r="E12" s="1"/>
  <c r="AI31" i="2"/>
  <c r="DJ31"/>
  <c r="DJ33" s="1"/>
  <c r="BZ33" l="1"/>
  <c r="I24" i="1"/>
  <c r="E8"/>
  <c r="E10"/>
  <c r="E6"/>
  <c r="E5"/>
  <c r="CA33" i="2"/>
  <c r="C52" i="13"/>
  <c r="C52" i="12"/>
  <c r="G51"/>
  <c r="D53" i="18"/>
  <c r="F51" i="11"/>
  <c r="C52" i="8"/>
  <c r="DK33" i="2"/>
  <c r="I15" i="1"/>
  <c r="C15" s="1"/>
  <c r="AP33" i="2"/>
  <c r="AO33"/>
  <c r="J17" i="1"/>
  <c r="D17" s="1"/>
  <c r="AZ33" i="2"/>
  <c r="I30" i="1"/>
  <c r="C30" s="1"/>
  <c r="E30" s="1"/>
  <c r="DY33" i="2"/>
  <c r="I20" i="1"/>
  <c r="C20" s="1"/>
  <c r="BN33" i="2"/>
  <c r="EN33"/>
  <c r="D52" i="15"/>
  <c r="D52" i="11"/>
  <c r="D52" i="10"/>
  <c r="C52" i="9"/>
  <c r="C53" s="1"/>
  <c r="C52" i="17"/>
  <c r="EW23" i="2"/>
  <c r="DG28"/>
  <c r="EW28" s="1"/>
  <c r="F25" i="16"/>
  <c r="E16" i="2"/>
  <c r="EX25"/>
  <c r="E28"/>
  <c r="C39" i="16"/>
  <c r="C50" s="1"/>
  <c r="BM32" i="2"/>
  <c r="BM33" s="1"/>
  <c r="EW20"/>
  <c r="J20" i="1"/>
  <c r="D20" s="1"/>
  <c r="C54" i="6"/>
  <c r="BP31" i="2"/>
  <c r="H16"/>
  <c r="DI14"/>
  <c r="EW19"/>
  <c r="EA31"/>
  <c r="DG21"/>
  <c r="DI21" s="1"/>
  <c r="EW14"/>
  <c r="EW22"/>
  <c r="C51" i="7"/>
  <c r="F102" i="6"/>
  <c r="H15" i="2"/>
  <c r="EX16"/>
  <c r="E26"/>
  <c r="H26"/>
  <c r="H24"/>
  <c r="E24"/>
  <c r="D22"/>
  <c r="E22" s="1"/>
  <c r="F39" i="11"/>
  <c r="E37" i="4"/>
  <c r="F37"/>
  <c r="I21" i="1"/>
  <c r="C21" s="1"/>
  <c r="I4"/>
  <c r="E27" i="2"/>
  <c r="EX20"/>
  <c r="K8" i="1"/>
  <c r="DI23" i="2"/>
  <c r="EX28"/>
  <c r="BQ32"/>
  <c r="BQ33" s="1"/>
  <c r="F40" i="18"/>
  <c r="K5" i="1"/>
  <c r="C4"/>
  <c r="EW27" i="2"/>
  <c r="J29" i="1"/>
  <c r="D29" s="1"/>
  <c r="D51" i="16"/>
  <c r="K10" i="1"/>
  <c r="H14"/>
  <c r="AR31" i="2"/>
  <c r="H29"/>
  <c r="EX24"/>
  <c r="E29"/>
  <c r="EX18"/>
  <c r="I37" i="1"/>
  <c r="E39" i="11"/>
  <c r="E102" i="6"/>
  <c r="E40" i="18"/>
  <c r="C52"/>
  <c r="C48" i="4"/>
  <c r="E20" i="2"/>
  <c r="K6" i="1"/>
  <c r="DI20" i="2"/>
  <c r="DI22"/>
  <c r="C51" i="15"/>
  <c r="F40"/>
  <c r="E40"/>
  <c r="D52" i="5"/>
  <c r="E40"/>
  <c r="F40"/>
  <c r="E97" i="7"/>
  <c r="EX21" i="2"/>
  <c r="F97" i="7"/>
  <c r="DC32" i="2"/>
  <c r="DC33" s="1"/>
  <c r="J15" i="1"/>
  <c r="AU31" i="2"/>
  <c r="EK31"/>
  <c r="E96" i="19"/>
  <c r="DG17" i="2"/>
  <c r="EW17" s="1"/>
  <c r="EM27"/>
  <c r="H21"/>
  <c r="C21"/>
  <c r="E21" s="1"/>
  <c r="F39" i="13"/>
  <c r="D51"/>
  <c r="E39"/>
  <c r="H23" i="2"/>
  <c r="D23"/>
  <c r="F97" i="16"/>
  <c r="E97"/>
  <c r="E4" i="7"/>
  <c r="D39"/>
  <c r="F4"/>
  <c r="H4" i="1"/>
  <c r="F23"/>
  <c r="F27" s="1"/>
  <c r="F43" s="1"/>
  <c r="J33"/>
  <c r="F98" i="15"/>
  <c r="E98"/>
  <c r="F99" i="18"/>
  <c r="E99"/>
  <c r="D17" i="2"/>
  <c r="H17"/>
  <c r="ET32"/>
  <c r="ET33" s="1"/>
  <c r="I41" i="1"/>
  <c r="DG16" i="2"/>
  <c r="EG16"/>
  <c r="EE31"/>
  <c r="EE33" s="1"/>
  <c r="E98" i="14"/>
  <c r="F98"/>
  <c r="F47" i="4"/>
  <c r="E47"/>
  <c r="D48"/>
  <c r="BD32" i="2"/>
  <c r="BD33" s="1"/>
  <c r="E38" i="19"/>
  <c r="F38"/>
  <c r="E39" i="1"/>
  <c r="J21"/>
  <c r="D21" s="1"/>
  <c r="BS31" i="2"/>
  <c r="I38" i="1"/>
  <c r="ES31" i="2"/>
  <c r="J31" i="1"/>
  <c r="D31" s="1"/>
  <c r="ED31" i="2"/>
  <c r="BA31"/>
  <c r="I17" i="1"/>
  <c r="C17" s="1"/>
  <c r="J32"/>
  <c r="I31"/>
  <c r="C31" s="1"/>
  <c r="EG25" i="2"/>
  <c r="DG25"/>
  <c r="DI25" s="1"/>
  <c r="J18" i="1"/>
  <c r="D18" s="1"/>
  <c r="E18" s="1"/>
  <c r="BG31" i="2"/>
  <c r="E41" i="6"/>
  <c r="F41"/>
  <c r="D53"/>
  <c r="E15" i="2"/>
  <c r="EX15"/>
  <c r="E98" i="11"/>
  <c r="F98"/>
  <c r="EG24" i="2"/>
  <c r="DG24"/>
  <c r="DI19"/>
  <c r="F99" i="10"/>
  <c r="G23" i="1"/>
  <c r="DI18" i="2"/>
  <c r="EH31"/>
  <c r="EH33" s="1"/>
  <c r="C52" i="11"/>
  <c r="E51"/>
  <c r="J41" i="1"/>
  <c r="EU32" i="2"/>
  <c r="EU33" s="1"/>
  <c r="EV31"/>
  <c r="EX26"/>
  <c r="F39" i="8"/>
  <c r="D51"/>
  <c r="G51" s="1"/>
  <c r="E39"/>
  <c r="DG26" i="2"/>
  <c r="EW26" s="1"/>
  <c r="EG26"/>
  <c r="J36" i="1"/>
  <c r="E19" i="2"/>
  <c r="EX19"/>
  <c r="C18"/>
  <c r="H18"/>
  <c r="F31"/>
  <c r="F33" s="1"/>
  <c r="J37" i="1"/>
  <c r="EP31" i="2"/>
  <c r="E4" i="9"/>
  <c r="F4"/>
  <c r="D39"/>
  <c r="F40" i="12"/>
  <c r="D51"/>
  <c r="H51" s="1"/>
  <c r="E40"/>
  <c r="E98" i="17"/>
  <c r="H25" i="2"/>
  <c r="C25"/>
  <c r="C25" i="1"/>
  <c r="EJ29" i="2"/>
  <c r="DG29"/>
  <c r="F40" i="14"/>
  <c r="D51"/>
  <c r="E40"/>
  <c r="D51" i="17"/>
  <c r="E37"/>
  <c r="F37"/>
  <c r="H14" i="2"/>
  <c r="G31"/>
  <c r="G33" s="1"/>
  <c r="D14"/>
  <c r="EW15"/>
  <c r="DI15"/>
  <c r="C51" i="10"/>
  <c r="F39"/>
  <c r="E39"/>
  <c r="J7" i="1"/>
  <c r="Z31" i="2"/>
  <c r="F98" i="17"/>
  <c r="C52" i="14"/>
  <c r="I29" i="1"/>
  <c r="C29" s="1"/>
  <c r="EX27" i="2"/>
  <c r="DI27"/>
  <c r="K12" i="1"/>
  <c r="DH31" i="2"/>
  <c r="DH33" s="1"/>
  <c r="DL31"/>
  <c r="CB31"/>
  <c r="E17" i="1" l="1"/>
  <c r="E20"/>
  <c r="D15"/>
  <c r="E15" s="1"/>
  <c r="J14"/>
  <c r="J4"/>
  <c r="K4" s="1"/>
  <c r="D7"/>
  <c r="E7" s="1"/>
  <c r="E50" i="16"/>
  <c r="C53" i="18"/>
  <c r="E37" i="1"/>
  <c r="K30"/>
  <c r="EM31" i="2"/>
  <c r="EK33"/>
  <c r="C52" i="15"/>
  <c r="E31" i="1"/>
  <c r="E29"/>
  <c r="K38"/>
  <c r="DI28" i="2"/>
  <c r="EY28"/>
  <c r="F50" i="16"/>
  <c r="C51"/>
  <c r="F39"/>
  <c r="E39"/>
  <c r="EY20" i="2"/>
  <c r="EY19"/>
  <c r="EX22"/>
  <c r="EY22" s="1"/>
  <c r="DI17"/>
  <c r="D31"/>
  <c r="D33" s="1"/>
  <c r="EY27"/>
  <c r="K29" i="1"/>
  <c r="E52" i="18"/>
  <c r="F52"/>
  <c r="D54" i="6"/>
  <c r="E51" i="15"/>
  <c r="F51"/>
  <c r="D53" i="5"/>
  <c r="E52"/>
  <c r="F52"/>
  <c r="I36" i="1"/>
  <c r="K36" s="1"/>
  <c r="K15"/>
  <c r="EY15" i="2"/>
  <c r="DI26"/>
  <c r="EW21"/>
  <c r="EY21" s="1"/>
  <c r="DG31"/>
  <c r="J28" i="1"/>
  <c r="I14"/>
  <c r="I32"/>
  <c r="K32" s="1"/>
  <c r="H31" i="2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1" i="1"/>
  <c r="F39" i="7"/>
  <c r="D50"/>
  <c r="E39"/>
  <c r="I33" i="1"/>
  <c r="K33" s="1"/>
  <c r="EX17" i="2"/>
  <c r="EY17" s="1"/>
  <c r="E17"/>
  <c r="D52" i="13"/>
  <c r="E51"/>
  <c r="F51"/>
  <c r="K7" i="1"/>
  <c r="F51" i="8"/>
  <c r="D52"/>
  <c r="E51"/>
  <c r="E53" i="6"/>
  <c r="F53"/>
  <c r="C52" i="10"/>
  <c r="E51"/>
  <c r="F51"/>
  <c r="D52" i="17"/>
  <c r="F51"/>
  <c r="E51"/>
  <c r="EW25" i="2"/>
  <c r="EY25" s="1"/>
  <c r="E25"/>
  <c r="EW18"/>
  <c r="EY18" s="1"/>
  <c r="E18"/>
  <c r="C31"/>
  <c r="C33" s="1"/>
  <c r="G27" i="1"/>
  <c r="H23"/>
  <c r="DI24" i="2"/>
  <c r="EW24"/>
  <c r="EY24" s="1"/>
  <c r="E49" i="19"/>
  <c r="C50"/>
  <c r="F49"/>
  <c r="EW16" i="2"/>
  <c r="EY16" s="1"/>
  <c r="DI16"/>
  <c r="EY26"/>
  <c r="EJ31"/>
  <c r="K24" i="1"/>
  <c r="J23" l="1"/>
  <c r="J27" s="1"/>
  <c r="DI31" i="2"/>
  <c r="DG33"/>
  <c r="E38" i="1"/>
  <c r="C28"/>
  <c r="E31" i="2"/>
  <c r="I28" i="1"/>
  <c r="K28" s="1"/>
  <c r="EY14" i="2"/>
  <c r="EX31"/>
  <c r="EX33" s="1"/>
  <c r="D53" i="9"/>
  <c r="F52"/>
  <c r="E52"/>
  <c r="D14" i="1"/>
  <c r="D4"/>
  <c r="E4" s="1"/>
  <c r="K14"/>
  <c r="I23"/>
  <c r="I27" s="1"/>
  <c r="H27"/>
  <c r="F50" i="7"/>
  <c r="D51"/>
  <c r="E50"/>
  <c r="EW31" i="2"/>
  <c r="EW33" s="1"/>
  <c r="C14" i="1"/>
  <c r="C23" s="1"/>
  <c r="C27" s="1"/>
  <c r="E14" l="1"/>
  <c r="J43"/>
  <c r="C43"/>
  <c r="D23"/>
  <c r="I43"/>
  <c r="F44" s="1"/>
  <c r="F45" s="1"/>
  <c r="EY31" i="2"/>
  <c r="K23" i="1"/>
  <c r="D27" l="1"/>
  <c r="E23"/>
  <c r="K27"/>
  <c r="C44"/>
  <c r="E27" l="1"/>
  <c r="F106" i="3"/>
  <c r="D134"/>
  <c r="F134" s="1"/>
  <c r="G35" i="1"/>
  <c r="D35" s="1"/>
  <c r="E106" i="3"/>
  <c r="G28" i="1" l="1"/>
  <c r="H28" s="1"/>
  <c r="E35"/>
  <c r="D28"/>
  <c r="D73" i="3"/>
  <c r="F72" s="1"/>
  <c r="H35" i="1"/>
  <c r="E134" i="3"/>
  <c r="G43" i="1" l="1"/>
  <c r="G44" s="1"/>
  <c r="G45" s="1"/>
  <c r="D43"/>
  <c r="E28"/>
  <c r="D44" l="1"/>
</calcChain>
</file>

<file path=xl/sharedStrings.xml><?xml version="1.0" encoding="utf-8"?>
<sst xmlns="http://schemas.openxmlformats.org/spreadsheetml/2006/main" count="2852" uniqueCount="441">
  <si>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</si>
  <si>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</si>
  <si>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</si>
  <si>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</si>
  <si>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</si>
  <si>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</si>
  <si>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</si>
  <si>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</si>
  <si>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</si>
  <si>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</si>
  <si>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</si>
  <si>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</si>
  <si>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</si>
  <si>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</si>
  <si>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</si>
  <si>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</si>
  <si>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</si>
  <si>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</si>
  <si>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</si>
  <si>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</si>
  <si>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</si>
  <si>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</si>
  <si>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</si>
  <si>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</si>
  <si>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</si>
  <si>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</si>
  <si>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</si>
  <si>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</si>
  <si>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</si>
  <si>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</si>
  <si>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</si>
  <si>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</si>
  <si>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</si>
  <si>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</si>
  <si>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</si>
  <si>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</si>
  <si>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</si>
  <si>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</si>
  <si>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</si>
  <si>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</si>
  <si>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</si>
  <si>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</si>
  <si>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</si>
  <si>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</si>
  <si>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</si>
  <si>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</si>
  <si>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</si>
  <si>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</si>
  <si>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</si>
  <si>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</si>
  <si>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</si>
  <si>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</si>
  <si>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</si>
  <si>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</si>
  <si>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</si>
  <si>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</si>
  <si>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</si>
  <si>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</si>
  <si>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</si>
  <si>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</si>
  <si>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</si>
  <si>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</si>
  <si>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</si>
  <si>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</si>
  <si>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</si>
  <si>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</si>
  <si>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</si>
  <si>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</si>
  <si>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</si>
  <si>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</si>
  <si>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</si>
  <si>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</si>
  <si>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</si>
  <si>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</si>
  <si>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</si>
  <si>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</si>
  <si>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</si>
  <si>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</si>
  <si>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</si>
  <si>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</si>
  <si>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</si>
  <si>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</si>
  <si>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</si>
  <si>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</si>
  <si>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</si>
  <si>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</si>
  <si>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</si>
  <si>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</si>
  <si>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</si>
  <si>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</si>
  <si>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</si>
  <si>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</si>
  <si>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</si>
  <si>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</si>
  <si>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</si>
  <si>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</si>
  <si>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</si>
  <si>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</si>
  <si>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</si>
  <si>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</si>
  <si>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</si>
  <si>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</si>
  <si>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</si>
  <si>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</si>
  <si>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</si>
  <si>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</si>
  <si>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</si>
  <si>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</si>
  <si>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</si>
  <si>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</si>
  <si>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</si>
  <si>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</si>
  <si>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</si>
  <si>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</si>
  <si>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</si>
  <si>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</si>
  <si>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</si>
  <si>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</si>
  <si>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</si>
  <si>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</si>
  <si>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</si>
  <si>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</si>
  <si>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</si>
  <si>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</si>
  <si>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</si>
  <si>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</si>
  <si>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</si>
  <si>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</si>
  <si>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</si>
  <si>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</si>
  <si>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</si>
  <si>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</si>
  <si>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</si>
  <si>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</si>
  <si>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</si>
  <si>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</si>
  <si>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</si>
  <si>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</si>
  <si>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</si>
  <si>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</si>
  <si>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</si>
  <si>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</si>
  <si>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</si>
  <si>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</si>
  <si>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</si>
  <si>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</si>
  <si>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</si>
  <si>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</si>
  <si>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</si>
  <si>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</si>
  <si>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</si>
  <si>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</si>
  <si>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</si>
  <si>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</si>
  <si>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</si>
  <si>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</si>
  <si>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</si>
  <si>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</si>
  <si>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</si>
  <si>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</si>
  <si>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</si>
  <si>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</si>
  <si>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</si>
  <si>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</si>
  <si>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</si>
  <si>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</si>
  <si>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</si>
  <si>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</si>
  <si>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</si>
  <si>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</si>
  <si>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</si>
  <si>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</si>
  <si>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</si>
  <si>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</si>
  <si>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</si>
  <si>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</si>
  <si>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</si>
  <si>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</si>
  <si>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</si>
  <si>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</si>
  <si>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</si>
  <si>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</si>
  <si>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</si>
  <si>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</si>
  <si>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</si>
  <si>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</si>
  <si>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</si>
  <si>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</si>
  <si>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</si>
  <si>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</si>
  <si>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</si>
  <si>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</si>
  <si>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</si>
  <si>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</si>
  <si>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</si>
  <si>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</si>
  <si>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</si>
  <si>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</si>
  <si>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</si>
  <si>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</si>
  <si>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</si>
  <si>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</si>
  <si>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</si>
  <si>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</si>
  <si>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</si>
  <si>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</si>
  <si>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</si>
  <si>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</si>
  <si>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</si>
  <si>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</si>
  <si>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</si>
  <si>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</si>
  <si>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</si>
  <si>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</si>
  <si>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</si>
  <si>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</si>
  <si>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</si>
  <si>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</si>
  <si>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</si>
  <si>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</si>
  <si>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</si>
  <si>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</si>
  <si>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</si>
  <si>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</si>
  <si>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</si>
  <si>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</si>
  <si>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</si>
  <si>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</si>
  <si>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</si>
  <si>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</si>
  <si>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</si>
  <si>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</si>
  <si>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</si>
  <si>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</si>
  <si>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</si>
  <si>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</si>
  <si>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</si>
  <si>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</si>
  <si>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</si>
  <si>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</si>
  <si>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</si>
  <si>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</si>
  <si>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</si>
  <si>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</si>
  <si>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</si>
  <si>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</si>
  <si>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</si>
  <si>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</si>
  <si>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</si>
  <si>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</si>
  <si>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</si>
  <si>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</si>
  <si>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</si>
  <si>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</si>
  <si>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</si>
  <si>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</si>
  <si>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</si>
  <si>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</si>
  <si>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</si>
  <si>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</si>
  <si>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</si>
  <si>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</si>
  <si>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</si>
  <si>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</si>
  <si>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</si>
  <si>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</si>
  <si>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</si>
  <si>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</si>
  <si>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</si>
  <si>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</si>
  <si>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</si>
  <si>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</si>
  <si>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</si>
  <si>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</si>
  <si>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</si>
  <si>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</si>
  <si>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</si>
  <si>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</si>
  <si>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</si>
  <si>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</si>
  <si>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</si>
  <si>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</si>
  <si>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</si>
  <si>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</si>
  <si>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</si>
  <si>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</si>
  <si>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</si>
  <si>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</si>
  <si>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</si>
  <si>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</si>
  <si>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</si>
  <si>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</si>
  <si>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</si>
  <si>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</si>
  <si>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</si>
  <si>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</si>
  <si>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</si>
  <si>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</si>
  <si>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</si>
  <si>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</si>
  <si>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</si>
  <si>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</si>
  <si>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</si>
  <si>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</si>
  <si>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</si>
  <si>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</si>
  <si>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</si>
  <si>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</si>
  <si>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</si>
  <si>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</si>
  <si>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</si>
  <si>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</si>
  <si>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</si>
  <si>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</si>
  <si>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</si>
  <si>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</si>
  <si>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</si>
  <si>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</si>
  <si>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</si>
  <si>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</si>
  <si>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</si>
  <si>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</si>
  <si>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</si>
  <si>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</si>
  <si>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</si>
  <si>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</si>
  <si>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</si>
  <si>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</si>
  <si>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</si>
  <si>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</si>
  <si>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</si>
  <si>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</si>
  <si>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</si>
  <si>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</si>
  <si>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</si>
  <si>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</si>
  <si>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</si>
  <si>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</si>
  <si>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</si>
  <si>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</si>
  <si>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</si>
  <si>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</si>
  <si>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</si>
  <si>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</si>
  <si>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</si>
  <si>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</si>
  <si>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</si>
  <si>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</si>
  <si>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</si>
  <si>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</si>
  <si>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</si>
  <si>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</si>
  <si>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</si>
  <si>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</si>
  <si>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</si>
  <si>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</si>
  <si>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</si>
  <si>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</si>
  <si>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</si>
  <si>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</si>
  <si>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</si>
  <si>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</si>
  <si>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</si>
  <si>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</si>
  <si>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</si>
  <si>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</si>
  <si>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</si>
  <si>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</si>
  <si>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</si>
  <si>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</si>
  <si>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</si>
  <si>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</si>
  <si>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</si>
  <si>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</si>
  <si>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</si>
  <si>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</si>
  <si>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</si>
  <si>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</si>
  <si>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</si>
  <si>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</si>
  <si>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</si>
  <si>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</si>
  <si>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</si>
  <si>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</si>
  <si>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</si>
  <si>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</si>
  <si>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</si>
  <si>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</si>
  <si>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</si>
  <si>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</si>
  <si>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</si>
  <si>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</si>
  <si>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</si>
  <si>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</si>
  <si>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</si>
  <si>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</si>
  <si>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</si>
  <si>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</si>
  <si>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</si>
  <si>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</si>
  <si>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</si>
  <si>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</si>
  <si>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Упрощенная система налогооблажения</t>
  </si>
  <si>
    <t>Иные штафы, неустойки, пени, уплаченные в соотв с законом или договорам</t>
  </si>
  <si>
    <t>Доходы от д.в. (штрафов),поступ в счет погашения задолж., образ до 1 января 2020 года</t>
  </si>
  <si>
    <t>назначено на 2021 г.</t>
  </si>
  <si>
    <t>план на 2021 г.</t>
  </si>
  <si>
    <t>Иные штрафы, неустойки, пени</t>
  </si>
  <si>
    <t>Платежи, уплачиваемые в целях возмещения вреда</t>
  </si>
  <si>
    <t>Заместитель главы администрации</t>
  </si>
  <si>
    <t>Моргаушского района-начальник финансового отдела</t>
  </si>
  <si>
    <t>Штрафы,неустойки, пени, уплаченные в соответствии с законом или договором в случае неисполнения или ненадлежащего исполнения обязательств перед государ.органом</t>
  </si>
  <si>
    <t>Невясненные поступления</t>
  </si>
  <si>
    <t>об исполнении бюджетов поселений  Моргаушского района  на 1июля 2021 г.</t>
  </si>
  <si>
    <t>Анализ исполнения консолидированного бюджета Моргаушского районана 01.07.2021 г.</t>
  </si>
  <si>
    <t>исполнено на 01.07.2021 г.</t>
  </si>
  <si>
    <t xml:space="preserve">                                                        Моргаушского района на 01.07.2021 г. </t>
  </si>
  <si>
    <t xml:space="preserve">исполнено на 01.07.2021 г. </t>
  </si>
  <si>
    <t>исполнен на 01.07.2021 г.</t>
  </si>
  <si>
    <t xml:space="preserve">                     Анализ исполнения бюджета Александровского сельского поселения на 01.07.2021 г.</t>
  </si>
  <si>
    <t>исполнено на 01.07.2021 г</t>
  </si>
  <si>
    <t xml:space="preserve">                     Анализ исполнения бюджета Большесундырского сельского поселения на 01.07.2021 г.</t>
  </si>
  <si>
    <t xml:space="preserve">                     Анализ исполнения бюджета Ильинского сельского поселения на 01.07.2021 г.</t>
  </si>
  <si>
    <t>Штрафы,неустойки,пени,уплаченные в случае просрочки исполнения поставщиком</t>
  </si>
  <si>
    <t xml:space="preserve">                     Анализ исполнения бюджета Кадикасинского сельского поселения на 01.07.2021 г.</t>
  </si>
  <si>
    <t xml:space="preserve">                     Анализ исполнения бюджета Моргаушского сельского поселения на 01.07.2020 г.</t>
  </si>
  <si>
    <t xml:space="preserve">                     Анализ исполнения бюджета Москакасинского сельского поселения на 01.07.2021 г.</t>
  </si>
  <si>
    <t xml:space="preserve">                     Анализ исполнения бюджета Орининского сельского поселения на 01.07.2020 г.</t>
  </si>
  <si>
    <t xml:space="preserve">                     Анализ исполнения бюджета Сятракасинского сельского поселения на 01.07.2020 г.</t>
  </si>
  <si>
    <t>Штрафы, неустойки, пени,уплаченные в случаепросрочки поставщиком</t>
  </si>
  <si>
    <t xml:space="preserve">                     Анализ исполнения бюджета Тораевского сельского поселения на 01.07.2021 г.</t>
  </si>
  <si>
    <t xml:space="preserve">                     Анализ исполнения бюджета Хорнойского сельского поселения на 01.07.2021 г.</t>
  </si>
  <si>
    <t>Штрафы,Санкции, Возмещение ущерба</t>
  </si>
  <si>
    <t>Штрафы, неустойки, пени</t>
  </si>
  <si>
    <t xml:space="preserve">                     Анализ исполнения бюджета Чуманкасинского сельского поселения на 01.07.2021 г.</t>
  </si>
  <si>
    <t xml:space="preserve">                     Анализ исполнения бюджета Шатьмапосинского сельского поселения на 01.07.2021 г.</t>
  </si>
  <si>
    <t xml:space="preserve">                     Анализ исполнения бюджета Юнгинского сельского поселения на 01.07.2020 г.</t>
  </si>
  <si>
    <t xml:space="preserve">                     Анализ исполнения бюджета Юськасинского сельского поселения на 01.07.2020 г.</t>
  </si>
  <si>
    <t xml:space="preserve">                     Анализ исполнения бюджета Ярабайкасинского сельского поселения на 01.07.2020 г.</t>
  </si>
  <si>
    <t xml:space="preserve">                     Анализ исполнения бюджета Ярославского сельского поселения на 01.07.2020 г.</t>
  </si>
  <si>
    <t>Административные штрафы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</si>
</sst>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4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32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 wrapText="1"/>
    </xf>
    <xf numFmtId="166" fontId="18" fillId="0" borderId="1" xfId="11" applyNumberFormat="1" applyFont="1" applyFill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/>
    </xf>
    <xf numFmtId="0" fontId="18" fillId="0" borderId="1" xfId="11" applyFont="1" applyBorder="1" applyAlignment="1">
      <alignment horizontal="center"/>
    </xf>
    <xf numFmtId="0" fontId="18" fillId="0" borderId="1" xfId="11" applyFont="1" applyBorder="1"/>
    <xf numFmtId="166" fontId="18" fillId="0" borderId="1" xfId="11" applyNumberFormat="1" applyFont="1" applyBorder="1" applyAlignment="1">
      <alignment horizontal="right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 applyAlignment="1">
      <alignment wrapText="1"/>
    </xf>
    <xf numFmtId="166" fontId="19" fillId="0" borderId="1" xfId="11" applyNumberFormat="1" applyFont="1" applyBorder="1" applyAlignment="1">
      <alignment horizontal="right" vertical="center"/>
    </xf>
    <xf numFmtId="166" fontId="19" fillId="0" borderId="1" xfId="11" applyNumberFormat="1" applyFont="1" applyFill="1" applyBorder="1" applyAlignment="1">
      <alignment horizontal="right" vertical="center"/>
    </xf>
    <xf numFmtId="0" fontId="18" fillId="0" borderId="1" xfId="11" applyFont="1" applyBorder="1" applyAlignment="1">
      <alignment wrapText="1"/>
    </xf>
    <xf numFmtId="0" fontId="19" fillId="0" borderId="1" xfId="11" applyFont="1" applyBorder="1"/>
    <xf numFmtId="166" fontId="19" fillId="0" borderId="1" xfId="0" applyNumberFormat="1" applyFont="1" applyBorder="1" applyAlignment="1">
      <alignment horizontal="right" vertical="center"/>
    </xf>
    <xf numFmtId="0" fontId="19" fillId="0" borderId="1" xfId="11" applyFont="1" applyFill="1" applyBorder="1" applyAlignment="1">
      <alignment horizontal="center"/>
    </xf>
    <xf numFmtId="0" fontId="19" fillId="0" borderId="1" xfId="11" applyFont="1" applyFill="1" applyBorder="1"/>
    <xf numFmtId="166" fontId="19" fillId="3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8" fillId="0" borderId="1" xfId="11" applyNumberFormat="1" applyFont="1" applyBorder="1" applyAlignment="1">
      <alignment horizontal="center"/>
    </xf>
    <xf numFmtId="166" fontId="18" fillId="0" borderId="1" xfId="11" applyNumberFormat="1" applyFont="1" applyBorder="1" applyAlignment="1">
      <alignment wrapText="1"/>
    </xf>
    <xf numFmtId="0" fontId="18" fillId="0" borderId="1" xfId="11" applyFont="1" applyBorder="1" applyAlignment="1">
      <alignment horizontal="center" vertical="top"/>
    </xf>
    <xf numFmtId="0" fontId="18" fillId="0" borderId="1" xfId="11" applyFont="1" applyBorder="1" applyAlignment="1">
      <alignment vertical="top" wrapText="1"/>
    </xf>
    <xf numFmtId="0" fontId="19" fillId="0" borderId="1" xfId="11" applyFont="1" applyFill="1" applyBorder="1" applyAlignment="1">
      <alignment wrapText="1"/>
    </xf>
    <xf numFmtId="166" fontId="19" fillId="3" borderId="1" xfId="12" applyNumberFormat="1" applyFont="1" applyFill="1" applyBorder="1" applyAlignment="1">
      <alignment horizontal="right" vertical="center"/>
    </xf>
    <xf numFmtId="166" fontId="19" fillId="3" borderId="1" xfId="11" applyNumberFormat="1" applyFont="1" applyFill="1" applyBorder="1" applyAlignment="1">
      <alignment horizontal="right" vertical="center"/>
    </xf>
    <xf numFmtId="166" fontId="19" fillId="5" borderId="1" xfId="11" applyNumberFormat="1" applyFont="1" applyFill="1" applyBorder="1" applyAlignment="1">
      <alignment horizontal="right" vertical="center"/>
    </xf>
    <xf numFmtId="166" fontId="19" fillId="2" borderId="1" xfId="2" applyNumberFormat="1" applyFont="1" applyFill="1" applyBorder="1" applyAlignment="1">
      <alignment horizontal="right" vertical="center" shrinkToFit="1"/>
    </xf>
    <xf numFmtId="166" fontId="19" fillId="2" borderId="1" xfId="3" applyNumberFormat="1" applyFont="1" applyFill="1" applyBorder="1" applyAlignment="1">
      <alignment horizontal="right" vertical="center" shrinkToFit="1"/>
    </xf>
    <xf numFmtId="166" fontId="19" fillId="2" borderId="1" xfId="4" applyNumberFormat="1" applyFont="1" applyFill="1" applyBorder="1" applyAlignment="1">
      <alignment horizontal="right" vertical="center" shrinkToFit="1"/>
    </xf>
    <xf numFmtId="166" fontId="18" fillId="0" borderId="1" xfId="11" applyNumberFormat="1" applyFont="1" applyFill="1" applyBorder="1" applyAlignment="1">
      <alignment horizontal="right" vertical="center"/>
    </xf>
    <xf numFmtId="0" fontId="18" fillId="0" borderId="1" xfId="11" applyFont="1" applyFill="1" applyBorder="1"/>
    <xf numFmtId="166" fontId="18" fillId="5" borderId="1" xfId="11" applyNumberFormat="1" applyFont="1" applyFill="1" applyBorder="1" applyAlignment="1">
      <alignment horizontal="right" vertical="center"/>
    </xf>
    <xf numFmtId="166" fontId="18" fillId="0" borderId="1" xfId="9" applyNumberFormat="1" applyFont="1" applyBorder="1" applyAlignment="1">
      <alignment horizontal="right" vertical="center"/>
    </xf>
    <xf numFmtId="0" fontId="18" fillId="0" borderId="2" xfId="11" applyFont="1" applyBorder="1" applyAlignment="1">
      <alignment horizontal="center"/>
    </xf>
    <xf numFmtId="0" fontId="18" fillId="0" borderId="2" xfId="11" applyFont="1" applyFill="1" applyBorder="1"/>
    <xf numFmtId="166" fontId="18" fillId="0" borderId="2" xfId="11" applyNumberFormat="1" applyFont="1" applyBorder="1" applyAlignment="1">
      <alignment horizontal="right" vertical="center"/>
    </xf>
    <xf numFmtId="166" fontId="19" fillId="0" borderId="0" xfId="9" applyNumberFormat="1" applyFont="1" applyAlignment="1">
      <alignment horizontal="right" vertical="center"/>
    </xf>
    <xf numFmtId="0" fontId="18" fillId="0" borderId="1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/>
    </xf>
    <xf numFmtId="1" fontId="18" fillId="0" borderId="1" xfId="9" applyNumberFormat="1" applyFont="1" applyBorder="1" applyAlignment="1">
      <alignment horizontal="center" vertical="center" wrapText="1"/>
    </xf>
    <xf numFmtId="166" fontId="18" fillId="0" borderId="1" xfId="9" applyNumberFormat="1" applyFont="1" applyBorder="1" applyAlignment="1">
      <alignment horizontal="center" vertical="center" wrapText="1"/>
    </xf>
    <xf numFmtId="49" fontId="18" fillId="0" borderId="1" xfId="9" applyNumberFormat="1" applyFont="1" applyBorder="1" applyAlignment="1">
      <alignment horizontal="center"/>
    </xf>
    <xf numFmtId="0" fontId="18" fillId="3" borderId="1" xfId="9" applyFont="1" applyFill="1" applyBorder="1" applyAlignment="1">
      <alignment wrapText="1"/>
    </xf>
    <xf numFmtId="166" fontId="18" fillId="0" borderId="1" xfId="6" applyNumberFormat="1" applyFont="1" applyBorder="1" applyAlignment="1">
      <alignment horizontal="right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 vertical="center"/>
    </xf>
    <xf numFmtId="0" fontId="19" fillId="0" borderId="1" xfId="9" applyFont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166" fontId="19" fillId="0" borderId="1" xfId="9" applyNumberFormat="1" applyFont="1" applyBorder="1" applyAlignment="1">
      <alignment horizontal="right"/>
    </xf>
    <xf numFmtId="49" fontId="18" fillId="0" borderId="3" xfId="8" applyNumberFormat="1" applyFont="1" applyBorder="1" applyAlignment="1">
      <alignment horizontal="center"/>
    </xf>
    <xf numFmtId="0" fontId="18" fillId="3" borderId="1" xfId="8" applyFont="1" applyFill="1" applyBorder="1" applyAlignment="1">
      <alignment wrapText="1"/>
    </xf>
    <xf numFmtId="49" fontId="19" fillId="0" borderId="1" xfId="8" applyNumberFormat="1" applyFont="1" applyBorder="1" applyAlignment="1">
      <alignment horizontal="center"/>
    </xf>
    <xf numFmtId="0" fontId="19" fillId="0" borderId="1" xfId="8" applyFont="1" applyBorder="1" applyAlignment="1">
      <alignment wrapText="1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39" fillId="0" borderId="1" xfId="7" applyFont="1" applyBorder="1" applyAlignment="1">
      <alignment wrapText="1"/>
    </xf>
    <xf numFmtId="166" fontId="19" fillId="0" borderId="1" xfId="9" applyNumberFormat="1" applyFont="1" applyBorder="1" applyAlignment="1">
      <alignment horizontal="right" vertical="center" wrapText="1"/>
    </xf>
    <xf numFmtId="166" fontId="18" fillId="0" borderId="1" xfId="6" applyNumberFormat="1" applyFont="1" applyBorder="1" applyAlignment="1">
      <alignment horizontal="right" vertical="center"/>
    </xf>
    <xf numFmtId="166" fontId="19" fillId="0" borderId="1" xfId="6" applyNumberFormat="1" applyFont="1" applyBorder="1" applyAlignment="1">
      <alignment horizontal="right" vertical="center"/>
    </xf>
    <xf numFmtId="0" fontId="19" fillId="0" borderId="1" xfId="9" applyFont="1" applyBorder="1" applyAlignment="1">
      <alignment horizontal="left" wrapText="1"/>
    </xf>
    <xf numFmtId="0" fontId="18" fillId="3" borderId="1" xfId="9" applyFont="1" applyFill="1" applyBorder="1" applyAlignment="1">
      <alignment horizontal="left" wrapText="1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1" xfId="9" applyFont="1" applyFill="1" applyBorder="1" applyAlignment="1">
      <alignment wrapText="1"/>
    </xf>
    <xf numFmtId="166" fontId="18" fillId="0" borderId="1" xfId="9" applyNumberFormat="1" applyFont="1" applyBorder="1" applyAlignment="1">
      <alignment horizontal="right"/>
    </xf>
    <xf numFmtId="0" fontId="18" fillId="0" borderId="1" xfId="9" applyFont="1" applyFill="1" applyBorder="1" applyAlignment="1">
      <alignment wrapText="1"/>
    </xf>
    <xf numFmtId="0" fontId="18" fillId="0" borderId="1" xfId="9" applyFont="1" applyFill="1" applyBorder="1" applyAlignment="1">
      <alignment horizontal="center" wrapText="1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0" fontId="18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79" fontId="31" fillId="3" borderId="1" xfId="0" applyNumberFormat="1" applyFont="1" applyFill="1" applyBorder="1" applyAlignment="1">
      <alignment vertical="center" wrapText="1"/>
    </xf>
    <xf numFmtId="166" fontId="18" fillId="5" borderId="1" xfId="9" applyNumberFormat="1" applyFont="1" applyFill="1" applyBorder="1" applyAlignment="1">
      <alignment horizontal="right" vertical="center"/>
    </xf>
    <xf numFmtId="166" fontId="19" fillId="2" borderId="1" xfId="5" applyNumberFormat="1" applyFont="1" applyFill="1" applyBorder="1" applyAlignment="1">
      <alignment horizontal="right" vertical="top" shrinkToFit="1"/>
    </xf>
    <xf numFmtId="166" fontId="18" fillId="0" borderId="1" xfId="12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79" fontId="31" fillId="0" borderId="1" xfId="0" applyNumberFormat="1" applyFont="1" applyFill="1" applyBorder="1" applyAlignment="1">
      <alignment vertical="center" wrapText="1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166" fontId="18" fillId="3" borderId="1" xfId="1" applyNumberFormat="1" applyFont="1" applyFill="1" applyBorder="1" applyAlignment="1">
      <alignment horizontal="right" vertical="center"/>
    </xf>
    <xf numFmtId="174" fontId="3" fillId="0" borderId="8" xfId="11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center" vertical="center" wrapText="1"/>
    </xf>
    <xf numFmtId="0" fontId="10" fillId="0" borderId="1" xfId="11" applyFont="1" applyBorder="1"/>
    <xf numFmtId="0" fontId="11" fillId="0" borderId="1" xfId="11" applyFont="1" applyBorder="1"/>
    <xf numFmtId="168" fontId="18" fillId="0" borderId="1" xfId="9" applyNumberFormat="1" applyFont="1" applyBorder="1" applyAlignment="1">
      <alignment horizontal="right" vertical="center"/>
    </xf>
    <xf numFmtId="2" fontId="5" fillId="0" borderId="1" xfId="11" applyNumberFormat="1" applyFont="1" applyFill="1" applyBorder="1" applyAlignment="1">
      <alignment horizontal="right" vertical="center"/>
    </xf>
    <xf numFmtId="172" fontId="25" fillId="3" borderId="1" xfId="0" applyNumberFormat="1" applyFont="1" applyFill="1" applyBorder="1" applyAlignment="1">
      <alignment vertical="center" wrapText="1"/>
    </xf>
    <xf numFmtId="172" fontId="25" fillId="5" borderId="1" xfId="0" applyNumberFormat="1" applyFont="1" applyFill="1" applyBorder="1" applyAlignment="1">
      <alignment vertical="center" wrapText="1"/>
    </xf>
    <xf numFmtId="172" fontId="25" fillId="0" borderId="1" xfId="0" applyNumberFormat="1" applyFont="1" applyFill="1" applyBorder="1" applyAlignment="1">
      <alignment vertical="center" wrapText="1"/>
    </xf>
    <xf numFmtId="172" fontId="30" fillId="0" borderId="1" xfId="0" applyNumberFormat="1" applyFont="1" applyFill="1" applyBorder="1" applyAlignment="1">
      <alignment vertical="center" wrapText="1"/>
    </xf>
    <xf numFmtId="172" fontId="30" fillId="3" borderId="1" xfId="0" applyNumberFormat="1" applyFont="1" applyFill="1" applyBorder="1" applyAlignment="1">
      <alignment vertical="center" wrapText="1"/>
    </xf>
    <xf numFmtId="3" fontId="27" fillId="3" borderId="1" xfId="0" applyNumberFormat="1" applyFont="1" applyFill="1" applyBorder="1" applyAlignment="1">
      <alignment vertical="center" wrapText="1"/>
    </xf>
    <xf numFmtId="3" fontId="30" fillId="3" borderId="1" xfId="0" applyNumberFormat="1" applyFont="1" applyFill="1" applyBorder="1" applyAlignment="1">
      <alignment vertical="center" wrapText="1"/>
    </xf>
    <xf numFmtId="166" fontId="18" fillId="5" borderId="1" xfId="12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Relationship Id="rId9" Type="http://schemas.openxmlformats.org/officeDocument/2006/relationships/printerSettings" Target="../printerSettings/printerSettings1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2.bin"/><Relationship Id="rId2" Type="http://schemas.openxmlformats.org/officeDocument/2006/relationships/printerSettings" Target="../printerSettings/printerSettings201.bin"/><Relationship Id="rId1" Type="http://schemas.openxmlformats.org/officeDocument/2006/relationships/printerSettings" Target="../printerSettings/printerSettings20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4.bin"/><Relationship Id="rId1" Type="http://schemas.openxmlformats.org/officeDocument/2006/relationships/printerSettings" Target="../printerSettings/printerSettings20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6.bin"/><Relationship Id="rId1" Type="http://schemas.openxmlformats.org/officeDocument/2006/relationships/printerSettings" Target="../printerSettings/printerSettings20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tabSelected="1" view="pageBreakPreview" topLeftCell="A10" zoomScale="80" zoomScaleSheetLayoutView="80" workbookViewId="0">
      <selection activeCell="J4" sqref="J4:J41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19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90" t="s">
        <v>414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122"/>
      <c r="M1" s="122"/>
      <c r="N1" s="122"/>
      <c r="O1" s="122"/>
    </row>
    <row r="2" spans="1:15" ht="33.75" customHeight="1">
      <c r="A2" s="488" t="s">
        <v>177</v>
      </c>
      <c r="B2" s="489" t="s">
        <v>178</v>
      </c>
      <c r="C2" s="485" t="s">
        <v>179</v>
      </c>
      <c r="D2" s="486"/>
      <c r="E2" s="486"/>
      <c r="F2" s="485" t="s">
        <v>180</v>
      </c>
      <c r="G2" s="486"/>
      <c r="H2" s="486"/>
      <c r="I2" s="485" t="s">
        <v>181</v>
      </c>
      <c r="J2" s="486"/>
      <c r="K2" s="491"/>
    </row>
    <row r="3" spans="1:15" ht="53.25" customHeight="1">
      <c r="A3" s="488"/>
      <c r="B3" s="489"/>
      <c r="C3" s="78" t="s">
        <v>406</v>
      </c>
      <c r="D3" s="78" t="s">
        <v>415</v>
      </c>
      <c r="E3" s="137" t="s">
        <v>315</v>
      </c>
      <c r="F3" s="78" t="s">
        <v>406</v>
      </c>
      <c r="G3" s="78" t="s">
        <v>415</v>
      </c>
      <c r="H3" s="137" t="s">
        <v>315</v>
      </c>
      <c r="I3" s="78" t="s">
        <v>406</v>
      </c>
      <c r="J3" s="78" t="s">
        <v>415</v>
      </c>
      <c r="K3" s="78" t="s">
        <v>315</v>
      </c>
    </row>
    <row r="4" spans="1:15" s="80" customFormat="1" ht="30.75" customHeight="1">
      <c r="A4" s="79" t="s">
        <v>4</v>
      </c>
      <c r="B4" s="76"/>
      <c r="C4" s="198">
        <f>SUM(C5:C13)</f>
        <v>191128.13999999998</v>
      </c>
      <c r="D4" s="198">
        <f>SUM(D5:D13)</f>
        <v>86249.392040000006</v>
      </c>
      <c r="E4" s="198">
        <f>D4/C4*100</f>
        <v>45.126474856083469</v>
      </c>
      <c r="F4" s="198">
        <f>SUM(F5:F13)</f>
        <v>152517</v>
      </c>
      <c r="G4" s="198">
        <f>SUM(G5:G13)</f>
        <v>74048.609789999988</v>
      </c>
      <c r="H4" s="198">
        <f>G4/F4*100</f>
        <v>48.551053187513517</v>
      </c>
      <c r="I4" s="198">
        <f>I5+I7+I6+I8+I10+I11+I12+I13</f>
        <v>38611.14</v>
      </c>
      <c r="J4" s="198">
        <f>J5+J6+J7+J8+J10+J11+J12+J13</f>
        <v>12200.78225</v>
      </c>
      <c r="K4" s="198">
        <f>J4/I4*100</f>
        <v>31.599124630870779</v>
      </c>
    </row>
    <row r="5" spans="1:15" ht="27" customHeight="1">
      <c r="A5" s="81" t="s">
        <v>182</v>
      </c>
      <c r="B5" s="77">
        <v>10102</v>
      </c>
      <c r="C5" s="199">
        <f t="shared" ref="C5:C13" si="0">F5+I5</f>
        <v>133271.44</v>
      </c>
      <c r="D5" s="199">
        <f t="shared" ref="D5:D13" si="1">G5+J5</f>
        <v>63107.138460000002</v>
      </c>
      <c r="E5" s="198">
        <f t="shared" ref="E5:E24" si="2">D5/C5*100</f>
        <v>47.352334798813608</v>
      </c>
      <c r="F5" s="199">
        <f>район!C5</f>
        <v>127321</v>
      </c>
      <c r="G5" s="199">
        <f>район!D5</f>
        <v>60229.950819999998</v>
      </c>
      <c r="H5" s="200">
        <f t="shared" ref="H5:H41" si="3">G5/F5*100</f>
        <v>47.305590452478377</v>
      </c>
      <c r="I5" s="199">
        <f>Справка!I31</f>
        <v>5950.44</v>
      </c>
      <c r="J5" s="199">
        <f>Справка!J31</f>
        <v>2877.1876400000006</v>
      </c>
      <c r="K5" s="200">
        <f t="shared" ref="K5:K12" si="4">J5/I5*100</f>
        <v>48.352519141441654</v>
      </c>
    </row>
    <row r="6" spans="1:15" ht="41.25" customHeight="1">
      <c r="A6" s="81" t="s">
        <v>269</v>
      </c>
      <c r="B6" s="77">
        <v>10300</v>
      </c>
      <c r="C6" s="199">
        <f t="shared" si="0"/>
        <v>14188.8</v>
      </c>
      <c r="D6" s="199">
        <f t="shared" si="1"/>
        <v>7357.1068800000003</v>
      </c>
      <c r="E6" s="198">
        <f t="shared" si="2"/>
        <v>51.85150879566983</v>
      </c>
      <c r="F6" s="199">
        <f>район!C7</f>
        <v>5168.1000000000004</v>
      </c>
      <c r="G6" s="199">
        <f>район!D7</f>
        <v>2679.7409400000006</v>
      </c>
      <c r="H6" s="200">
        <f t="shared" si="3"/>
        <v>51.851569048586533</v>
      </c>
      <c r="I6" s="199">
        <f>Справка!L31+Справка!R31+Справка!O31</f>
        <v>9020.6999999999989</v>
      </c>
      <c r="J6" s="199">
        <f>Справка!M31+Справка!S31+Справка!P31+Справка!V31</f>
        <v>4677.3659399999997</v>
      </c>
      <c r="K6" s="200">
        <f t="shared" si="4"/>
        <v>51.851474275832253</v>
      </c>
    </row>
    <row r="7" spans="1:15" ht="19.5" customHeight="1">
      <c r="A7" s="81" t="s">
        <v>183</v>
      </c>
      <c r="B7" s="77">
        <v>10500</v>
      </c>
      <c r="C7" s="199">
        <f t="shared" si="0"/>
        <v>13277.9</v>
      </c>
      <c r="D7" s="199">
        <f t="shared" si="1"/>
        <v>9853.1042899999993</v>
      </c>
      <c r="E7" s="198">
        <f t="shared" si="2"/>
        <v>74.20679693324999</v>
      </c>
      <c r="F7" s="199">
        <f>район!C12</f>
        <v>12727.9</v>
      </c>
      <c r="G7" s="199">
        <f>район!D12</f>
        <v>9413.7473599999994</v>
      </c>
      <c r="H7" s="200">
        <f t="shared" si="3"/>
        <v>73.961512582594139</v>
      </c>
      <c r="I7" s="199">
        <f>Справка!X31</f>
        <v>550</v>
      </c>
      <c r="J7" s="199">
        <f>Справка!Y31</f>
        <v>439.35693000000003</v>
      </c>
      <c r="K7" s="200">
        <f t="shared" si="4"/>
        <v>79.883078181818192</v>
      </c>
    </row>
    <row r="8" spans="1:15" ht="19.5" customHeight="1">
      <c r="A8" s="81" t="s">
        <v>184</v>
      </c>
      <c r="B8" s="77">
        <v>10601</v>
      </c>
      <c r="C8" s="199">
        <f t="shared" si="0"/>
        <v>6050</v>
      </c>
      <c r="D8" s="199">
        <f t="shared" si="1"/>
        <v>670.85030999999992</v>
      </c>
      <c r="E8" s="198">
        <f t="shared" si="2"/>
        <v>11.088434876033057</v>
      </c>
      <c r="F8" s="199"/>
      <c r="G8" s="199"/>
      <c r="H8" s="200"/>
      <c r="I8" s="199">
        <f>Справка!AA31</f>
        <v>6050</v>
      </c>
      <c r="J8" s="199">
        <f>Справка!AB31</f>
        <v>670.85030999999992</v>
      </c>
      <c r="K8" s="200">
        <f t="shared" si="4"/>
        <v>11.088434876033057</v>
      </c>
    </row>
    <row r="9" spans="1:15" ht="19.5" customHeight="1">
      <c r="A9" s="81" t="s">
        <v>270</v>
      </c>
      <c r="B9" s="77">
        <v>10604</v>
      </c>
      <c r="C9" s="199">
        <f t="shared" si="0"/>
        <v>2400</v>
      </c>
      <c r="D9" s="199">
        <f t="shared" si="1"/>
        <v>415.27534000000003</v>
      </c>
      <c r="E9" s="198">
        <f t="shared" si="2"/>
        <v>17.303139166666668</v>
      </c>
      <c r="F9" s="199">
        <f>район!C17</f>
        <v>2400</v>
      </c>
      <c r="G9" s="199">
        <f>район!D20</f>
        <v>415.27534000000003</v>
      </c>
      <c r="H9" s="200">
        <f t="shared" si="3"/>
        <v>17.303139166666668</v>
      </c>
      <c r="I9" s="199"/>
      <c r="J9" s="199"/>
      <c r="K9" s="200"/>
    </row>
    <row r="10" spans="1:15" ht="19.5" customHeight="1">
      <c r="A10" s="81" t="s">
        <v>185</v>
      </c>
      <c r="B10" s="77">
        <v>10606</v>
      </c>
      <c r="C10" s="199">
        <f t="shared" si="0"/>
        <v>16922</v>
      </c>
      <c r="D10" s="199">
        <f t="shared" si="1"/>
        <v>3511.5814299999997</v>
      </c>
      <c r="E10" s="198">
        <f t="shared" si="2"/>
        <v>20.75157445928377</v>
      </c>
      <c r="F10" s="199"/>
      <c r="G10" s="199"/>
      <c r="H10" s="200">
        <v>0</v>
      </c>
      <c r="I10" s="199">
        <f>Справка!AD31</f>
        <v>16922</v>
      </c>
      <c r="J10" s="199">
        <f>Справка!AE31</f>
        <v>3511.5814299999997</v>
      </c>
      <c r="K10" s="200">
        <f t="shared" si="4"/>
        <v>20.75157445928377</v>
      </c>
    </row>
    <row r="11" spans="1:15" ht="33.75" customHeight="1">
      <c r="A11" s="81" t="s">
        <v>186</v>
      </c>
      <c r="B11" s="77">
        <v>10701</v>
      </c>
      <c r="C11" s="199">
        <f t="shared" si="0"/>
        <v>1900</v>
      </c>
      <c r="D11" s="199">
        <f t="shared" si="1"/>
        <v>76.104510000000005</v>
      </c>
      <c r="E11" s="198">
        <f t="shared" si="2"/>
        <v>4.0055005263157897</v>
      </c>
      <c r="F11" s="199">
        <f>район!C22</f>
        <v>1900</v>
      </c>
      <c r="G11" s="199">
        <f>район!D22</f>
        <v>76.104510000000005</v>
      </c>
      <c r="H11" s="200">
        <f t="shared" si="3"/>
        <v>4.0055005263157897</v>
      </c>
      <c r="I11" s="199"/>
      <c r="J11" s="199"/>
      <c r="K11" s="200">
        <v>0</v>
      </c>
    </row>
    <row r="12" spans="1:15" ht="19.5" customHeight="1">
      <c r="A12" s="81" t="s">
        <v>187</v>
      </c>
      <c r="B12" s="77">
        <v>10800</v>
      </c>
      <c r="C12" s="199">
        <f t="shared" si="0"/>
        <v>3118</v>
      </c>
      <c r="D12" s="199">
        <f t="shared" si="1"/>
        <v>1258.23082</v>
      </c>
      <c r="E12" s="198">
        <f t="shared" si="2"/>
        <v>40.353778704297625</v>
      </c>
      <c r="F12" s="199">
        <f>район!C24</f>
        <v>3000</v>
      </c>
      <c r="G12" s="199">
        <f>район!D24</f>
        <v>1233.7908199999999</v>
      </c>
      <c r="H12" s="200">
        <f t="shared" si="3"/>
        <v>41.12636066666667</v>
      </c>
      <c r="I12" s="199">
        <f>Справка!AG31</f>
        <v>118</v>
      </c>
      <c r="J12" s="199">
        <f>Справка!AH31</f>
        <v>24.44</v>
      </c>
      <c r="K12" s="200">
        <f t="shared" si="4"/>
        <v>20.711864406779661</v>
      </c>
    </row>
    <row r="13" spans="1:15" ht="19.5" customHeight="1">
      <c r="A13" s="81" t="s">
        <v>188</v>
      </c>
      <c r="B13" s="77">
        <v>10900</v>
      </c>
      <c r="C13" s="199">
        <f t="shared" si="0"/>
        <v>0</v>
      </c>
      <c r="D13" s="199">
        <f t="shared" si="1"/>
        <v>0</v>
      </c>
      <c r="E13" s="198"/>
      <c r="F13" s="199">
        <f>район!C28</f>
        <v>0</v>
      </c>
      <c r="G13" s="199">
        <f>район!D28</f>
        <v>0</v>
      </c>
      <c r="H13" s="200"/>
      <c r="I13" s="199">
        <f>Справка!AJ31</f>
        <v>0</v>
      </c>
      <c r="J13" s="199">
        <f>Справка!AK31</f>
        <v>0</v>
      </c>
      <c r="K13" s="200"/>
    </row>
    <row r="14" spans="1:15" s="80" customFormat="1" ht="20.25" customHeight="1">
      <c r="A14" s="79" t="s">
        <v>12</v>
      </c>
      <c r="B14" s="76"/>
      <c r="C14" s="198">
        <f>SUM(C15:C21)</f>
        <v>22950.2</v>
      </c>
      <c r="D14" s="198">
        <f>SUM(D15:D21)</f>
        <v>12151.75439</v>
      </c>
      <c r="E14" s="198">
        <f t="shared" si="2"/>
        <v>52.948359447847949</v>
      </c>
      <c r="F14" s="198">
        <f>F15+F16+F17+F18+F20+F21+F19</f>
        <v>19326</v>
      </c>
      <c r="G14" s="198">
        <f>G15+G16+G17+G18+G20+G21+G19</f>
        <v>9716.8413</v>
      </c>
      <c r="H14" s="198">
        <f t="shared" si="3"/>
        <v>50.278595156783609</v>
      </c>
      <c r="I14" s="201">
        <f>I15+I16+I17+I18+I20+I21+I26</f>
        <v>3624.2</v>
      </c>
      <c r="J14" s="201">
        <f>J15+J16+J17+J18+J20+J21</f>
        <v>2434.9130899999996</v>
      </c>
      <c r="K14" s="198">
        <f>J14/I14*100</f>
        <v>67.184843275757402</v>
      </c>
    </row>
    <row r="15" spans="1:15" ht="52.5" customHeight="1">
      <c r="A15" s="81" t="s">
        <v>189</v>
      </c>
      <c r="B15" s="77">
        <v>11100</v>
      </c>
      <c r="C15" s="199">
        <f t="shared" ref="C15:D21" si="5">F15+I15</f>
        <v>12720.2</v>
      </c>
      <c r="D15" s="199">
        <f t="shared" si="5"/>
        <v>5138.30537</v>
      </c>
      <c r="E15" s="198">
        <f t="shared" si="2"/>
        <v>40.394847329444502</v>
      </c>
      <c r="F15" s="199">
        <f>район!C34</f>
        <v>9596</v>
      </c>
      <c r="G15" s="199">
        <f>район!D34</f>
        <v>3299.9142700000002</v>
      </c>
      <c r="H15" s="199">
        <f t="shared" si="3"/>
        <v>34.388435493955818</v>
      </c>
      <c r="I15" s="199">
        <f>Справка!AP31+Справка!AS31+Справка!AM31</f>
        <v>3124.2</v>
      </c>
      <c r="J15" s="199">
        <f>Справка!AQ31+Справка!AT31+Справка!AN31</f>
        <v>1838.3910999999998</v>
      </c>
      <c r="K15" s="200">
        <f>J15/I15*100</f>
        <v>58.843579156264006</v>
      </c>
    </row>
    <row r="16" spans="1:15" ht="33" customHeight="1">
      <c r="A16" s="81" t="s">
        <v>190</v>
      </c>
      <c r="B16" s="77">
        <v>11200</v>
      </c>
      <c r="C16" s="199">
        <f t="shared" si="5"/>
        <v>1330</v>
      </c>
      <c r="D16" s="199">
        <f t="shared" si="5"/>
        <v>944.30130999999994</v>
      </c>
      <c r="E16" s="198">
        <f t="shared" si="2"/>
        <v>71.000098496240597</v>
      </c>
      <c r="F16" s="199">
        <f>район!C43</f>
        <v>1330</v>
      </c>
      <c r="G16" s="199">
        <f>район!D43</f>
        <v>944.30130999999994</v>
      </c>
      <c r="H16" s="199">
        <f t="shared" si="3"/>
        <v>71.000098496240597</v>
      </c>
      <c r="I16" s="199">
        <v>0</v>
      </c>
      <c r="J16" s="199">
        <v>0</v>
      </c>
      <c r="K16" s="200">
        <v>0</v>
      </c>
    </row>
    <row r="17" spans="1:13" ht="33" customHeight="1">
      <c r="A17" s="81" t="s">
        <v>191</v>
      </c>
      <c r="B17" s="77">
        <v>11300</v>
      </c>
      <c r="C17" s="199">
        <f t="shared" si="5"/>
        <v>600</v>
      </c>
      <c r="D17" s="199">
        <f t="shared" si="5"/>
        <v>385.65722999999997</v>
      </c>
      <c r="E17" s="198">
        <f t="shared" si="2"/>
        <v>64.276205000000004</v>
      </c>
      <c r="F17" s="199">
        <f>район!C45</f>
        <v>100</v>
      </c>
      <c r="G17" s="199">
        <f>район!D45</f>
        <v>6.9664200000000003</v>
      </c>
      <c r="H17" s="199">
        <f t="shared" si="3"/>
        <v>6.9664200000000012</v>
      </c>
      <c r="I17" s="199">
        <f>Справка!AY31</f>
        <v>500</v>
      </c>
      <c r="J17" s="199">
        <f>Справка!AZ31</f>
        <v>378.69080999999994</v>
      </c>
      <c r="K17" s="200"/>
    </row>
    <row r="18" spans="1:13" ht="33" customHeight="1">
      <c r="A18" s="81" t="s">
        <v>192</v>
      </c>
      <c r="B18" s="77">
        <v>11400</v>
      </c>
      <c r="C18" s="199">
        <f t="shared" si="5"/>
        <v>6000</v>
      </c>
      <c r="D18" s="199">
        <f t="shared" si="5"/>
        <v>4898.1822300000003</v>
      </c>
      <c r="E18" s="198">
        <f t="shared" si="2"/>
        <v>81.636370500000012</v>
      </c>
      <c r="F18" s="199">
        <f>район!C48</f>
        <v>6000</v>
      </c>
      <c r="G18" s="199">
        <f>район!D48</f>
        <v>4712.4643900000001</v>
      </c>
      <c r="H18" s="199">
        <f t="shared" si="3"/>
        <v>78.541073166666663</v>
      </c>
      <c r="I18" s="199">
        <f>Справка!BE31</f>
        <v>0</v>
      </c>
      <c r="J18" s="199">
        <f>Справка!BF31</f>
        <v>185.71784</v>
      </c>
      <c r="K18" s="200"/>
    </row>
    <row r="19" spans="1:13" ht="23.25" customHeight="1">
      <c r="A19" s="81" t="s">
        <v>239</v>
      </c>
      <c r="B19" s="77">
        <v>11500</v>
      </c>
      <c r="C19" s="199">
        <f t="shared" si="5"/>
        <v>0</v>
      </c>
      <c r="D19" s="199">
        <f t="shared" si="5"/>
        <v>0</v>
      </c>
      <c r="E19" s="198"/>
      <c r="F19" s="199">
        <f>район!C51</f>
        <v>0</v>
      </c>
      <c r="G19" s="199">
        <f>район!D51</f>
        <v>0</v>
      </c>
      <c r="H19" s="199"/>
      <c r="I19" s="199"/>
      <c r="J19" s="199"/>
      <c r="K19" s="200"/>
    </row>
    <row r="20" spans="1:13" ht="22.5" customHeight="1">
      <c r="A20" s="81" t="s">
        <v>193</v>
      </c>
      <c r="B20" s="77">
        <v>11600</v>
      </c>
      <c r="C20" s="199">
        <f t="shared" si="5"/>
        <v>2300</v>
      </c>
      <c r="D20" s="199">
        <f t="shared" si="5"/>
        <v>790.71003000000007</v>
      </c>
      <c r="E20" s="198">
        <f t="shared" si="2"/>
        <v>34.378696956521743</v>
      </c>
      <c r="F20" s="199">
        <f>район!C53</f>
        <v>2300</v>
      </c>
      <c r="G20" s="199">
        <f>район!D53</f>
        <v>753.19491000000005</v>
      </c>
      <c r="H20" s="199">
        <f t="shared" si="3"/>
        <v>32.747604782608697</v>
      </c>
      <c r="I20" s="199">
        <f>Справка!BN31</f>
        <v>0</v>
      </c>
      <c r="J20" s="199">
        <f>Справка!BO31</f>
        <v>37.515119999999996</v>
      </c>
      <c r="K20" s="200">
        <v>0</v>
      </c>
    </row>
    <row r="21" spans="1:13" ht="49.5" customHeight="1">
      <c r="A21" s="81" t="s">
        <v>194</v>
      </c>
      <c r="B21" s="77">
        <v>11700</v>
      </c>
      <c r="C21" s="199">
        <f t="shared" si="5"/>
        <v>0</v>
      </c>
      <c r="D21" s="199">
        <f t="shared" si="5"/>
        <v>-5.4017800000000005</v>
      </c>
      <c r="E21" s="198"/>
      <c r="F21" s="199">
        <f>район!C58</f>
        <v>0</v>
      </c>
      <c r="G21" s="199">
        <f>район!D58</f>
        <v>0</v>
      </c>
      <c r="H21" s="199"/>
      <c r="I21" s="199">
        <f>Справка!BQ31</f>
        <v>0</v>
      </c>
      <c r="J21" s="199">
        <f>Справка!BR31</f>
        <v>-5.4017800000000005</v>
      </c>
      <c r="K21" s="200">
        <v>0</v>
      </c>
    </row>
    <row r="22" spans="1:13" ht="0.75" hidden="1" customHeight="1">
      <c r="A22" s="79" t="s">
        <v>195</v>
      </c>
      <c r="B22" s="76">
        <v>30000</v>
      </c>
      <c r="C22" s="467">
        <f>F22+I22</f>
        <v>0</v>
      </c>
      <c r="D22" s="198">
        <f t="shared" ref="D22" si="6">G22+J22</f>
        <v>0</v>
      </c>
      <c r="E22" s="198" t="e">
        <f t="shared" si="2"/>
        <v>#DIV/0!</v>
      </c>
      <c r="F22" s="198">
        <v>0</v>
      </c>
      <c r="G22" s="198">
        <v>0</v>
      </c>
      <c r="H22" s="198"/>
      <c r="I22" s="198">
        <v>0</v>
      </c>
      <c r="J22" s="198">
        <v>0</v>
      </c>
      <c r="K22" s="198"/>
    </row>
    <row r="23" spans="1:13" ht="29.25" customHeight="1">
      <c r="A23" s="79" t="s">
        <v>16</v>
      </c>
      <c r="B23" s="76">
        <v>10000</v>
      </c>
      <c r="C23" s="201">
        <f>SUM(C4,C14,C22,)</f>
        <v>214078.34</v>
      </c>
      <c r="D23" s="201">
        <f>SUM(D4,D14,)</f>
        <v>98401.146430000008</v>
      </c>
      <c r="E23" s="198">
        <f t="shared" si="2"/>
        <v>45.965017493128926</v>
      </c>
      <c r="F23" s="201">
        <f>SUM(F4,F14,)</f>
        <v>171843</v>
      </c>
      <c r="G23" s="201">
        <f>SUM(G4,G14,G22)</f>
        <v>83765.451089999988</v>
      </c>
      <c r="H23" s="198">
        <f t="shared" si="3"/>
        <v>48.745337948010672</v>
      </c>
      <c r="I23" s="201">
        <f>I4+I14</f>
        <v>42235.34</v>
      </c>
      <c r="J23" s="201">
        <f>J4+J14</f>
        <v>14635.69534</v>
      </c>
      <c r="K23" s="198">
        <f>J23/I23*100</f>
        <v>34.652722909298234</v>
      </c>
    </row>
    <row r="24" spans="1:13" ht="32.25" customHeight="1">
      <c r="A24" s="79" t="s">
        <v>196</v>
      </c>
      <c r="B24" s="76">
        <v>20200</v>
      </c>
      <c r="C24" s="202">
        <v>771387.04934999999</v>
      </c>
      <c r="D24" s="202">
        <v>347869.77788000001</v>
      </c>
      <c r="E24" s="198">
        <f t="shared" si="2"/>
        <v>45.09665778977341</v>
      </c>
      <c r="F24" s="201">
        <f>район!C62</f>
        <v>787418.27625999996</v>
      </c>
      <c r="G24" s="201">
        <f>район!D62</f>
        <v>341297.68101000006</v>
      </c>
      <c r="H24" s="198">
        <f t="shared" si="3"/>
        <v>43.343886127594274</v>
      </c>
      <c r="I24" s="201">
        <f>Справка!BZ31</f>
        <v>143549.79974999998</v>
      </c>
      <c r="J24" s="202">
        <v>41643.997990000003</v>
      </c>
      <c r="K24" s="198">
        <f t="shared" ref="K24:K38" si="7">J24/I24*100</f>
        <v>29.010140078582737</v>
      </c>
    </row>
    <row r="25" spans="1:13" ht="33" customHeight="1">
      <c r="A25" s="79" t="s">
        <v>288</v>
      </c>
      <c r="B25" s="76">
        <v>20700</v>
      </c>
      <c r="C25" s="203">
        <f>F25+I25</f>
        <v>3273.7615799999994</v>
      </c>
      <c r="D25" s="203">
        <f>SUM(J25+G25)</f>
        <v>3111.0203499999998</v>
      </c>
      <c r="E25" s="201"/>
      <c r="F25" s="201"/>
      <c r="G25" s="201"/>
      <c r="H25" s="198"/>
      <c r="I25" s="201">
        <f>Справка!CR31</f>
        <v>3273.7615799999994</v>
      </c>
      <c r="J25" s="201">
        <f>Справка!CS31</f>
        <v>3111.0203499999998</v>
      </c>
      <c r="K25" s="198"/>
    </row>
    <row r="26" spans="1:13" ht="33" customHeight="1">
      <c r="A26" s="79" t="s">
        <v>250</v>
      </c>
      <c r="B26" s="77">
        <v>21900</v>
      </c>
      <c r="C26" s="203">
        <f>F26+I26</f>
        <v>-19738.97309</v>
      </c>
      <c r="D26" s="203">
        <v>-19741.789339999999</v>
      </c>
      <c r="E26" s="201"/>
      <c r="F26" s="200">
        <f>район!C70</f>
        <v>-19738.97309</v>
      </c>
      <c r="G26" s="200">
        <f>район!D70</f>
        <v>-19741.789339999999</v>
      </c>
      <c r="H26" s="198"/>
      <c r="I26" s="200">
        <v>0</v>
      </c>
      <c r="J26" s="200">
        <f>SUM(Справка!CV31)</f>
        <v>-470.61146999999994</v>
      </c>
      <c r="K26" s="200">
        <v>0</v>
      </c>
      <c r="L26" s="83"/>
    </row>
    <row r="27" spans="1:13" ht="29.25" customHeight="1">
      <c r="A27" s="76" t="s">
        <v>197</v>
      </c>
      <c r="B27" s="76"/>
      <c r="C27" s="205">
        <f>C24+C23+C26+C25</f>
        <v>969000.17784000002</v>
      </c>
      <c r="D27" s="205">
        <f>D24+D23+D26+D25</f>
        <v>429640.15532000002</v>
      </c>
      <c r="E27" s="205">
        <f t="shared" ref="E27:E39" si="8">D27/C27*100</f>
        <v>44.33850118353039</v>
      </c>
      <c r="F27" s="205">
        <f>F24+F23</f>
        <v>959261.27625999996</v>
      </c>
      <c r="G27" s="205">
        <f>G24+G23</f>
        <v>425063.13210000005</v>
      </c>
      <c r="H27" s="205">
        <f t="shared" si="3"/>
        <v>44.311507471379478</v>
      </c>
      <c r="I27" s="205">
        <f>I24+I23</f>
        <v>185785.13974999997</v>
      </c>
      <c r="J27" s="205">
        <f>SUM(J23+J24+J25+J26)</f>
        <v>58920.102209999997</v>
      </c>
      <c r="K27" s="204">
        <f t="shared" si="7"/>
        <v>31.714109260452844</v>
      </c>
      <c r="L27" s="95"/>
      <c r="M27" s="83"/>
    </row>
    <row r="28" spans="1:13" ht="29.25" customHeight="1">
      <c r="A28" s="76" t="s">
        <v>198</v>
      </c>
      <c r="B28" s="76"/>
      <c r="C28" s="205">
        <f>C29+C30+C31+C32+C33+C34+C35+C36+C37+C41+C38+C39+C40</f>
        <v>1022029.38933</v>
      </c>
      <c r="D28" s="205">
        <f>SUM(D29:D41)</f>
        <v>434775.62614999997</v>
      </c>
      <c r="E28" s="205">
        <f t="shared" si="8"/>
        <v>42.54042307286494</v>
      </c>
      <c r="F28" s="205">
        <f>SUM(F29+F30+F31+F32+F33+F34+F35+F36+F37+F38+F39+F40+F41)</f>
        <v>998317.82193999994</v>
      </c>
      <c r="G28" s="205">
        <f>SUM(G29:G41)</f>
        <v>436189.82254999992</v>
      </c>
      <c r="H28" s="205">
        <f t="shared" si="3"/>
        <v>43.69248078756781</v>
      </c>
      <c r="I28" s="205">
        <f>I29+I30+I31+I32+I33+I34+I35+I36+I37+I38+I39+I40+I41</f>
        <v>190757.80556000001</v>
      </c>
      <c r="J28" s="205">
        <f>J29+J30+J31+J32+J33+J34+J35+J36+J37+J38+J39+J40+J41</f>
        <v>52928.882590000001</v>
      </c>
      <c r="K28" s="204">
        <f t="shared" si="7"/>
        <v>27.746640529135263</v>
      </c>
      <c r="L28" s="95"/>
    </row>
    <row r="29" spans="1:13" ht="30.75" customHeight="1">
      <c r="A29" s="81" t="s">
        <v>199</v>
      </c>
      <c r="B29" s="82" t="s">
        <v>27</v>
      </c>
      <c r="C29" s="263">
        <f>F29+I29</f>
        <v>73369.015270000004</v>
      </c>
      <c r="D29" s="263">
        <f>G29+J29</f>
        <v>32142.09087</v>
      </c>
      <c r="E29" s="207">
        <f t="shared" si="8"/>
        <v>43.808807780390971</v>
      </c>
      <c r="F29" s="199">
        <f>район!C77</f>
        <v>46466.097040000001</v>
      </c>
      <c r="G29" s="207">
        <f>район!D77</f>
        <v>20028.370419999999</v>
      </c>
      <c r="H29" s="208">
        <f t="shared" si="3"/>
        <v>43.103190704307963</v>
      </c>
      <c r="I29" s="208">
        <f>Справка!DJ31</f>
        <v>26902.918230000003</v>
      </c>
      <c r="J29" s="208">
        <f>Справка!DK31</f>
        <v>12113.720449999999</v>
      </c>
      <c r="K29" s="208">
        <f t="shared" si="7"/>
        <v>45.027533245414759</v>
      </c>
    </row>
    <row r="30" spans="1:13" ht="30.75" customHeight="1">
      <c r="A30" s="81" t="s">
        <v>200</v>
      </c>
      <c r="B30" s="82" t="s">
        <v>43</v>
      </c>
      <c r="C30" s="203">
        <f>I30</f>
        <v>2384.6</v>
      </c>
      <c r="D30" s="203">
        <f>J30</f>
        <v>896.16521</v>
      </c>
      <c r="E30" s="207">
        <f t="shared" si="8"/>
        <v>37.581364170091419</v>
      </c>
      <c r="F30" s="199">
        <f>район!C85</f>
        <v>2384.6</v>
      </c>
      <c r="G30" s="207">
        <f>район!D85</f>
        <v>1208.4000000000001</v>
      </c>
      <c r="H30" s="208">
        <f t="shared" si="3"/>
        <v>50.675165646229978</v>
      </c>
      <c r="I30" s="208">
        <f>Справка!DY31</f>
        <v>2384.6</v>
      </c>
      <c r="J30" s="208">
        <f>Справка!DZ31</f>
        <v>896.16521</v>
      </c>
      <c r="K30" s="208">
        <f t="shared" si="7"/>
        <v>37.581364170091419</v>
      </c>
    </row>
    <row r="31" spans="1:13" ht="33" customHeight="1">
      <c r="A31" s="81" t="s">
        <v>201</v>
      </c>
      <c r="B31" s="82" t="s">
        <v>47</v>
      </c>
      <c r="C31" s="263">
        <f>F31+I31</f>
        <v>6869.3972000000003</v>
      </c>
      <c r="D31" s="263">
        <f>G31+J31</f>
        <v>2209.8407200000001</v>
      </c>
      <c r="E31" s="207">
        <f t="shared" si="8"/>
        <v>32.169354248433912</v>
      </c>
      <c r="F31" s="199">
        <f>район!C87</f>
        <v>5992.2972</v>
      </c>
      <c r="G31" s="207">
        <f>район!D87</f>
        <v>2024.76241</v>
      </c>
      <c r="H31" s="208">
        <f t="shared" si="3"/>
        <v>33.789419022808147</v>
      </c>
      <c r="I31" s="208">
        <f>Справка!EB31</f>
        <v>877.1</v>
      </c>
      <c r="J31" s="208">
        <f>Справка!EC31</f>
        <v>185.07830999999996</v>
      </c>
      <c r="K31" s="208">
        <f t="shared" si="7"/>
        <v>21.101164063390716</v>
      </c>
    </row>
    <row r="32" spans="1:13" ht="30" customHeight="1">
      <c r="A32" s="81" t="s">
        <v>202</v>
      </c>
      <c r="B32" s="82" t="s">
        <v>55</v>
      </c>
      <c r="C32" s="206">
        <v>113607.48518</v>
      </c>
      <c r="D32" s="206">
        <v>22221.74278</v>
      </c>
      <c r="E32" s="207">
        <f t="shared" si="8"/>
        <v>19.560104463884407</v>
      </c>
      <c r="F32" s="199">
        <f>район!C93</f>
        <v>93135.57</v>
      </c>
      <c r="G32" s="207">
        <f>район!D93</f>
        <v>19010.100709999999</v>
      </c>
      <c r="H32" s="208">
        <f t="shared" si="3"/>
        <v>20.411214222450131</v>
      </c>
      <c r="I32" s="208">
        <f>Справка!EE31</f>
        <v>47783.811809999999</v>
      </c>
      <c r="J32" s="208">
        <f>Справка!EF31</f>
        <v>9441.0126399999972</v>
      </c>
      <c r="K32" s="208">
        <f t="shared" si="7"/>
        <v>19.757763732913876</v>
      </c>
    </row>
    <row r="33" spans="1:12" ht="30" customHeight="1">
      <c r="A33" s="81" t="s">
        <v>203</v>
      </c>
      <c r="B33" s="82" t="s">
        <v>65</v>
      </c>
      <c r="C33" s="206">
        <v>100068.40644999999</v>
      </c>
      <c r="D33" s="206">
        <v>16455.63409</v>
      </c>
      <c r="E33" s="207">
        <f t="shared" si="8"/>
        <v>16.44438506994932</v>
      </c>
      <c r="F33" s="199">
        <f>район!C100</f>
        <v>62659.594540000006</v>
      </c>
      <c r="G33" s="207">
        <f>район!D100</f>
        <v>7105.1338800000003</v>
      </c>
      <c r="H33" s="208">
        <f t="shared" si="3"/>
        <v>11.339259266135684</v>
      </c>
      <c r="I33" s="208">
        <f>Справка!EH31</f>
        <v>79723.137450000009</v>
      </c>
      <c r="J33" s="208">
        <f>Справка!EI31</f>
        <v>16287.069900000004</v>
      </c>
      <c r="K33" s="208">
        <f t="shared" si="7"/>
        <v>20.42953955520726</v>
      </c>
    </row>
    <row r="34" spans="1:12" ht="30" customHeight="1">
      <c r="A34" s="81" t="s">
        <v>204</v>
      </c>
      <c r="B34" s="82" t="s">
        <v>73</v>
      </c>
      <c r="C34" s="203">
        <f>F34</f>
        <v>50</v>
      </c>
      <c r="D34" s="203">
        <f>G34</f>
        <v>50</v>
      </c>
      <c r="E34" s="207">
        <f t="shared" si="8"/>
        <v>100</v>
      </c>
      <c r="F34" s="199">
        <f>район!C104</f>
        <v>50</v>
      </c>
      <c r="G34" s="207">
        <f>район!D104</f>
        <v>50</v>
      </c>
      <c r="H34" s="208">
        <f t="shared" si="3"/>
        <v>100</v>
      </c>
      <c r="I34" s="207"/>
      <c r="J34" s="207"/>
      <c r="K34" s="208">
        <v>0</v>
      </c>
    </row>
    <row r="35" spans="1:12" ht="30" customHeight="1">
      <c r="A35" s="81" t="s">
        <v>205</v>
      </c>
      <c r="B35" s="82" t="s">
        <v>77</v>
      </c>
      <c r="C35" s="203">
        <f>F35</f>
        <v>622767.20079999999</v>
      </c>
      <c r="D35" s="203">
        <f>G35</f>
        <v>303106.74479999999</v>
      </c>
      <c r="E35" s="207">
        <f t="shared" si="8"/>
        <v>48.670955119446297</v>
      </c>
      <c r="F35" s="199">
        <f>район!C106</f>
        <v>622767.20079999999</v>
      </c>
      <c r="G35" s="207">
        <f>район!D106</f>
        <v>303106.74479999999</v>
      </c>
      <c r="H35" s="208">
        <f t="shared" si="3"/>
        <v>48.670955119446297</v>
      </c>
      <c r="I35" s="207"/>
      <c r="J35" s="207"/>
      <c r="K35" s="208">
        <v>0</v>
      </c>
    </row>
    <row r="36" spans="1:12" ht="30" customHeight="1">
      <c r="A36" s="81" t="s">
        <v>206</v>
      </c>
      <c r="B36" s="82" t="s">
        <v>83</v>
      </c>
      <c r="C36" s="206">
        <v>52644.207069999997</v>
      </c>
      <c r="D36" s="206">
        <v>23578.832549999999</v>
      </c>
      <c r="E36" s="207">
        <f t="shared" si="8"/>
        <v>44.789035417795688</v>
      </c>
      <c r="F36" s="199">
        <f>район!C112</f>
        <v>46145.169000000002</v>
      </c>
      <c r="G36" s="207">
        <f>район!D112</f>
        <v>21695.68347</v>
      </c>
      <c r="H36" s="208">
        <f t="shared" si="3"/>
        <v>47.016153456930674</v>
      </c>
      <c r="I36" s="208">
        <f>Справка!EK31</f>
        <v>32569.238069999999</v>
      </c>
      <c r="J36" s="208">
        <f>Справка!EL31</f>
        <v>13882.230079999999</v>
      </c>
      <c r="K36" s="208">
        <f t="shared" si="7"/>
        <v>42.62374836698168</v>
      </c>
      <c r="L36" s="83"/>
    </row>
    <row r="37" spans="1:12" ht="30" customHeight="1">
      <c r="A37" s="81" t="s">
        <v>207</v>
      </c>
      <c r="B37" s="82" t="s">
        <v>208</v>
      </c>
      <c r="C37" s="206">
        <v>41936.949359999999</v>
      </c>
      <c r="D37" s="206">
        <v>29009.164130000001</v>
      </c>
      <c r="E37" s="207">
        <f t="shared" si="8"/>
        <v>69.17328173057173</v>
      </c>
      <c r="F37" s="199">
        <f>район!C115</f>
        <v>41936.949360000006</v>
      </c>
      <c r="G37" s="207">
        <f>район!D115</f>
        <v>29009.164129999997</v>
      </c>
      <c r="H37" s="208">
        <f t="shared" si="3"/>
        <v>69.173281730571716</v>
      </c>
      <c r="I37" s="208">
        <f>Справка!EN31</f>
        <v>0</v>
      </c>
      <c r="J37" s="208">
        <f>Справка!EO31</f>
        <v>0</v>
      </c>
      <c r="K37" s="208"/>
    </row>
    <row r="38" spans="1:12" ht="30" customHeight="1">
      <c r="A38" s="81" t="s">
        <v>209</v>
      </c>
      <c r="B38" s="82" t="s">
        <v>92</v>
      </c>
      <c r="C38" s="206">
        <v>8287.1280000000006</v>
      </c>
      <c r="D38" s="206">
        <v>5105.4110000000001</v>
      </c>
      <c r="E38" s="207">
        <f t="shared" si="8"/>
        <v>61.606517963762599</v>
      </c>
      <c r="F38" s="199">
        <f>район!C120</f>
        <v>7770.1279999999997</v>
      </c>
      <c r="G38" s="207">
        <f>район!D120</f>
        <v>4981.8050000000003</v>
      </c>
      <c r="H38" s="208">
        <f t="shared" si="3"/>
        <v>64.114838262638656</v>
      </c>
      <c r="I38" s="208">
        <f>Справка!EQ31</f>
        <v>517</v>
      </c>
      <c r="J38" s="208">
        <f>Справка!ER31</f>
        <v>123.60600000000001</v>
      </c>
      <c r="K38" s="208">
        <f t="shared" si="7"/>
        <v>23.908317214700194</v>
      </c>
    </row>
    <row r="39" spans="1:12" ht="30" customHeight="1">
      <c r="A39" s="81" t="s">
        <v>210</v>
      </c>
      <c r="B39" s="82" t="s">
        <v>104</v>
      </c>
      <c r="C39" s="199">
        <f>F39</f>
        <v>45</v>
      </c>
      <c r="D39" s="209">
        <f>G39</f>
        <v>0</v>
      </c>
      <c r="E39" s="207">
        <f t="shared" si="8"/>
        <v>0</v>
      </c>
      <c r="F39" s="199">
        <f>район!C126</f>
        <v>45</v>
      </c>
      <c r="G39" s="207">
        <f>район!D126</f>
        <v>0</v>
      </c>
      <c r="H39" s="208">
        <f t="shared" si="3"/>
        <v>0</v>
      </c>
      <c r="I39" s="208"/>
      <c r="J39" s="208"/>
      <c r="K39" s="208">
        <v>0</v>
      </c>
    </row>
    <row r="40" spans="1:12" ht="34.5" customHeight="1">
      <c r="A40" s="81" t="s">
        <v>211</v>
      </c>
      <c r="B40" s="82" t="s">
        <v>108</v>
      </c>
      <c r="C40" s="199">
        <f>F40</f>
        <v>0</v>
      </c>
      <c r="D40" s="209">
        <f>G40</f>
        <v>0</v>
      </c>
      <c r="E40" s="207"/>
      <c r="F40" s="199">
        <f>район!C128</f>
        <v>0</v>
      </c>
      <c r="G40" s="207">
        <f>район!D128</f>
        <v>0</v>
      </c>
      <c r="H40" s="208">
        <v>0</v>
      </c>
      <c r="I40" s="208"/>
      <c r="J40" s="210"/>
      <c r="K40" s="208">
        <v>0</v>
      </c>
    </row>
    <row r="41" spans="1:12" ht="30" customHeight="1">
      <c r="A41" s="81" t="s">
        <v>212</v>
      </c>
      <c r="B41" s="82" t="s">
        <v>213</v>
      </c>
      <c r="C41" s="199">
        <v>0</v>
      </c>
      <c r="D41" s="209"/>
      <c r="E41" s="207">
        <v>0</v>
      </c>
      <c r="F41" s="199">
        <f>район!C130</f>
        <v>68965.216</v>
      </c>
      <c r="G41" s="207">
        <f>район!D130</f>
        <v>27969.657729999999</v>
      </c>
      <c r="H41" s="208">
        <f t="shared" si="3"/>
        <v>40.556180857897985</v>
      </c>
      <c r="I41" s="208">
        <f>Справка!ET31</f>
        <v>0</v>
      </c>
      <c r="J41" s="210">
        <f>Справка!EU31</f>
        <v>0</v>
      </c>
      <c r="K41" s="208"/>
    </row>
    <row r="42" spans="1:12">
      <c r="A42" s="139"/>
      <c r="B42" s="140"/>
      <c r="C42" s="138"/>
      <c r="D42" s="138"/>
      <c r="E42" s="138"/>
      <c r="F42" s="138"/>
      <c r="G42" s="138"/>
      <c r="H42" s="138"/>
      <c r="I42" s="138"/>
      <c r="J42" s="138"/>
      <c r="K42" s="138"/>
    </row>
    <row r="43" spans="1:12" hidden="1">
      <c r="A43" s="139"/>
      <c r="B43" s="140"/>
      <c r="C43" s="138">
        <f>C27-C28</f>
        <v>-53029.211490000016</v>
      </c>
      <c r="D43" s="138">
        <f>D27-D28</f>
        <v>-5135.4708299999475</v>
      </c>
      <c r="E43" s="138"/>
      <c r="F43" s="138">
        <f>F27-F28</f>
        <v>-39056.545679999981</v>
      </c>
      <c r="G43" s="138">
        <f>G27-G28</f>
        <v>-11126.690449999878</v>
      </c>
      <c r="H43" s="138"/>
      <c r="I43" s="138">
        <f>I27-I28</f>
        <v>-4972.665810000035</v>
      </c>
      <c r="J43" s="138">
        <f>J27-J28</f>
        <v>5991.2196199999962</v>
      </c>
      <c r="K43" s="138"/>
    </row>
    <row r="44" spans="1:12" hidden="1">
      <c r="A44" s="139"/>
      <c r="B44" s="140"/>
      <c r="C44" s="138">
        <f>C43-F44</f>
        <v>-9000</v>
      </c>
      <c r="D44" s="138">
        <f>D43-G44</f>
        <v>-6.5483618527650833E-11</v>
      </c>
      <c r="E44" s="138"/>
      <c r="F44" s="138">
        <f>F43+I43</f>
        <v>-44029.211490000016</v>
      </c>
      <c r="G44" s="138">
        <f>G43+J43</f>
        <v>-5135.470829999882</v>
      </c>
      <c r="H44" s="138"/>
      <c r="I44" s="138"/>
      <c r="J44" s="138"/>
      <c r="K44" s="138"/>
    </row>
    <row r="45" spans="1:12" ht="20.25" hidden="1" customHeight="1">
      <c r="A45" s="139"/>
      <c r="B45" s="140"/>
      <c r="C45" s="141"/>
      <c r="D45" s="141"/>
      <c r="E45" s="142"/>
      <c r="F45" s="142">
        <f>C28+F44-C23-C26</f>
        <v>783660.81093000004</v>
      </c>
      <c r="G45" s="142">
        <f>D28+G44-D23-D26</f>
        <v>350980.79823000007</v>
      </c>
      <c r="H45" s="136"/>
      <c r="I45" s="136"/>
      <c r="J45" s="136"/>
      <c r="K45" s="138"/>
    </row>
    <row r="46" spans="1:12">
      <c r="A46" s="139"/>
      <c r="B46" s="140"/>
      <c r="C46" s="213"/>
      <c r="D46" s="138"/>
      <c r="E46" s="138"/>
      <c r="F46" s="138"/>
      <c r="G46" s="138"/>
      <c r="H46" s="138"/>
      <c r="I46" s="138"/>
      <c r="J46" s="138"/>
      <c r="K46" s="138"/>
    </row>
    <row r="47" spans="1:12">
      <c r="A47" s="139"/>
      <c r="B47" s="140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2">
      <c r="A48" s="139"/>
      <c r="B48" s="140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1:11">
      <c r="A49" s="139" t="s">
        <v>409</v>
      </c>
      <c r="B49" s="140"/>
      <c r="C49" s="141"/>
      <c r="D49" s="141"/>
      <c r="E49" s="142"/>
      <c r="F49" s="142"/>
      <c r="G49" s="142"/>
      <c r="H49" s="136"/>
      <c r="I49" s="136"/>
      <c r="J49" s="136"/>
      <c r="K49" s="136"/>
    </row>
    <row r="50" spans="1:11" ht="32.25" customHeight="1">
      <c r="A50" s="139" t="s">
        <v>410</v>
      </c>
      <c r="B50" s="140"/>
      <c r="C50" s="472"/>
      <c r="D50" s="487" t="s">
        <v>254</v>
      </c>
      <c r="E50" s="487"/>
      <c r="F50" s="143"/>
      <c r="G50" s="142"/>
      <c r="H50" s="136"/>
      <c r="I50" s="136"/>
      <c r="J50" s="136"/>
      <c r="K50" s="136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1"/>
    </customSheetView>
    <customSheetView guid="{B31C8DB7-3E78-4144-A6B5-8DE36DE63F0E}" scale="80" showPageBreaks="1" printArea="1" hiddenRows="1" view="pageBreakPreview">
      <selection activeCell="H8" sqref="H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3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4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6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B30CE22D-C12F-4E12-8BB9-3AAE0A6991CC}" scale="80" showPageBreaks="1" printArea="1" hiddenRows="1" view="pageBreakPreview">
      <selection activeCell="E24" sqref="E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8"/>
    </customSheetView>
    <customSheetView guid="{61528DAC-5C4C-48F4-ADE2-8A724B05A086}" scale="80" showPageBreaks="1" printArea="1" hiddenRows="1" view="pageBreakPreview">
      <selection activeCell="E26" sqref="E26"/>
      <rowBreaks count="1" manualBreakCount="1">
        <brk id="27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4" type="noConversion"/>
  <pageMargins left="0.70866141732283472" right="0.70866141732283472" top="0.34" bottom="0.74803149606299213" header="0.31496062992125984" footer="0.31496062992125984"/>
  <pageSetup paperSize="9" scale="62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36" zoomScale="70" zoomScaleSheetLayoutView="70" workbookViewId="0">
      <selection activeCell="D90" sqref="D90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427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6.75" customHeight="1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2450.12</v>
      </c>
      <c r="D4" s="5">
        <f>D5+D12+D14+D17+D7</f>
        <v>586.91201000000001</v>
      </c>
      <c r="E4" s="5">
        <f>SUM(D4/C4*100)</f>
        <v>23.954418967234258</v>
      </c>
      <c r="F4" s="5">
        <f>SUM(D4-C4)</f>
        <v>-1863.2079899999999</v>
      </c>
    </row>
    <row r="5" spans="1:6" s="6" customFormat="1">
      <c r="A5" s="68">
        <v>1010000000</v>
      </c>
      <c r="B5" s="67" t="s">
        <v>5</v>
      </c>
      <c r="C5" s="5">
        <f>C6</f>
        <v>227.4</v>
      </c>
      <c r="D5" s="5">
        <f>D6</f>
        <v>115.92375</v>
      </c>
      <c r="E5" s="5">
        <f t="shared" ref="E5:E51" si="0">SUM(D5/C5*100)</f>
        <v>50.97790237467018</v>
      </c>
      <c r="F5" s="5">
        <f t="shared" ref="F5:F51" si="1">SUM(D5-C5)</f>
        <v>-111.47625000000001</v>
      </c>
    </row>
    <row r="6" spans="1:6">
      <c r="A6" s="7">
        <v>1010200001</v>
      </c>
      <c r="B6" s="8" t="s">
        <v>224</v>
      </c>
      <c r="C6" s="9">
        <v>227.4</v>
      </c>
      <c r="D6" s="10">
        <v>115.92375</v>
      </c>
      <c r="E6" s="9">
        <f t="shared" ref="E6:E11" si="2">SUM(D6/C6*100)</f>
        <v>50.97790237467018</v>
      </c>
      <c r="F6" s="9">
        <f t="shared" si="1"/>
        <v>-111.47625000000001</v>
      </c>
    </row>
    <row r="7" spans="1:6" ht="31.5">
      <c r="A7" s="3">
        <v>1030000000</v>
      </c>
      <c r="B7" s="13" t="s">
        <v>266</v>
      </c>
      <c r="C7" s="5">
        <f>C8+C10+C9</f>
        <v>479.72</v>
      </c>
      <c r="D7" s="5">
        <f>D8+D9+D10+D11</f>
        <v>248.74151000000003</v>
      </c>
      <c r="E7" s="9">
        <f t="shared" si="2"/>
        <v>51.851394563495376</v>
      </c>
      <c r="F7" s="9">
        <f t="shared" si="1"/>
        <v>-230.97848999999999</v>
      </c>
    </row>
    <row r="8" spans="1:6">
      <c r="A8" s="7">
        <v>1030223001</v>
      </c>
      <c r="B8" s="8" t="s">
        <v>268</v>
      </c>
      <c r="C8" s="9">
        <v>178.94</v>
      </c>
      <c r="D8" s="10">
        <v>112.48224</v>
      </c>
      <c r="E8" s="9">
        <f t="shared" si="2"/>
        <v>62.860310718676658</v>
      </c>
      <c r="F8" s="9">
        <f t="shared" si="1"/>
        <v>-66.457759999999993</v>
      </c>
    </row>
    <row r="9" spans="1:6">
      <c r="A9" s="7">
        <v>1030224001</v>
      </c>
      <c r="B9" s="8" t="s">
        <v>274</v>
      </c>
      <c r="C9" s="9">
        <v>1.92</v>
      </c>
      <c r="D9" s="10">
        <v>0.84733000000000003</v>
      </c>
      <c r="E9" s="9">
        <f t="shared" si="2"/>
        <v>44.131770833333341</v>
      </c>
      <c r="F9" s="9">
        <f t="shared" si="1"/>
        <v>-1.07267</v>
      </c>
    </row>
    <row r="10" spans="1:6">
      <c r="A10" s="7">
        <v>1030225001</v>
      </c>
      <c r="B10" s="8" t="s">
        <v>267</v>
      </c>
      <c r="C10" s="9">
        <v>298.86</v>
      </c>
      <c r="D10" s="10">
        <v>156.40752000000001</v>
      </c>
      <c r="E10" s="9">
        <f t="shared" si="2"/>
        <v>52.334711905239907</v>
      </c>
      <c r="F10" s="9">
        <f t="shared" si="1"/>
        <v>-142.45248000000001</v>
      </c>
    </row>
    <row r="11" spans="1:6">
      <c r="A11" s="7">
        <v>1030265001</v>
      </c>
      <c r="B11" s="8" t="s">
        <v>276</v>
      </c>
      <c r="C11" s="9">
        <v>0</v>
      </c>
      <c r="D11" s="10">
        <v>-20.99558</v>
      </c>
      <c r="E11" s="9" t="e">
        <f t="shared" si="2"/>
        <v>#DIV/0!</v>
      </c>
      <c r="F11" s="9">
        <f t="shared" si="1"/>
        <v>-20.99558</v>
      </c>
    </row>
    <row r="12" spans="1:6" s="6" customFormat="1">
      <c r="A12" s="68">
        <v>1050000000</v>
      </c>
      <c r="B12" s="67" t="s">
        <v>6</v>
      </c>
      <c r="C12" s="5">
        <f>SUM(C13:C13)</f>
        <v>15</v>
      </c>
      <c r="D12" s="5">
        <f>SUM(D13:D13)</f>
        <v>5.8292999999999999</v>
      </c>
      <c r="E12" s="5">
        <f t="shared" si="0"/>
        <v>38.862000000000002</v>
      </c>
      <c r="F12" s="5">
        <f t="shared" si="1"/>
        <v>-9.1707000000000001</v>
      </c>
    </row>
    <row r="13" spans="1:6" ht="15.75" customHeight="1">
      <c r="A13" s="7">
        <v>1050300000</v>
      </c>
      <c r="B13" s="11" t="s">
        <v>225</v>
      </c>
      <c r="C13" s="12">
        <v>15</v>
      </c>
      <c r="D13" s="10">
        <v>5.8292999999999999</v>
      </c>
      <c r="E13" s="9">
        <f t="shared" si="0"/>
        <v>38.862000000000002</v>
      </c>
      <c r="F13" s="9">
        <f t="shared" si="1"/>
        <v>-9.1707000000000001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1720</v>
      </c>
      <c r="D14" s="5">
        <f>D15+D16</f>
        <v>214.71744999999999</v>
      </c>
      <c r="E14" s="5">
        <f t="shared" si="0"/>
        <v>12.483572674418603</v>
      </c>
      <c r="F14" s="5">
        <f t="shared" si="1"/>
        <v>-1505.2825499999999</v>
      </c>
    </row>
    <row r="15" spans="1:6" s="6" customFormat="1" ht="15.75" customHeight="1">
      <c r="A15" s="7">
        <v>1060100000</v>
      </c>
      <c r="B15" s="11" t="s">
        <v>8</v>
      </c>
      <c r="C15" s="9">
        <v>350</v>
      </c>
      <c r="D15" s="10">
        <v>32.096939999999996</v>
      </c>
      <c r="E15" s="9">
        <f t="shared" si="0"/>
        <v>9.1705542857142852</v>
      </c>
      <c r="F15" s="9">
        <f>SUM(D15-C15)</f>
        <v>-317.90305999999998</v>
      </c>
    </row>
    <row r="16" spans="1:6" ht="15.75" customHeight="1">
      <c r="A16" s="7">
        <v>1060600000</v>
      </c>
      <c r="B16" s="11" t="s">
        <v>7</v>
      </c>
      <c r="C16" s="9">
        <v>1370</v>
      </c>
      <c r="D16" s="10">
        <v>182.62051</v>
      </c>
      <c r="E16" s="9">
        <f t="shared" si="0"/>
        <v>13.329964233576641</v>
      </c>
      <c r="F16" s="9">
        <f t="shared" si="1"/>
        <v>-1187.37949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1.7</v>
      </c>
      <c r="E17" s="5">
        <f t="shared" si="0"/>
        <v>21.25</v>
      </c>
      <c r="F17" s="5">
        <f t="shared" si="1"/>
        <v>-6.3</v>
      </c>
    </row>
    <row r="18" spans="1:6" ht="18" customHeight="1">
      <c r="A18" s="7">
        <v>1080400001</v>
      </c>
      <c r="B18" s="8" t="s">
        <v>223</v>
      </c>
      <c r="C18" s="9">
        <v>8</v>
      </c>
      <c r="D18" s="9">
        <v>1.7</v>
      </c>
      <c r="E18" s="9">
        <f t="shared" si="0"/>
        <v>21.25</v>
      </c>
      <c r="F18" s="9">
        <f t="shared" si="1"/>
        <v>-6.3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324</v>
      </c>
      <c r="D25" s="5">
        <f>D26+D29+D31+D36+D34</f>
        <v>25.00741</v>
      </c>
      <c r="E25" s="5">
        <f t="shared" si="0"/>
        <v>7.7183364197530873</v>
      </c>
      <c r="F25" s="5">
        <f t="shared" si="1"/>
        <v>-298.99259000000001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324</v>
      </c>
      <c r="D26" s="5">
        <f>D27+D28</f>
        <v>13.9658</v>
      </c>
      <c r="E26" s="5">
        <f t="shared" si="0"/>
        <v>4.3104320987654319</v>
      </c>
      <c r="F26" s="5">
        <f t="shared" si="1"/>
        <v>-310.0342</v>
      </c>
    </row>
    <row r="27" spans="1:6" ht="15.75" customHeight="1">
      <c r="A27" s="16">
        <v>1110502510</v>
      </c>
      <c r="B27" s="17" t="s">
        <v>221</v>
      </c>
      <c r="C27" s="12">
        <v>270</v>
      </c>
      <c r="D27" s="12">
        <v>0.46579999999999999</v>
      </c>
      <c r="E27" s="9">
        <f t="shared" si="0"/>
        <v>0.17251851851851852</v>
      </c>
      <c r="F27" s="9">
        <f t="shared" si="1"/>
        <v>-269.5342</v>
      </c>
    </row>
    <row r="28" spans="1:6" ht="17.25" customHeight="1">
      <c r="A28" s="7">
        <v>1110503510</v>
      </c>
      <c r="B28" s="11" t="s">
        <v>220</v>
      </c>
      <c r="C28" s="12">
        <v>54</v>
      </c>
      <c r="D28" s="10">
        <v>13.5</v>
      </c>
      <c r="E28" s="9">
        <f t="shared" si="0"/>
        <v>25</v>
      </c>
      <c r="F28" s="9">
        <f t="shared" si="1"/>
        <v>-40.5</v>
      </c>
    </row>
    <row r="29" spans="1:6" s="15" customFormat="1" ht="15" customHeight="1">
      <c r="A29" s="68">
        <v>1130000000</v>
      </c>
      <c r="B29" s="69" t="s">
        <v>128</v>
      </c>
      <c r="C29" s="5">
        <f>C30</f>
        <v>0</v>
      </c>
      <c r="D29" s="5">
        <f>D30</f>
        <v>15.691610000000001</v>
      </c>
      <c r="E29" s="5" t="e">
        <f t="shared" si="0"/>
        <v>#DIV/0!</v>
      </c>
      <c r="F29" s="5">
        <f t="shared" si="1"/>
        <v>15.691610000000001</v>
      </c>
    </row>
    <row r="30" spans="1:6" ht="15.75" customHeight="1">
      <c r="A30" s="7">
        <v>1130206005</v>
      </c>
      <c r="B30" s="8" t="s">
        <v>219</v>
      </c>
      <c r="C30" s="9">
        <v>0</v>
      </c>
      <c r="D30" s="10">
        <v>15.691610000000001</v>
      </c>
      <c r="E30" s="9" t="e">
        <f t="shared" si="0"/>
        <v>#DIV/0!</v>
      </c>
      <c r="F30" s="9">
        <f t="shared" si="1"/>
        <v>15.691610000000001</v>
      </c>
    </row>
    <row r="31" spans="1:6" ht="15.7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322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323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132</v>
      </c>
      <c r="C36" s="5">
        <f>C37+C38</f>
        <v>0</v>
      </c>
      <c r="D36" s="5">
        <f>D37+D38</f>
        <v>-4.6500000000000004</v>
      </c>
      <c r="E36" s="5" t="e">
        <f t="shared" si="0"/>
        <v>#DIV/0!</v>
      </c>
      <c r="F36" s="5">
        <f t="shared" si="1"/>
        <v>-4.6500000000000004</v>
      </c>
    </row>
    <row r="37" spans="1:7" ht="15.75" customHeight="1">
      <c r="A37" s="7">
        <v>1170105005</v>
      </c>
      <c r="B37" s="8" t="s">
        <v>15</v>
      </c>
      <c r="C37" s="9">
        <v>0</v>
      </c>
      <c r="D37" s="9">
        <v>-4.6500000000000004</v>
      </c>
      <c r="E37" s="9" t="e">
        <f t="shared" si="0"/>
        <v>#DIV/0!</v>
      </c>
      <c r="F37" s="9">
        <f t="shared" si="1"/>
        <v>-4.6500000000000004</v>
      </c>
    </row>
    <row r="38" spans="1:7" ht="18.7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16</v>
      </c>
      <c r="C39" s="258">
        <f>SUM(C4,C25)</f>
        <v>2774.12</v>
      </c>
      <c r="D39" s="258">
        <f>SUM(D4,D25)</f>
        <v>611.91942000000006</v>
      </c>
      <c r="E39" s="5">
        <f t="shared" si="0"/>
        <v>22.058145285712229</v>
      </c>
      <c r="F39" s="5">
        <f t="shared" si="1"/>
        <v>-2162.2005799999997</v>
      </c>
    </row>
    <row r="40" spans="1:7" s="6" customFormat="1">
      <c r="A40" s="3">
        <v>2000000000</v>
      </c>
      <c r="B40" s="4" t="s">
        <v>17</v>
      </c>
      <c r="C40" s="5">
        <f>C41+C43+C45+C46+C48+C49+C47+C42+C44</f>
        <v>13791.810500000001</v>
      </c>
      <c r="D40" s="254">
        <f>D41+D43+D45+D46+D48+D49+D42+D47</f>
        <v>2240.3537799999999</v>
      </c>
      <c r="E40" s="5">
        <f t="shared" si="0"/>
        <v>16.244087605467026</v>
      </c>
      <c r="F40" s="5">
        <f t="shared" si="1"/>
        <v>-11551.456720000002</v>
      </c>
      <c r="G40" s="19"/>
    </row>
    <row r="41" spans="1:7">
      <c r="A41" s="16">
        <v>2021000000</v>
      </c>
      <c r="B41" s="17" t="s">
        <v>18</v>
      </c>
      <c r="C41" s="99">
        <v>3226.8</v>
      </c>
      <c r="D41" s="20">
        <v>1613.412</v>
      </c>
      <c r="E41" s="9">
        <f t="shared" si="0"/>
        <v>50.000371885459273</v>
      </c>
      <c r="F41" s="9">
        <f t="shared" si="1"/>
        <v>-1613.3880000000001</v>
      </c>
    </row>
    <row r="42" spans="1:7" ht="17.25" customHeight="1">
      <c r="A42" s="16">
        <v>2021500200</v>
      </c>
      <c r="B42" s="17" t="s">
        <v>227</v>
      </c>
      <c r="C42" s="12"/>
      <c r="D42" s="20">
        <v>0</v>
      </c>
      <c r="E42" s="9" t="e">
        <f>SUM(D42/C42*100)</f>
        <v>#DIV/0!</v>
      </c>
      <c r="F42" s="9">
        <f>SUM(D42-C42)</f>
        <v>0</v>
      </c>
    </row>
    <row r="43" spans="1:7" ht="19.5" customHeight="1">
      <c r="A43" s="16">
        <v>2022000000</v>
      </c>
      <c r="B43" s="17" t="s">
        <v>19</v>
      </c>
      <c r="C43" s="12">
        <v>9804.6694000000007</v>
      </c>
      <c r="D43" s="10">
        <v>209.81299999999999</v>
      </c>
      <c r="E43" s="9">
        <f t="shared" si="0"/>
        <v>2.1399293687556664</v>
      </c>
      <c r="F43" s="9">
        <f t="shared" si="1"/>
        <v>-9594.8564000000006</v>
      </c>
    </row>
    <row r="44" spans="1:7" hidden="1">
      <c r="A44" s="16">
        <v>2022999910</v>
      </c>
      <c r="B44" s="18" t="s">
        <v>330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20</v>
      </c>
      <c r="C45" s="12">
        <v>206.767</v>
      </c>
      <c r="D45" s="184">
        <v>103.52878</v>
      </c>
      <c r="E45" s="9">
        <f t="shared" si="0"/>
        <v>50.070262662804019</v>
      </c>
      <c r="F45" s="9">
        <f t="shared" si="1"/>
        <v>-103.23822</v>
      </c>
    </row>
    <row r="46" spans="1:7" ht="20.25" customHeight="1">
      <c r="A46" s="16">
        <v>2020400000</v>
      </c>
      <c r="B46" s="17" t="s">
        <v>21</v>
      </c>
      <c r="C46" s="12">
        <v>162.905</v>
      </c>
      <c r="D46" s="185"/>
      <c r="E46" s="9">
        <f t="shared" si="0"/>
        <v>0</v>
      </c>
      <c r="F46" s="9">
        <f t="shared" si="1"/>
        <v>-162.905</v>
      </c>
    </row>
    <row r="47" spans="1:7" ht="20.25" customHeight="1">
      <c r="A47" s="7">
        <v>2070500010</v>
      </c>
      <c r="B47" s="18" t="s">
        <v>283</v>
      </c>
      <c r="C47" s="12">
        <v>390.66910000000001</v>
      </c>
      <c r="D47" s="185">
        <v>313.60000000000002</v>
      </c>
      <c r="E47" s="9">
        <f t="shared" si="0"/>
        <v>80.272537551600578</v>
      </c>
      <c r="F47" s="9">
        <f t="shared" si="1"/>
        <v>-77.069099999999992</v>
      </c>
    </row>
    <row r="48" spans="1:7" ht="19.5" hidden="1" customHeight="1">
      <c r="A48" s="16">
        <v>2020900000</v>
      </c>
      <c r="B48" s="18" t="s">
        <v>22</v>
      </c>
      <c r="C48" s="12"/>
      <c r="D48" s="185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24</v>
      </c>
      <c r="C50" s="12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25</v>
      </c>
      <c r="C51" s="247">
        <f>C39+C40</f>
        <v>16565.930500000002</v>
      </c>
      <c r="D51" s="248">
        <f>D39+D40</f>
        <v>2852.2732000000001</v>
      </c>
      <c r="E51" s="5">
        <f t="shared" si="0"/>
        <v>17.217705941721775</v>
      </c>
      <c r="F51" s="5">
        <f t="shared" si="1"/>
        <v>-13713.657300000003</v>
      </c>
      <c r="G51" s="197"/>
    </row>
    <row r="52" spans="1:7" s="6" customFormat="1">
      <c r="A52" s="3"/>
      <c r="B52" s="21" t="s">
        <v>306</v>
      </c>
      <c r="C52" s="93">
        <f>C51-C99</f>
        <v>-711.34809999999561</v>
      </c>
      <c r="D52" s="93">
        <f>D51-D99</f>
        <v>-45.258629999999357</v>
      </c>
      <c r="E52" s="22"/>
      <c r="F52" s="22"/>
    </row>
    <row r="53" spans="1:7" ht="23.25" customHeight="1">
      <c r="A53" s="23"/>
      <c r="B53" s="24"/>
      <c r="C53" s="176"/>
      <c r="D53" s="176"/>
      <c r="E53" s="131"/>
      <c r="F53" s="92"/>
    </row>
    <row r="54" spans="1:7" ht="65.25" customHeight="1">
      <c r="A54" s="28" t="s">
        <v>0</v>
      </c>
      <c r="B54" s="28" t="s">
        <v>26</v>
      </c>
      <c r="C54" s="72" t="s">
        <v>405</v>
      </c>
      <c r="D54" s="73" t="s">
        <v>418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27</v>
      </c>
      <c r="B56" s="31" t="s">
        <v>28</v>
      </c>
      <c r="C56" s="32">
        <f>C57+C58+C59+C60+C61+C63+C62</f>
        <v>1721.0220000000002</v>
      </c>
      <c r="D56" s="33">
        <f>D57+D58+D59+D60+D61+D63+D62</f>
        <v>807.03041000000007</v>
      </c>
      <c r="E56" s="34">
        <f>SUM(D56/C56*100)</f>
        <v>46.892509799409886</v>
      </c>
      <c r="F56" s="34">
        <f>SUM(D56-C56)</f>
        <v>-913.99159000000009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8" customHeight="1">
      <c r="A58" s="35" t="s">
        <v>31</v>
      </c>
      <c r="B58" s="39" t="s">
        <v>32</v>
      </c>
      <c r="C58" s="37">
        <v>1594.8320000000001</v>
      </c>
      <c r="D58" s="37">
        <v>784.83041000000003</v>
      </c>
      <c r="E58" s="38">
        <f t="shared" ref="E58:E99" si="3">SUM(D58/C58*100)</f>
        <v>49.210851675913197</v>
      </c>
      <c r="F58" s="38">
        <f t="shared" ref="F58:F99" si="4">SUM(D58-C58)</f>
        <v>-810.00159000000008</v>
      </c>
    </row>
    <row r="59" spans="1:7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8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7" ht="18" customHeight="1">
      <c r="A63" s="35" t="s">
        <v>41</v>
      </c>
      <c r="B63" s="39" t="s">
        <v>42</v>
      </c>
      <c r="C63" s="37">
        <v>26.19</v>
      </c>
      <c r="D63" s="37">
        <v>22.2</v>
      </c>
      <c r="E63" s="38">
        <f t="shared" si="3"/>
        <v>84.765177548682701</v>
      </c>
      <c r="F63" s="38">
        <f t="shared" si="4"/>
        <v>-3.990000000000002</v>
      </c>
    </row>
    <row r="64" spans="1:7" s="6" customFormat="1">
      <c r="A64" s="41" t="s">
        <v>43</v>
      </c>
      <c r="B64" s="42" t="s">
        <v>44</v>
      </c>
      <c r="C64" s="32">
        <f>C65</f>
        <v>206.767</v>
      </c>
      <c r="D64" s="32">
        <f>D65</f>
        <v>72.265619999999998</v>
      </c>
      <c r="E64" s="34">
        <f t="shared" si="3"/>
        <v>34.950267692620194</v>
      </c>
      <c r="F64" s="34">
        <f t="shared" si="4"/>
        <v>-134.50137999999998</v>
      </c>
    </row>
    <row r="65" spans="1:7">
      <c r="A65" s="43" t="s">
        <v>45</v>
      </c>
      <c r="B65" s="44" t="s">
        <v>46</v>
      </c>
      <c r="C65" s="37">
        <v>206.767</v>
      </c>
      <c r="D65" s="37">
        <v>72.265619999999998</v>
      </c>
      <c r="E65" s="38">
        <f t="shared" si="3"/>
        <v>34.950267692620194</v>
      </c>
      <c r="F65" s="38">
        <f t="shared" si="4"/>
        <v>-134.50137999999998</v>
      </c>
    </row>
    <row r="66" spans="1:7" s="6" customFormat="1" ht="18.75" customHeight="1">
      <c r="A66" s="30" t="s">
        <v>47</v>
      </c>
      <c r="B66" s="31" t="s">
        <v>48</v>
      </c>
      <c r="C66" s="32">
        <f>C70+C69+C68+C67+C71</f>
        <v>15</v>
      </c>
      <c r="D66" s="32">
        <f>SUM(D69+D70+D71)</f>
        <v>7.8182299999999998</v>
      </c>
      <c r="E66" s="34">
        <f t="shared" si="3"/>
        <v>52.121533333333339</v>
      </c>
      <c r="F66" s="34">
        <f t="shared" si="4"/>
        <v>-7.1817700000000002</v>
      </c>
    </row>
    <row r="67" spans="1:7" hidden="1">
      <c r="A67" s="35" t="s">
        <v>49</v>
      </c>
      <c r="B67" s="39" t="s">
        <v>50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53</v>
      </c>
      <c r="B69" s="47" t="s">
        <v>54</v>
      </c>
      <c r="C69" s="37">
        <v>3</v>
      </c>
      <c r="D69" s="37">
        <v>2.81148</v>
      </c>
      <c r="E69" s="38">
        <f t="shared" si="3"/>
        <v>93.715999999999994</v>
      </c>
      <c r="F69" s="38">
        <f t="shared" si="4"/>
        <v>-0.18852000000000002</v>
      </c>
    </row>
    <row r="70" spans="1:7" ht="15.75" customHeight="1">
      <c r="A70" s="46" t="s">
        <v>214</v>
      </c>
      <c r="B70" s="47" t="s">
        <v>215</v>
      </c>
      <c r="C70" s="37">
        <v>10</v>
      </c>
      <c r="D70" s="37">
        <v>3.0067499999999998</v>
      </c>
      <c r="E70" s="38">
        <f>SUM(D70/C70*100)</f>
        <v>30.067499999999995</v>
      </c>
      <c r="F70" s="38">
        <f>SUM(D70-C70)</f>
        <v>-6.9932499999999997</v>
      </c>
    </row>
    <row r="71" spans="1:7" ht="15.75" customHeight="1">
      <c r="A71" s="46" t="s">
        <v>338</v>
      </c>
      <c r="B71" s="47" t="s">
        <v>393</v>
      </c>
      <c r="C71" s="37">
        <v>2</v>
      </c>
      <c r="D71" s="37">
        <v>2</v>
      </c>
      <c r="E71" s="38"/>
      <c r="F71" s="38"/>
    </row>
    <row r="72" spans="1:7" s="6" customFormat="1">
      <c r="A72" s="30" t="s">
        <v>55</v>
      </c>
      <c r="B72" s="31" t="s">
        <v>56</v>
      </c>
      <c r="C72" s="48">
        <f>SUM(C73:C76)</f>
        <v>3061.4881</v>
      </c>
      <c r="D72" s="48">
        <f>SUM(D73:D76)</f>
        <v>398.15899999999999</v>
      </c>
      <c r="E72" s="34">
        <f t="shared" si="3"/>
        <v>13.005407403020772</v>
      </c>
      <c r="F72" s="34">
        <f t="shared" si="4"/>
        <v>-2663.3290999999999</v>
      </c>
    </row>
    <row r="73" spans="1:7" ht="17.2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2805.4881</v>
      </c>
      <c r="D75" s="37">
        <v>236.559</v>
      </c>
      <c r="E75" s="38">
        <f t="shared" si="3"/>
        <v>8.4320086761373183</v>
      </c>
      <c r="F75" s="38">
        <f t="shared" si="4"/>
        <v>-2568.9290999999998</v>
      </c>
    </row>
    <row r="76" spans="1:7">
      <c r="A76" s="35" t="s">
        <v>63</v>
      </c>
      <c r="B76" s="39" t="s">
        <v>64</v>
      </c>
      <c r="C76" s="49">
        <v>256</v>
      </c>
      <c r="D76" s="37">
        <v>161.6</v>
      </c>
      <c r="E76" s="38">
        <f t="shared" si="3"/>
        <v>63.125</v>
      </c>
      <c r="F76" s="38">
        <f t="shared" si="4"/>
        <v>-94.4</v>
      </c>
    </row>
    <row r="77" spans="1:7" s="6" customFormat="1" ht="18" customHeight="1">
      <c r="A77" s="30" t="s">
        <v>65</v>
      </c>
      <c r="B77" s="31" t="s">
        <v>66</v>
      </c>
      <c r="C77" s="32">
        <f>SUM(C78:C81)</f>
        <v>10039.2415</v>
      </c>
      <c r="D77" s="32">
        <f>SUM(D78:D81)</f>
        <v>483.03957000000003</v>
      </c>
      <c r="E77" s="34">
        <f t="shared" si="3"/>
        <v>4.8115145950020226</v>
      </c>
      <c r="F77" s="34">
        <f t="shared" si="4"/>
        <v>-9556.2019299999993</v>
      </c>
    </row>
    <row r="78" spans="1:7" hidden="1">
      <c r="A78" s="35" t="s">
        <v>67</v>
      </c>
      <c r="B78" s="51" t="s">
        <v>68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8" customHeight="1">
      <c r="A79" s="35" t="s">
        <v>69</v>
      </c>
      <c r="B79" s="51" t="s">
        <v>70</v>
      </c>
      <c r="C79" s="37">
        <v>1610.0219999999999</v>
      </c>
      <c r="D79" s="37">
        <v>229.07160999999999</v>
      </c>
      <c r="E79" s="38">
        <f t="shared" si="3"/>
        <v>14.2278558926524</v>
      </c>
      <c r="F79" s="38">
        <f t="shared" si="4"/>
        <v>-1380.95039</v>
      </c>
    </row>
    <row r="80" spans="1:7" ht="16.5" customHeight="1">
      <c r="A80" s="35" t="s">
        <v>71</v>
      </c>
      <c r="B80" s="39" t="s">
        <v>72</v>
      </c>
      <c r="C80" s="37">
        <v>8429.2194999999992</v>
      </c>
      <c r="D80" s="37">
        <v>253.96796000000001</v>
      </c>
      <c r="E80" s="38">
        <f t="shared" si="3"/>
        <v>3.0129475214164256</v>
      </c>
      <c r="F80" s="38">
        <f t="shared" si="4"/>
        <v>-8175.2515399999993</v>
      </c>
    </row>
    <row r="81" spans="1:6" ht="31.5" hidden="1">
      <c r="A81" s="35" t="s">
        <v>251</v>
      </c>
      <c r="B81" s="39" t="s">
        <v>263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83</v>
      </c>
      <c r="B82" s="31" t="s">
        <v>84</v>
      </c>
      <c r="C82" s="32">
        <f>C83</f>
        <v>2183.7600000000002</v>
      </c>
      <c r="D82" s="32">
        <f>SUM(D83)</f>
        <v>1116.789</v>
      </c>
      <c r="E82" s="34">
        <f t="shared" si="3"/>
        <v>51.140647323881737</v>
      </c>
      <c r="F82" s="34">
        <f t="shared" si="4"/>
        <v>-1066.9710000000002</v>
      </c>
    </row>
    <row r="83" spans="1:6" ht="16.5" customHeight="1">
      <c r="A83" s="35" t="s">
        <v>85</v>
      </c>
      <c r="B83" s="39" t="s">
        <v>229</v>
      </c>
      <c r="C83" s="37">
        <v>2183.7600000000002</v>
      </c>
      <c r="D83" s="37">
        <v>1116.789</v>
      </c>
      <c r="E83" s="38">
        <f t="shared" si="3"/>
        <v>51.140647323881737</v>
      </c>
      <c r="F83" s="38">
        <f t="shared" si="4"/>
        <v>-1066.9710000000002</v>
      </c>
    </row>
    <row r="84" spans="1:6" s="6" customFormat="1" ht="18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88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89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C90+C91+C92+C93+C94</f>
        <v>50</v>
      </c>
      <c r="D89" s="32">
        <f>D90+D91+D92+D93+D94</f>
        <v>12.43</v>
      </c>
      <c r="E89" s="38">
        <f t="shared" si="3"/>
        <v>24.86</v>
      </c>
      <c r="F89" s="22">
        <f>F90+F91+F92+F93+F94</f>
        <v>-37.57</v>
      </c>
    </row>
    <row r="90" spans="1:6" ht="19.5" customHeight="1">
      <c r="A90" s="35" t="s">
        <v>94</v>
      </c>
      <c r="B90" s="39" t="s">
        <v>95</v>
      </c>
      <c r="C90" s="37">
        <v>50</v>
      </c>
      <c r="D90" s="37">
        <v>12.43</v>
      </c>
      <c r="E90" s="38">
        <f t="shared" si="3"/>
        <v>24.86</v>
      </c>
      <c r="F90" s="38">
        <f>SUM(D90-C90)</f>
        <v>-37.57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116</v>
      </c>
      <c r="C99" s="250">
        <f>C56+C64+C66+C72+C77+C82+C84+C89+C95</f>
        <v>17277.278599999998</v>
      </c>
      <c r="D99" s="250">
        <f>D56+D64+D66+D72+D77+D82+D84+D89+D95</f>
        <v>2897.5318299999994</v>
      </c>
      <c r="E99" s="34">
        <f t="shared" si="3"/>
        <v>16.770765217619399</v>
      </c>
      <c r="F99" s="34">
        <f t="shared" si="4"/>
        <v>-14379.746769999998</v>
      </c>
    </row>
    <row r="100" spans="1:6" ht="20.25" customHeight="1">
      <c r="C100" s="232"/>
      <c r="D100" s="233"/>
    </row>
    <row r="101" spans="1:6" s="65" customFormat="1" ht="13.5" customHeight="1">
      <c r="A101" s="63" t="s">
        <v>117</v>
      </c>
      <c r="B101" s="63"/>
      <c r="C101" s="64"/>
      <c r="D101" s="64"/>
    </row>
    <row r="102" spans="1:6" s="65" customFormat="1" ht="12.75">
      <c r="A102" s="66" t="s">
        <v>118</v>
      </c>
      <c r="B102" s="66"/>
      <c r="C102" s="133" t="s">
        <v>119</v>
      </c>
      <c r="D102" s="133"/>
    </row>
    <row r="103" spans="1:6" ht="5.25" customHeight="1"/>
    <row r="142" hidden="1"/>
  </sheetData>
  <customSheetViews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1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2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3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7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61528DAC-5C4C-48F4-ADE2-8A724B05A086}" scale="70" showPageBreaks="1" hiddenRows="1" view="pageBreakPreview" topLeftCell="A30">
      <selection activeCell="C99" sqref="C99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4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37" zoomScale="70" zoomScaleSheetLayoutView="70" workbookViewId="0">
      <selection activeCell="D98" sqref="D98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428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1911.65</v>
      </c>
      <c r="D4" s="5">
        <f>D5+D12+D14+D17+D7+D20</f>
        <v>508.96691999999996</v>
      </c>
      <c r="E4" s="5">
        <f>SUM(D4/C4*100)</f>
        <v>26.624482515104749</v>
      </c>
      <c r="F4" s="5">
        <f>SUM(D4-C4)</f>
        <v>-1402.6830800000002</v>
      </c>
    </row>
    <row r="5" spans="1:6" s="6" customFormat="1">
      <c r="A5" s="68">
        <v>1010000000</v>
      </c>
      <c r="B5" s="67" t="s">
        <v>5</v>
      </c>
      <c r="C5" s="5">
        <f>C6</f>
        <v>127.65</v>
      </c>
      <c r="D5" s="5">
        <f>D6</f>
        <v>70.224289999999996</v>
      </c>
      <c r="E5" s="5">
        <f t="shared" ref="E5:E51" si="0">SUM(D5/C5*100)</f>
        <v>55.013153153153148</v>
      </c>
      <c r="F5" s="5">
        <f t="shared" ref="F5:F48" si="1">SUM(D5-C5)</f>
        <v>-57.425710000000009</v>
      </c>
    </row>
    <row r="6" spans="1:6">
      <c r="A6" s="7">
        <v>1010200001</v>
      </c>
      <c r="B6" s="8" t="s">
        <v>224</v>
      </c>
      <c r="C6" s="9">
        <v>127.65</v>
      </c>
      <c r="D6" s="10">
        <v>70.224289999999996</v>
      </c>
      <c r="E6" s="9">
        <f t="shared" ref="E6:E11" si="2">SUM(D6/C6*100)</f>
        <v>55.013153153153148</v>
      </c>
      <c r="F6" s="9">
        <f t="shared" si="1"/>
        <v>-57.425710000000009</v>
      </c>
    </row>
    <row r="7" spans="1:6" ht="31.5">
      <c r="A7" s="3">
        <v>1030000000</v>
      </c>
      <c r="B7" s="13" t="s">
        <v>266</v>
      </c>
      <c r="C7" s="5">
        <f>C8+C10+C9</f>
        <v>591</v>
      </c>
      <c r="D7" s="5">
        <f>D8+D10+D9+D11</f>
        <v>306.43925999999999</v>
      </c>
      <c r="E7" s="9">
        <f t="shared" si="2"/>
        <v>51.850974619289339</v>
      </c>
      <c r="F7" s="9">
        <f t="shared" si="1"/>
        <v>-284.56074000000001</v>
      </c>
    </row>
    <row r="8" spans="1:6">
      <c r="A8" s="7">
        <v>1030223001</v>
      </c>
      <c r="B8" s="8" t="s">
        <v>268</v>
      </c>
      <c r="C8" s="9">
        <v>220.44</v>
      </c>
      <c r="D8" s="10">
        <v>138.57346999999999</v>
      </c>
      <c r="E8" s="9">
        <f t="shared" si="2"/>
        <v>62.86221647613862</v>
      </c>
      <c r="F8" s="9">
        <f t="shared" si="1"/>
        <v>-81.866530000000012</v>
      </c>
    </row>
    <row r="9" spans="1:6">
      <c r="A9" s="7">
        <v>1030224001</v>
      </c>
      <c r="B9" s="8" t="s">
        <v>274</v>
      </c>
      <c r="C9" s="9">
        <v>2.36</v>
      </c>
      <c r="D9" s="10">
        <v>1.0438700000000001</v>
      </c>
      <c r="E9" s="9">
        <f t="shared" si="2"/>
        <v>44.231779661016958</v>
      </c>
      <c r="F9" s="9">
        <f t="shared" si="1"/>
        <v>-1.3161299999999998</v>
      </c>
    </row>
    <row r="10" spans="1:6">
      <c r="A10" s="7">
        <v>1030225001</v>
      </c>
      <c r="B10" s="8" t="s">
        <v>267</v>
      </c>
      <c r="C10" s="9">
        <v>368.2</v>
      </c>
      <c r="D10" s="10">
        <v>192.68761000000001</v>
      </c>
      <c r="E10" s="9">
        <f t="shared" si="2"/>
        <v>52.332322107550247</v>
      </c>
      <c r="F10" s="9">
        <f t="shared" si="1"/>
        <v>-175.51238999999998</v>
      </c>
    </row>
    <row r="11" spans="1:6">
      <c r="A11" s="7">
        <v>1030226001</v>
      </c>
      <c r="B11" s="8" t="s">
        <v>276</v>
      </c>
      <c r="C11" s="9">
        <v>0</v>
      </c>
      <c r="D11" s="10">
        <v>-25.865690000000001</v>
      </c>
      <c r="E11" s="9" t="e">
        <f t="shared" si="2"/>
        <v>#DIV/0!</v>
      </c>
      <c r="F11" s="9">
        <f t="shared" si="1"/>
        <v>-25.865690000000001</v>
      </c>
    </row>
    <row r="12" spans="1:6" s="6" customFormat="1">
      <c r="A12" s="68">
        <v>1050000000</v>
      </c>
      <c r="B12" s="67" t="s">
        <v>6</v>
      </c>
      <c r="C12" s="5">
        <f>SUM(C13:C13)</f>
        <v>90</v>
      </c>
      <c r="D12" s="5">
        <f>D13</f>
        <v>19.3629</v>
      </c>
      <c r="E12" s="5">
        <f t="shared" si="0"/>
        <v>21.514333333333333</v>
      </c>
      <c r="F12" s="5">
        <f t="shared" si="1"/>
        <v>-70.637100000000004</v>
      </c>
    </row>
    <row r="13" spans="1:6" ht="15.75" customHeight="1">
      <c r="A13" s="7">
        <v>1050300000</v>
      </c>
      <c r="B13" s="11" t="s">
        <v>225</v>
      </c>
      <c r="C13" s="12">
        <v>90</v>
      </c>
      <c r="D13" s="10">
        <v>19.3629</v>
      </c>
      <c r="E13" s="9">
        <f t="shared" si="0"/>
        <v>21.514333333333333</v>
      </c>
      <c r="F13" s="9">
        <f t="shared" si="1"/>
        <v>-70.637100000000004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1099</v>
      </c>
      <c r="D14" s="5">
        <f>D15+D16</f>
        <v>110.29047</v>
      </c>
      <c r="E14" s="5">
        <f t="shared" si="0"/>
        <v>10.03552957233849</v>
      </c>
      <c r="F14" s="5">
        <f t="shared" si="1"/>
        <v>-988.70952999999997</v>
      </c>
    </row>
    <row r="15" spans="1:6" s="6" customFormat="1" ht="15.75" customHeight="1">
      <c r="A15" s="7">
        <v>1060100000</v>
      </c>
      <c r="B15" s="11" t="s">
        <v>8</v>
      </c>
      <c r="C15" s="9">
        <v>180</v>
      </c>
      <c r="D15" s="10">
        <v>17.275880000000001</v>
      </c>
      <c r="E15" s="9">
        <f t="shared" si="0"/>
        <v>9.5977111111111117</v>
      </c>
      <c r="F15" s="9">
        <f>SUM(D15-C15)</f>
        <v>-162.72412</v>
      </c>
    </row>
    <row r="16" spans="1:6" ht="15.75" customHeight="1">
      <c r="A16" s="7">
        <v>1060600000</v>
      </c>
      <c r="B16" s="11" t="s">
        <v>7</v>
      </c>
      <c r="C16" s="9">
        <v>919</v>
      </c>
      <c r="D16" s="10">
        <v>93.014589999999998</v>
      </c>
      <c r="E16" s="9">
        <f t="shared" si="0"/>
        <v>10.121282916213275</v>
      </c>
      <c r="F16" s="9">
        <f t="shared" si="1"/>
        <v>-825.98541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2.65</v>
      </c>
      <c r="E17" s="5">
        <f t="shared" si="0"/>
        <v>66.25</v>
      </c>
      <c r="F17" s="5">
        <f t="shared" si="1"/>
        <v>-1.35</v>
      </c>
    </row>
    <row r="18" spans="1:6" ht="18" customHeight="1">
      <c r="A18" s="7">
        <v>1080400001</v>
      </c>
      <c r="B18" s="8" t="s">
        <v>223</v>
      </c>
      <c r="C18" s="9">
        <v>4</v>
      </c>
      <c r="D18" s="10">
        <v>2.65</v>
      </c>
      <c r="E18" s="9">
        <f t="shared" si="0"/>
        <v>66.25</v>
      </c>
      <c r="F18" s="9">
        <f t="shared" si="1"/>
        <v>-1.35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125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259.5</v>
      </c>
      <c r="D25" s="5">
        <f>D26+D29+D31+D36+D34</f>
        <v>200.05049</v>
      </c>
      <c r="E25" s="5">
        <f t="shared" si="0"/>
        <v>77.09074759152216</v>
      </c>
      <c r="F25" s="5">
        <f t="shared" si="1"/>
        <v>-59.449510000000004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249.5</v>
      </c>
      <c r="D26" s="249">
        <f>D27+D28</f>
        <v>174.94687999999999</v>
      </c>
      <c r="E26" s="5">
        <f t="shared" si="0"/>
        <v>70.11898997995992</v>
      </c>
      <c r="F26" s="5">
        <f t="shared" si="1"/>
        <v>-74.553120000000007</v>
      </c>
    </row>
    <row r="27" spans="1:6">
      <c r="A27" s="16">
        <v>1110502510</v>
      </c>
      <c r="B27" s="17" t="s">
        <v>221</v>
      </c>
      <c r="C27" s="12">
        <v>242.8</v>
      </c>
      <c r="D27" s="10">
        <v>171.56</v>
      </c>
      <c r="E27" s="9">
        <f t="shared" si="0"/>
        <v>70.658978583196046</v>
      </c>
      <c r="F27" s="9">
        <f t="shared" si="1"/>
        <v>-71.240000000000009</v>
      </c>
    </row>
    <row r="28" spans="1:6" ht="18" customHeight="1">
      <c r="A28" s="7">
        <v>1110503510</v>
      </c>
      <c r="B28" s="11" t="s">
        <v>220</v>
      </c>
      <c r="C28" s="12">
        <v>6.7</v>
      </c>
      <c r="D28" s="10">
        <v>3.3868800000000001</v>
      </c>
      <c r="E28" s="9">
        <f t="shared" si="0"/>
        <v>50.550447761194029</v>
      </c>
      <c r="F28" s="9">
        <f t="shared" si="1"/>
        <v>-3.3131200000000001</v>
      </c>
    </row>
    <row r="29" spans="1:6" s="15" customFormat="1" ht="29.25">
      <c r="A29" s="68">
        <v>1130000000</v>
      </c>
      <c r="B29" s="69" t="s">
        <v>128</v>
      </c>
      <c r="C29" s="5">
        <f>C30</f>
        <v>10</v>
      </c>
      <c r="D29" s="5">
        <f>D30</f>
        <v>3.0454300000000001</v>
      </c>
      <c r="E29" s="5">
        <f t="shared" si="0"/>
        <v>30.4543</v>
      </c>
      <c r="F29" s="5">
        <f t="shared" si="1"/>
        <v>-6.9545700000000004</v>
      </c>
    </row>
    <row r="30" spans="1:6" ht="17.25" customHeight="1">
      <c r="A30" s="7">
        <v>1130206005</v>
      </c>
      <c r="B30" s="8" t="s">
        <v>219</v>
      </c>
      <c r="C30" s="9">
        <v>10</v>
      </c>
      <c r="D30" s="10">
        <v>3.0454300000000001</v>
      </c>
      <c r="E30" s="9">
        <f t="shared" si="0"/>
        <v>30.4543</v>
      </c>
      <c r="F30" s="9">
        <f t="shared" si="1"/>
        <v>-6.9545700000000004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17.25" customHeight="1">
      <c r="A34" s="3">
        <v>1160000000</v>
      </c>
      <c r="B34" s="13" t="s">
        <v>240</v>
      </c>
      <c r="C34" s="5">
        <f>C35</f>
        <v>0</v>
      </c>
      <c r="D34" s="5">
        <f>D35</f>
        <v>22.05818</v>
      </c>
      <c r="E34" s="9" t="e">
        <f>SUM(D34/C34*100)</f>
        <v>#DIV/0!</v>
      </c>
      <c r="F34" s="9">
        <f>SUM(D34-C34)</f>
        <v>22.05818</v>
      </c>
    </row>
    <row r="35" spans="1:7" ht="37.5" customHeight="1">
      <c r="A35" s="7">
        <v>1160701010</v>
      </c>
      <c r="B35" s="8" t="s">
        <v>429</v>
      </c>
      <c r="C35" s="9">
        <v>0</v>
      </c>
      <c r="D35" s="10">
        <v>22.05818</v>
      </c>
      <c r="E35" s="9" t="e">
        <f>SUM(D35/C35*100)</f>
        <v>#DIV/0!</v>
      </c>
      <c r="F35" s="9">
        <f>SUM(D35-C35)</f>
        <v>22.05818</v>
      </c>
    </row>
    <row r="36" spans="1:7" ht="17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6">
        <f>SUM(C4,C25)</f>
        <v>2171.15</v>
      </c>
      <c r="D39" s="126">
        <f>SUM(D4,D25)</f>
        <v>709.01740999999993</v>
      </c>
      <c r="E39" s="5">
        <f t="shared" si="0"/>
        <v>32.656307026230337</v>
      </c>
      <c r="F39" s="5">
        <f t="shared" si="1"/>
        <v>-1462.1325900000002</v>
      </c>
    </row>
    <row r="40" spans="1:7" s="6" customFormat="1">
      <c r="A40" s="3">
        <v>2000000000</v>
      </c>
      <c r="B40" s="4" t="s">
        <v>17</v>
      </c>
      <c r="C40" s="231">
        <f>C41+C42+C43+C44+C48+C49</f>
        <v>12121.225089999998</v>
      </c>
      <c r="D40" s="231">
        <f>D41+D42+D43+D44+D48+D49+D50</f>
        <v>3679.3393900000001</v>
      </c>
      <c r="E40" s="5">
        <f t="shared" si="0"/>
        <v>30.354517490442877</v>
      </c>
      <c r="F40" s="5">
        <f t="shared" si="1"/>
        <v>-8441.8856999999989</v>
      </c>
      <c r="G40" s="19"/>
    </row>
    <row r="41" spans="1:7">
      <c r="A41" s="16">
        <v>2021000000</v>
      </c>
      <c r="B41" s="17" t="s">
        <v>18</v>
      </c>
      <c r="C41" s="12">
        <v>4637.7</v>
      </c>
      <c r="D41" s="20">
        <v>2318.8679999999999</v>
      </c>
      <c r="E41" s="9">
        <f t="shared" si="0"/>
        <v>50.000388123423242</v>
      </c>
      <c r="F41" s="9">
        <f t="shared" si="1"/>
        <v>-2318.8319999999999</v>
      </c>
    </row>
    <row r="42" spans="1:7" ht="17.25" customHeight="1">
      <c r="A42" s="16">
        <v>2021500200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6215.3341899999996</v>
      </c>
      <c r="D43" s="10">
        <v>1051.45261</v>
      </c>
      <c r="E43" s="9">
        <f t="shared" si="0"/>
        <v>16.917072805058613</v>
      </c>
      <c r="F43" s="9">
        <f t="shared" si="1"/>
        <v>-5163.8815799999993</v>
      </c>
    </row>
    <row r="44" spans="1:7" ht="18" customHeight="1">
      <c r="A44" s="16">
        <v>2023000000</v>
      </c>
      <c r="B44" s="17" t="s">
        <v>20</v>
      </c>
      <c r="C44" s="12">
        <v>206.767</v>
      </c>
      <c r="D44" s="184">
        <v>103.52878</v>
      </c>
      <c r="E44" s="9">
        <f t="shared" si="0"/>
        <v>50.070262662804019</v>
      </c>
      <c r="F44" s="9">
        <f t="shared" si="1"/>
        <v>-103.23822</v>
      </c>
    </row>
    <row r="45" spans="1:7" ht="0.75" hidden="1" customHeight="1">
      <c r="A45" s="16">
        <v>2020400000</v>
      </c>
      <c r="B45" s="17" t="s">
        <v>21</v>
      </c>
      <c r="C45" s="12"/>
      <c r="D45" s="185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5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21.75" customHeight="1">
      <c r="A48" s="7">
        <v>2020400000</v>
      </c>
      <c r="B48" s="8" t="s">
        <v>21</v>
      </c>
      <c r="C48" s="12">
        <v>854.65</v>
      </c>
      <c r="D48" s="10"/>
      <c r="E48" s="9">
        <f t="shared" si="0"/>
        <v>0</v>
      </c>
      <c r="F48" s="9">
        <f t="shared" si="1"/>
        <v>-854.65</v>
      </c>
    </row>
    <row r="49" spans="1:7" s="6" customFormat="1" ht="18.75" customHeight="1">
      <c r="A49" s="7">
        <v>2070500010</v>
      </c>
      <c r="B49" s="8" t="s">
        <v>333</v>
      </c>
      <c r="C49" s="12">
        <v>206.7739</v>
      </c>
      <c r="D49" s="10">
        <v>205.49</v>
      </c>
      <c r="E49" s="9">
        <f>SUM(D49/C49*100)</f>
        <v>99.379080241751979</v>
      </c>
      <c r="F49" s="9">
        <f>SUM(D49-C49)</f>
        <v>-1.2838999999999885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7">
        <f>C39+C40</f>
        <v>14292.375089999998</v>
      </c>
      <c r="D51" s="247">
        <f>SUM(D39,D40,)</f>
        <v>4388.3567999999996</v>
      </c>
      <c r="E51" s="5">
        <f t="shared" si="0"/>
        <v>30.704181581901096</v>
      </c>
      <c r="F51" s="5">
        <f>SUM(D51-C51)</f>
        <v>-9904.0182899999982</v>
      </c>
      <c r="G51" s="197"/>
    </row>
    <row r="52" spans="1:7" s="6" customFormat="1">
      <c r="A52" s="3"/>
      <c r="B52" s="21" t="s">
        <v>306</v>
      </c>
      <c r="C52" s="247">
        <f>C51-C98</f>
        <v>131.80258999999569</v>
      </c>
      <c r="D52" s="247">
        <f>D51-D98</f>
        <v>643.26757999999973</v>
      </c>
      <c r="E52" s="22"/>
      <c r="F52" s="22"/>
    </row>
    <row r="53" spans="1:7">
      <c r="A53" s="23"/>
      <c r="B53" s="24"/>
      <c r="C53" s="183"/>
      <c r="D53" s="183"/>
      <c r="E53" s="26"/>
      <c r="F53" s="92"/>
    </row>
    <row r="54" spans="1:7" ht="60" customHeight="1">
      <c r="A54" s="28" t="s">
        <v>0</v>
      </c>
      <c r="B54" s="28" t="s">
        <v>26</v>
      </c>
      <c r="C54" s="72" t="s">
        <v>405</v>
      </c>
      <c r="D54" s="73" t="s">
        <v>418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1626.8869999999999</v>
      </c>
      <c r="D56" s="180">
        <f>D57+D58+D59+D60+D61+D63+D62</f>
        <v>741.46004000000005</v>
      </c>
      <c r="E56" s="34">
        <f>SUM(D56/C56*100)</f>
        <v>45.575386612592027</v>
      </c>
      <c r="F56" s="34">
        <f>SUM(D56-C56)</f>
        <v>-885.42695999999989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1506.5</v>
      </c>
      <c r="D58" s="37">
        <v>730.46004000000005</v>
      </c>
      <c r="E58" s="38">
        <f t="shared" ref="E58:E98" si="3">SUM(D58/C58*100)</f>
        <v>48.487224692997017</v>
      </c>
      <c r="F58" s="38">
        <f t="shared" ref="F58:F98" si="4">SUM(D58-C58)</f>
        <v>-776.03995999999995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7" ht="18.75" customHeight="1">
      <c r="A63" s="35" t="s">
        <v>41</v>
      </c>
      <c r="B63" s="39" t="s">
        <v>42</v>
      </c>
      <c r="C63" s="37">
        <v>20.387</v>
      </c>
      <c r="D63" s="37">
        <v>11</v>
      </c>
      <c r="E63" s="38">
        <f t="shared" si="3"/>
        <v>53.955952322558488</v>
      </c>
      <c r="F63" s="38">
        <f t="shared" si="4"/>
        <v>-9.3870000000000005</v>
      </c>
    </row>
    <row r="64" spans="1:7" s="6" customFormat="1">
      <c r="A64" s="41" t="s">
        <v>43</v>
      </c>
      <c r="B64" s="42" t="s">
        <v>44</v>
      </c>
      <c r="C64" s="32">
        <f>C65</f>
        <v>206.767</v>
      </c>
      <c r="D64" s="32">
        <f>D65</f>
        <v>59.60913</v>
      </c>
      <c r="E64" s="34">
        <f>SUM(D64/C64*100)</f>
        <v>28.829131341074739</v>
      </c>
      <c r="F64" s="34">
        <f t="shared" si="4"/>
        <v>-147.15787</v>
      </c>
    </row>
    <row r="65" spans="1:7">
      <c r="A65" s="43" t="s">
        <v>45</v>
      </c>
      <c r="B65" s="44" t="s">
        <v>46</v>
      </c>
      <c r="C65" s="37">
        <v>206.767</v>
      </c>
      <c r="D65" s="37">
        <v>59.60913</v>
      </c>
      <c r="E65" s="264">
        <f>SUM(D65/C65*100)</f>
        <v>28.829131341074739</v>
      </c>
      <c r="F65" s="38">
        <f t="shared" si="4"/>
        <v>-147.15787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115</v>
      </c>
      <c r="D66" s="32">
        <f>D69+D70+D71</f>
        <v>76.811480000000003</v>
      </c>
      <c r="E66" s="34">
        <f t="shared" si="3"/>
        <v>66.792591304347823</v>
      </c>
      <c r="F66" s="34">
        <f t="shared" si="4"/>
        <v>-38.188519999999997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2.81148</v>
      </c>
      <c r="E69" s="34">
        <f t="shared" si="3"/>
        <v>93.715999999999994</v>
      </c>
      <c r="F69" s="34">
        <f t="shared" si="4"/>
        <v>-0.18852000000000002</v>
      </c>
    </row>
    <row r="70" spans="1:7" ht="15.75" customHeight="1">
      <c r="A70" s="46" t="s">
        <v>214</v>
      </c>
      <c r="B70" s="47" t="s">
        <v>215</v>
      </c>
      <c r="C70" s="37">
        <v>110</v>
      </c>
      <c r="D70" s="37">
        <v>72</v>
      </c>
      <c r="E70" s="34">
        <f t="shared" si="3"/>
        <v>65.454545454545453</v>
      </c>
      <c r="F70" s="34">
        <f t="shared" si="4"/>
        <v>-38</v>
      </c>
    </row>
    <row r="71" spans="1:7" ht="15.75" customHeight="1">
      <c r="A71" s="46" t="s">
        <v>338</v>
      </c>
      <c r="B71" s="47" t="s">
        <v>393</v>
      </c>
      <c r="C71" s="37">
        <v>2</v>
      </c>
      <c r="D71" s="37">
        <v>2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5189.7880100000002</v>
      </c>
      <c r="D72" s="48">
        <f>SUM(D73:D76)</f>
        <v>1166.5644</v>
      </c>
      <c r="E72" s="34">
        <f t="shared" si="3"/>
        <v>22.478074205578196</v>
      </c>
      <c r="F72" s="34">
        <f t="shared" si="4"/>
        <v>-4023.22361</v>
      </c>
    </row>
    <row r="73" spans="1:7" ht="1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3157.8643099999999</v>
      </c>
      <c r="D75" s="37">
        <v>247.096</v>
      </c>
      <c r="E75" s="38">
        <f t="shared" si="3"/>
        <v>7.8247820597459423</v>
      </c>
      <c r="F75" s="38">
        <f t="shared" si="4"/>
        <v>-2910.7683099999999</v>
      </c>
    </row>
    <row r="76" spans="1:7">
      <c r="A76" s="35" t="s">
        <v>63</v>
      </c>
      <c r="B76" s="39" t="s">
        <v>64</v>
      </c>
      <c r="C76" s="49">
        <v>2031.9237000000001</v>
      </c>
      <c r="D76" s="37">
        <v>919.46839999999997</v>
      </c>
      <c r="E76" s="38">
        <f t="shared" si="3"/>
        <v>45.251128278094299</v>
      </c>
      <c r="F76" s="38">
        <f t="shared" si="4"/>
        <v>-1112.4553000000001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4424.5574900000001</v>
      </c>
      <c r="D77" s="32">
        <f>SUM(D78:D80)</f>
        <v>586.01289999999995</v>
      </c>
      <c r="E77" s="34">
        <f t="shared" si="3"/>
        <v>13.244553863848651</v>
      </c>
      <c r="F77" s="34">
        <f t="shared" si="4"/>
        <v>-3838.5445900000004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330.82229000000001</v>
      </c>
      <c r="D79" s="37">
        <v>267.48527000000001</v>
      </c>
      <c r="E79" s="34">
        <f t="shared" si="3"/>
        <v>80.854669738245263</v>
      </c>
      <c r="F79" s="34">
        <f t="shared" si="4"/>
        <v>-63.337019999999995</v>
      </c>
    </row>
    <row r="80" spans="1:7">
      <c r="A80" s="35" t="s">
        <v>71</v>
      </c>
      <c r="B80" s="39" t="s">
        <v>72</v>
      </c>
      <c r="C80" s="37">
        <v>4093.7352000000001</v>
      </c>
      <c r="D80" s="37">
        <v>318.52762999999999</v>
      </c>
      <c r="E80" s="38">
        <f t="shared" si="3"/>
        <v>7.7808557329257635</v>
      </c>
      <c r="F80" s="38">
        <f t="shared" si="4"/>
        <v>-3775.20757</v>
      </c>
    </row>
    <row r="81" spans="1:6" s="6" customFormat="1">
      <c r="A81" s="30" t="s">
        <v>83</v>
      </c>
      <c r="B81" s="31" t="s">
        <v>84</v>
      </c>
      <c r="C81" s="32">
        <f>C82</f>
        <v>2547.5729999999999</v>
      </c>
      <c r="D81" s="32">
        <f>D82</f>
        <v>1083.54627</v>
      </c>
      <c r="E81" s="34">
        <f>SUM(D81/C81*100)</f>
        <v>42.532491512510148</v>
      </c>
      <c r="F81" s="34">
        <f t="shared" si="4"/>
        <v>-1464.0267299999998</v>
      </c>
    </row>
    <row r="82" spans="1:6" ht="15.75" customHeight="1">
      <c r="A82" s="35" t="s">
        <v>85</v>
      </c>
      <c r="B82" s="39" t="s">
        <v>229</v>
      </c>
      <c r="C82" s="37">
        <v>2547.5729999999999</v>
      </c>
      <c r="D82" s="37">
        <v>1083.54627</v>
      </c>
      <c r="E82" s="38">
        <f>SUM(D82/C82*100)</f>
        <v>42.532491512510148</v>
      </c>
      <c r="F82" s="38">
        <f t="shared" si="4"/>
        <v>-1464.0267299999998</v>
      </c>
    </row>
    <row r="83" spans="1:6" s="6" customFormat="1" ht="1.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92</v>
      </c>
      <c r="B88" s="31" t="s">
        <v>93</v>
      </c>
      <c r="C88" s="32">
        <f>C89+C90+C91+C92+C93</f>
        <v>50</v>
      </c>
      <c r="D88" s="32">
        <f>D89+D90+D91+D92+D93</f>
        <v>31.085000000000001</v>
      </c>
      <c r="E88" s="38">
        <f t="shared" si="3"/>
        <v>62.17</v>
      </c>
      <c r="F88" s="22">
        <f>F89+F90+F91+F92+F93</f>
        <v>-18.914999999999999</v>
      </c>
    </row>
    <row r="89" spans="1:6" ht="18.75" customHeight="1">
      <c r="A89" s="35" t="s">
        <v>94</v>
      </c>
      <c r="B89" s="39" t="s">
        <v>95</v>
      </c>
      <c r="C89" s="37">
        <v>50</v>
      </c>
      <c r="D89" s="37">
        <v>31.085000000000001</v>
      </c>
      <c r="E89" s="38">
        <f t="shared" si="3"/>
        <v>62.17</v>
      </c>
      <c r="F89" s="38">
        <f>SUM(D89-C89)</f>
        <v>-18.914999999999999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116</v>
      </c>
      <c r="C98" s="250">
        <f>C56+C64+C66+C72+C77+C81+C83+C88+C94</f>
        <v>14160.572500000002</v>
      </c>
      <c r="D98" s="250">
        <f>D56+D64+D66+D72+D77+D81+D83+D88+D94</f>
        <v>3745.0892199999998</v>
      </c>
      <c r="E98" s="34">
        <f t="shared" si="3"/>
        <v>26.447300912445449</v>
      </c>
      <c r="F98" s="34">
        <f t="shared" si="4"/>
        <v>-10415.483280000002</v>
      </c>
      <c r="G98" s="197"/>
    </row>
    <row r="99" spans="1:7" ht="0.75" customHeight="1">
      <c r="C99" s="125"/>
      <c r="D99" s="101"/>
    </row>
    <row r="100" spans="1:7" s="65" customFormat="1" ht="16.5" customHeight="1">
      <c r="A100" s="63" t="s">
        <v>117</v>
      </c>
      <c r="B100" s="63"/>
      <c r="C100" s="182"/>
      <c r="D100" s="182"/>
    </row>
    <row r="101" spans="1:7" s="65" customFormat="1" ht="20.25" customHeight="1">
      <c r="A101" s="66" t="s">
        <v>118</v>
      </c>
      <c r="B101" s="66"/>
      <c r="C101" s="65" t="s">
        <v>119</v>
      </c>
    </row>
    <row r="102" spans="1:7" ht="13.5" customHeight="1">
      <c r="C102" s="119"/>
    </row>
    <row r="103" spans="1:7" ht="5.25" customHeight="1"/>
    <row r="143" hidden="1"/>
  </sheetData>
  <customSheetViews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1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2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3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5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7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8"/>
    </customSheetView>
    <customSheetView guid="{61528DAC-5C4C-48F4-ADE2-8A724B05A086}" scale="70" showPageBreaks="1" hiddenRows="1" view="pageBreakPreview" topLeftCell="A28">
      <selection activeCell="D89" sqref="D89"/>
      <pageMargins left="0.70866141732283472" right="0.70866141732283472" top="0.74803149606299213" bottom="0.74803149606299213" header="0.31496062992125984" footer="0.31496062992125984"/>
      <pageSetup paperSize="9" scale="58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40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31" zoomScale="70" zoomScaleSheetLayoutView="70" workbookViewId="0">
      <selection activeCell="D97" sqref="D97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430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1516.44</v>
      </c>
      <c r="D4" s="5">
        <f>D5+D12+D14+D17+D20+D7</f>
        <v>660.09886999999992</v>
      </c>
      <c r="E4" s="5">
        <f>SUM(D4/C4*100)</f>
        <v>43.529507926459331</v>
      </c>
      <c r="F4" s="5">
        <f>SUM(D4-C4)</f>
        <v>-856.34113000000013</v>
      </c>
    </row>
    <row r="5" spans="1:6" s="6" customFormat="1">
      <c r="A5" s="68">
        <v>1010000000</v>
      </c>
      <c r="B5" s="67" t="s">
        <v>5</v>
      </c>
      <c r="C5" s="5">
        <f>C6</f>
        <v>112.95</v>
      </c>
      <c r="D5" s="5">
        <f>D6</f>
        <v>64.729129999999998</v>
      </c>
      <c r="E5" s="5">
        <f t="shared" ref="E5:E51" si="0">SUM(D5/C5*100)</f>
        <v>57.307773351040282</v>
      </c>
      <c r="F5" s="5">
        <f t="shared" ref="F5:F51" si="1">SUM(D5-C5)</f>
        <v>-48.220870000000005</v>
      </c>
    </row>
    <row r="6" spans="1:6">
      <c r="A6" s="7">
        <v>1010200001</v>
      </c>
      <c r="B6" s="8" t="s">
        <v>224</v>
      </c>
      <c r="C6" s="9">
        <v>112.95</v>
      </c>
      <c r="D6" s="10">
        <v>64.729129999999998</v>
      </c>
      <c r="E6" s="9">
        <f t="shared" ref="E6:E11" si="2">SUM(D6/C6*100)</f>
        <v>57.307773351040282</v>
      </c>
      <c r="F6" s="9">
        <f t="shared" si="1"/>
        <v>-48.220870000000005</v>
      </c>
    </row>
    <row r="7" spans="1:6" ht="31.5">
      <c r="A7" s="3">
        <v>1030000000</v>
      </c>
      <c r="B7" s="13" t="s">
        <v>266</v>
      </c>
      <c r="C7" s="5">
        <f>C8+C10+C9</f>
        <v>818.49</v>
      </c>
      <c r="D7" s="5">
        <f>D8+D10+D9+D11</f>
        <v>424.39914999999996</v>
      </c>
      <c r="E7" s="5">
        <f t="shared" si="2"/>
        <v>51.851476499407447</v>
      </c>
      <c r="F7" s="5">
        <f t="shared" si="1"/>
        <v>-394.09085000000005</v>
      </c>
    </row>
    <row r="8" spans="1:6">
      <c r="A8" s="7">
        <v>1030223001</v>
      </c>
      <c r="B8" s="8" t="s">
        <v>268</v>
      </c>
      <c r="C8" s="9">
        <v>305.3</v>
      </c>
      <c r="D8" s="10">
        <v>191.91556</v>
      </c>
      <c r="E8" s="9">
        <f t="shared" si="2"/>
        <v>62.861303635768095</v>
      </c>
      <c r="F8" s="9">
        <f t="shared" si="1"/>
        <v>-113.38444000000001</v>
      </c>
    </row>
    <row r="9" spans="1:6">
      <c r="A9" s="7">
        <v>1030224001</v>
      </c>
      <c r="B9" s="8" t="s">
        <v>274</v>
      </c>
      <c r="C9" s="9">
        <v>3.27</v>
      </c>
      <c r="D9" s="10">
        <v>1.4457</v>
      </c>
      <c r="E9" s="9">
        <f>SUM(D9/C9*100)</f>
        <v>44.211009174311926</v>
      </c>
      <c r="F9" s="9">
        <f t="shared" si="1"/>
        <v>-1.8243</v>
      </c>
    </row>
    <row r="10" spans="1:6">
      <c r="A10" s="7">
        <v>1030225001</v>
      </c>
      <c r="B10" s="8" t="s">
        <v>267</v>
      </c>
      <c r="C10" s="9">
        <v>509.92</v>
      </c>
      <c r="D10" s="10">
        <v>266.86023999999998</v>
      </c>
      <c r="E10" s="9">
        <f t="shared" si="2"/>
        <v>52.333746470034505</v>
      </c>
      <c r="F10" s="9">
        <f t="shared" si="1"/>
        <v>-243.05976000000004</v>
      </c>
    </row>
    <row r="11" spans="1:6">
      <c r="A11" s="7">
        <v>1030226001</v>
      </c>
      <c r="B11" s="8" t="s">
        <v>276</v>
      </c>
      <c r="C11" s="9">
        <v>0</v>
      </c>
      <c r="D11" s="10">
        <v>-35.82235</v>
      </c>
      <c r="E11" s="9" t="e">
        <f t="shared" si="2"/>
        <v>#DIV/0!</v>
      </c>
      <c r="F11" s="9">
        <f t="shared" si="1"/>
        <v>-35.82235</v>
      </c>
    </row>
    <row r="12" spans="1:6" s="6" customFormat="1">
      <c r="A12" s="68">
        <v>1050000000</v>
      </c>
      <c r="B12" s="67" t="s">
        <v>6</v>
      </c>
      <c r="C12" s="5">
        <f>SUM(C13:C13)</f>
        <v>35</v>
      </c>
      <c r="D12" s="5">
        <f>SUM(D13:D13)</f>
        <v>6.2859400000000001</v>
      </c>
      <c r="E12" s="5">
        <f t="shared" si="0"/>
        <v>17.95982857142857</v>
      </c>
      <c r="F12" s="5">
        <f t="shared" si="1"/>
        <v>-28.71406</v>
      </c>
    </row>
    <row r="13" spans="1:6" ht="15.75" customHeight="1">
      <c r="A13" s="7">
        <v>1050300000</v>
      </c>
      <c r="B13" s="11" t="s">
        <v>225</v>
      </c>
      <c r="C13" s="12">
        <v>35</v>
      </c>
      <c r="D13" s="10">
        <v>6.2859400000000001</v>
      </c>
      <c r="E13" s="9">
        <f t="shared" si="0"/>
        <v>17.95982857142857</v>
      </c>
      <c r="F13" s="9">
        <f t="shared" si="1"/>
        <v>-28.71406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542</v>
      </c>
      <c r="D14" s="5">
        <f>D15+D16</f>
        <v>162.78465</v>
      </c>
      <c r="E14" s="5">
        <f t="shared" si="0"/>
        <v>30.034068265682656</v>
      </c>
      <c r="F14" s="5">
        <f t="shared" si="1"/>
        <v>-379.21535</v>
      </c>
    </row>
    <row r="15" spans="1:6" s="6" customFormat="1" ht="15.75" customHeight="1">
      <c r="A15" s="7">
        <v>1060100000</v>
      </c>
      <c r="B15" s="11" t="s">
        <v>8</v>
      </c>
      <c r="C15" s="9">
        <v>160</v>
      </c>
      <c r="D15" s="10">
        <v>87.830870000000004</v>
      </c>
      <c r="E15" s="9">
        <f t="shared" si="0"/>
        <v>54.894293750000003</v>
      </c>
      <c r="F15" s="9">
        <f>SUM(D15-C15)</f>
        <v>-72.169129999999996</v>
      </c>
    </row>
    <row r="16" spans="1:6" ht="15.75" customHeight="1">
      <c r="A16" s="7">
        <v>1060600000</v>
      </c>
      <c r="B16" s="11" t="s">
        <v>7</v>
      </c>
      <c r="C16" s="9">
        <v>382</v>
      </c>
      <c r="D16" s="10">
        <v>74.953779999999995</v>
      </c>
      <c r="E16" s="9">
        <f t="shared" si="0"/>
        <v>19.621408376963352</v>
      </c>
      <c r="F16" s="9">
        <f t="shared" si="1"/>
        <v>-307.04622000000001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1.9</v>
      </c>
      <c r="E17" s="5">
        <f t="shared" si="0"/>
        <v>23.75</v>
      </c>
      <c r="F17" s="5">
        <f t="shared" si="1"/>
        <v>-6.1</v>
      </c>
    </row>
    <row r="18" spans="1:6" ht="17.25" customHeight="1">
      <c r="A18" s="7">
        <v>1080400001</v>
      </c>
      <c r="B18" s="8" t="s">
        <v>223</v>
      </c>
      <c r="C18" s="9">
        <v>8</v>
      </c>
      <c r="D18" s="10">
        <v>1.9</v>
      </c>
      <c r="E18" s="9">
        <f t="shared" si="0"/>
        <v>23.75</v>
      </c>
      <c r="F18" s="9">
        <f t="shared" si="1"/>
        <v>-6.1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334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587</v>
      </c>
      <c r="D25" s="5">
        <f>D26+D29+D32+D37+D35</f>
        <v>466.45327999999995</v>
      </c>
      <c r="E25" s="5">
        <f t="shared" si="0"/>
        <v>79.463931856899478</v>
      </c>
      <c r="F25" s="5">
        <f t="shared" si="1"/>
        <v>-120.54672000000005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527</v>
      </c>
      <c r="D26" s="5">
        <f>D27+D28</f>
        <v>422.95731999999998</v>
      </c>
      <c r="E26" s="5">
        <f t="shared" si="0"/>
        <v>80.2575559772296</v>
      </c>
      <c r="F26" s="5">
        <f t="shared" si="1"/>
        <v>-104.04268000000002</v>
      </c>
    </row>
    <row r="27" spans="1:6">
      <c r="A27" s="16">
        <v>1110502510</v>
      </c>
      <c r="B27" s="17" t="s">
        <v>221</v>
      </c>
      <c r="C27" s="12">
        <v>450</v>
      </c>
      <c r="D27" s="10">
        <v>384.43779999999998</v>
      </c>
      <c r="E27" s="9">
        <f t="shared" si="0"/>
        <v>85.430622222222212</v>
      </c>
      <c r="F27" s="9">
        <f t="shared" si="1"/>
        <v>-65.562200000000018</v>
      </c>
    </row>
    <row r="28" spans="1:6" ht="18" customHeight="1">
      <c r="A28" s="7">
        <v>1110503505</v>
      </c>
      <c r="B28" s="11" t="s">
        <v>220</v>
      </c>
      <c r="C28" s="12">
        <v>77</v>
      </c>
      <c r="D28" s="10">
        <v>38.51952</v>
      </c>
      <c r="E28" s="9">
        <f t="shared" si="0"/>
        <v>50.025350649350656</v>
      </c>
      <c r="F28" s="9">
        <f t="shared" si="1"/>
        <v>-38.48048</v>
      </c>
    </row>
    <row r="29" spans="1:6" s="15" customFormat="1" ht="18" customHeight="1">
      <c r="A29" s="68">
        <v>1130000000</v>
      </c>
      <c r="B29" s="69" t="s">
        <v>128</v>
      </c>
      <c r="C29" s="5">
        <f>C30+C31</f>
        <v>60</v>
      </c>
      <c r="D29" s="5">
        <f>D30+D31</f>
        <v>43.495959999999997</v>
      </c>
      <c r="E29" s="5">
        <f t="shared" si="0"/>
        <v>72.493266666666656</v>
      </c>
      <c r="F29" s="5">
        <f t="shared" si="1"/>
        <v>-16.504040000000003</v>
      </c>
    </row>
    <row r="30" spans="1:6" ht="15.75" customHeight="1">
      <c r="A30" s="7">
        <v>1130206510</v>
      </c>
      <c r="B30" s="8" t="s">
        <v>320</v>
      </c>
      <c r="C30" s="9"/>
      <c r="D30" s="211"/>
      <c r="E30" s="9" t="e">
        <f t="shared" si="0"/>
        <v>#DIV/0!</v>
      </c>
      <c r="F30" s="9">
        <f t="shared" si="1"/>
        <v>0</v>
      </c>
    </row>
    <row r="31" spans="1:6" ht="17.25" customHeight="1">
      <c r="A31" s="7">
        <v>1130299510</v>
      </c>
      <c r="B31" s="8" t="s">
        <v>335</v>
      </c>
      <c r="C31" s="9">
        <v>60</v>
      </c>
      <c r="D31" s="211">
        <v>43.495959999999997</v>
      </c>
      <c r="E31" s="9">
        <f>SUM(D31/C31*100)</f>
        <v>72.493266666666656</v>
      </c>
      <c r="F31" s="9">
        <f>SUM(D31-C31)</f>
        <v>-16.504040000000003</v>
      </c>
    </row>
    <row r="32" spans="1:6" ht="18" hidden="1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hidden="1" customHeight="1">
      <c r="A35" s="3">
        <v>1160000000</v>
      </c>
      <c r="B35" s="13" t="s">
        <v>240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17.25" hidden="1" customHeight="1">
      <c r="A36" s="7">
        <v>1163305010</v>
      </c>
      <c r="B36" s="8" t="s">
        <v>255</v>
      </c>
      <c r="C36" s="9"/>
      <c r="D36" s="10"/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6">
        <f>SUM(C4,C25)</f>
        <v>2103.44</v>
      </c>
      <c r="D40" s="126">
        <f>D4+D25</f>
        <v>1126.55215</v>
      </c>
      <c r="E40" s="5">
        <f t="shared" si="0"/>
        <v>53.557608013539728</v>
      </c>
      <c r="F40" s="5">
        <f t="shared" si="1"/>
        <v>-976.88785000000007</v>
      </c>
    </row>
    <row r="41" spans="1:7" s="6" customFormat="1">
      <c r="A41" s="3">
        <v>2000000000</v>
      </c>
      <c r="B41" s="4" t="s">
        <v>17</v>
      </c>
      <c r="C41" s="231">
        <f>C42+C43+C44+C45+C46+C48</f>
        <v>5607.3674999999994</v>
      </c>
      <c r="D41" s="231">
        <f>D42+D43+D44+D45+D46+D48+D49</f>
        <v>2022.3408400000001</v>
      </c>
      <c r="E41" s="5">
        <f t="shared" si="0"/>
        <v>36.06578024358133</v>
      </c>
      <c r="F41" s="5">
        <f t="shared" si="1"/>
        <v>-3585.0266599999995</v>
      </c>
      <c r="G41" s="19"/>
    </row>
    <row r="42" spans="1:7">
      <c r="A42" s="16">
        <v>2021000000</v>
      </c>
      <c r="B42" s="17" t="s">
        <v>18</v>
      </c>
      <c r="C42" s="99">
        <v>2494.1999999999998</v>
      </c>
      <c r="D42" s="99">
        <v>1247.106</v>
      </c>
      <c r="E42" s="9">
        <f t="shared" si="0"/>
        <v>50.000240558094788</v>
      </c>
      <c r="F42" s="9">
        <f t="shared" si="1"/>
        <v>-1247.0939999999998</v>
      </c>
    </row>
    <row r="43" spans="1:7" ht="15.75" customHeight="1">
      <c r="A43" s="16">
        <v>2021500200</v>
      </c>
      <c r="B43" s="17" t="s">
        <v>227</v>
      </c>
      <c r="C43" s="99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9">
        <v>2598.317</v>
      </c>
      <c r="D44" s="10">
        <v>416.48200000000003</v>
      </c>
      <c r="E44" s="9">
        <f t="shared" si="0"/>
        <v>16.028914100935339</v>
      </c>
      <c r="F44" s="9">
        <f t="shared" si="1"/>
        <v>-2181.835</v>
      </c>
    </row>
    <row r="45" spans="1:7" ht="18" customHeight="1">
      <c r="A45" s="16">
        <v>2023000000</v>
      </c>
      <c r="B45" s="17" t="s">
        <v>20</v>
      </c>
      <c r="C45" s="12">
        <v>110.166</v>
      </c>
      <c r="D45" s="184">
        <v>69.585840000000005</v>
      </c>
      <c r="E45" s="9">
        <f t="shared" si="0"/>
        <v>63.164533522139322</v>
      </c>
      <c r="F45" s="9">
        <f t="shared" si="1"/>
        <v>-40.580159999999992</v>
      </c>
    </row>
    <row r="46" spans="1:7" ht="17.25" customHeight="1">
      <c r="A46" s="16">
        <v>2020400000</v>
      </c>
      <c r="B46" s="17" t="s">
        <v>21</v>
      </c>
      <c r="C46" s="12">
        <v>176.19499999999999</v>
      </c>
      <c r="D46" s="185">
        <v>60.716999999999999</v>
      </c>
      <c r="E46" s="9">
        <f t="shared" si="0"/>
        <v>34.460115213258042</v>
      </c>
      <c r="F46" s="9">
        <f t="shared" si="1"/>
        <v>-115.47799999999999</v>
      </c>
    </row>
    <row r="47" spans="1:7" ht="17.25" customHeight="1">
      <c r="A47" s="16">
        <v>2020900000</v>
      </c>
      <c r="B47" s="18" t="s">
        <v>22</v>
      </c>
      <c r="C47" s="12">
        <v>0</v>
      </c>
      <c r="D47" s="185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333</v>
      </c>
      <c r="C48" s="12">
        <v>228.48949999999999</v>
      </c>
      <c r="D48" s="185">
        <v>228.45</v>
      </c>
      <c r="E48" s="9">
        <f t="shared" si="0"/>
        <v>99.982712553530902</v>
      </c>
      <c r="F48" s="9">
        <f t="shared" si="1"/>
        <v>-3.9500000000003865E-2</v>
      </c>
    </row>
    <row r="49" spans="1:8" ht="19.5" customHeight="1">
      <c r="A49" s="7">
        <v>2190500005</v>
      </c>
      <c r="B49" s="11" t="s">
        <v>23</v>
      </c>
      <c r="C49" s="12">
        <v>0</v>
      </c>
      <c r="D49" s="185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24</v>
      </c>
      <c r="C50" s="188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7">
        <f>C40+C41</f>
        <v>7710.807499999999</v>
      </c>
      <c r="D51" s="247">
        <f>D40+D41</f>
        <v>3148.8929900000003</v>
      </c>
      <c r="E51" s="93">
        <f t="shared" si="0"/>
        <v>40.837395953666338</v>
      </c>
      <c r="F51" s="93">
        <f t="shared" si="1"/>
        <v>-4561.9145099999987</v>
      </c>
      <c r="G51" s="197">
        <f>7662.29943-C51</f>
        <v>-48.508069999998952</v>
      </c>
      <c r="H51" s="197">
        <f>1130.4405-D51</f>
        <v>-2018.4524900000004</v>
      </c>
    </row>
    <row r="52" spans="1:8" s="6" customFormat="1">
      <c r="A52" s="3"/>
      <c r="B52" s="21" t="s">
        <v>306</v>
      </c>
      <c r="C52" s="93">
        <f>C51-C98</f>
        <v>-389.47962000000189</v>
      </c>
      <c r="D52" s="93">
        <f>D51-D98</f>
        <v>1238.1750100000004</v>
      </c>
      <c r="E52" s="192"/>
      <c r="F52" s="192"/>
    </row>
    <row r="53" spans="1:8">
      <c r="A53" s="23"/>
      <c r="B53" s="24"/>
      <c r="C53" s="183"/>
      <c r="D53" s="183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405</v>
      </c>
      <c r="D54" s="73" t="s">
        <v>418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1334.8610000000001</v>
      </c>
      <c r="D56" s="33">
        <f>D57+D58+D59+D60+D61+D63+D62</f>
        <v>566.01556000000005</v>
      </c>
      <c r="E56" s="34">
        <f>SUM(D56/C56*100)</f>
        <v>42.402584239108045</v>
      </c>
      <c r="F56" s="34">
        <f>SUM(D56-C56)</f>
        <v>-768.84544000000005</v>
      </c>
    </row>
    <row r="57" spans="1:8" s="6" customFormat="1" ht="20.2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1205.7</v>
      </c>
      <c r="D58" s="37">
        <v>551.01556000000005</v>
      </c>
      <c r="E58" s="38">
        <f t="shared" ref="E58:E98" si="3">SUM(D58/C58*100)</f>
        <v>45.700884133698267</v>
      </c>
      <c r="F58" s="38">
        <f t="shared" ref="F58:F98" si="4">SUM(D58-C58)</f>
        <v>-654.68444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37">
        <v>8.9</v>
      </c>
      <c r="D61" s="37">
        <v>0</v>
      </c>
      <c r="E61" s="38">
        <f t="shared" si="3"/>
        <v>0</v>
      </c>
      <c r="F61" s="38">
        <f t="shared" si="4"/>
        <v>-8.9</v>
      </c>
    </row>
    <row r="62" spans="1:8" ht="18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8" ht="15.75" customHeight="1">
      <c r="A63" s="35" t="s">
        <v>41</v>
      </c>
      <c r="B63" s="39" t="s">
        <v>42</v>
      </c>
      <c r="C63" s="37">
        <v>20.260999999999999</v>
      </c>
      <c r="D63" s="37">
        <v>15</v>
      </c>
      <c r="E63" s="38">
        <f t="shared" si="3"/>
        <v>74.033858151127788</v>
      </c>
      <c r="F63" s="38">
        <f t="shared" si="4"/>
        <v>-5.2609999999999992</v>
      </c>
    </row>
    <row r="64" spans="1:8" s="6" customFormat="1">
      <c r="A64" s="41" t="s">
        <v>43</v>
      </c>
      <c r="B64" s="42" t="s">
        <v>44</v>
      </c>
      <c r="C64" s="32">
        <f>C65</f>
        <v>110.166</v>
      </c>
      <c r="D64" s="32">
        <f>D65</f>
        <v>61.748109999999997</v>
      </c>
      <c r="E64" s="34">
        <f t="shared" si="3"/>
        <v>56.050060817312051</v>
      </c>
      <c r="F64" s="34">
        <f t="shared" si="4"/>
        <v>-48.41789</v>
      </c>
    </row>
    <row r="65" spans="1:7">
      <c r="A65" s="43" t="s">
        <v>45</v>
      </c>
      <c r="B65" s="44" t="s">
        <v>46</v>
      </c>
      <c r="C65" s="37">
        <v>110.166</v>
      </c>
      <c r="D65" s="37">
        <v>61.748109999999997</v>
      </c>
      <c r="E65" s="38">
        <f t="shared" si="3"/>
        <v>56.050060817312051</v>
      </c>
      <c r="F65" s="38">
        <f t="shared" si="4"/>
        <v>-48.41789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25.6</v>
      </c>
      <c r="D66" s="32">
        <f>D69+D70</f>
        <v>13.56148</v>
      </c>
      <c r="E66" s="34">
        <f t="shared" si="3"/>
        <v>52.974531249999991</v>
      </c>
      <c r="F66" s="34">
        <f t="shared" si="4"/>
        <v>-12.038520000000002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4</v>
      </c>
      <c r="D69" s="37">
        <v>2.81148</v>
      </c>
      <c r="E69" s="34">
        <f t="shared" si="3"/>
        <v>70.287000000000006</v>
      </c>
      <c r="F69" s="34">
        <f t="shared" si="4"/>
        <v>-1.18852</v>
      </c>
    </row>
    <row r="70" spans="1:7" ht="15.75" customHeight="1">
      <c r="A70" s="46" t="s">
        <v>214</v>
      </c>
      <c r="B70" s="47" t="s">
        <v>215</v>
      </c>
      <c r="C70" s="37">
        <v>19.600000000000001</v>
      </c>
      <c r="D70" s="37">
        <v>10.75</v>
      </c>
      <c r="E70" s="34">
        <f t="shared" si="3"/>
        <v>54.846938775510203</v>
      </c>
      <c r="F70" s="34">
        <f t="shared" si="4"/>
        <v>-8.8500000000000014</v>
      </c>
    </row>
    <row r="71" spans="1:7" ht="15.75" customHeight="1">
      <c r="A71" s="46" t="s">
        <v>338</v>
      </c>
      <c r="B71" s="47" t="s">
        <v>393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4387.0414000000001</v>
      </c>
      <c r="D72" s="48">
        <f>SUM(D73:D77)</f>
        <v>525.226</v>
      </c>
      <c r="E72" s="34">
        <f t="shared" si="3"/>
        <v>11.972214349287883</v>
      </c>
      <c r="F72" s="34">
        <f t="shared" si="4"/>
        <v>-3861.8154</v>
      </c>
    </row>
    <row r="73" spans="1:7" ht="1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7.2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4157.0414000000001</v>
      </c>
      <c r="D76" s="37">
        <v>502.726</v>
      </c>
      <c r="E76" s="38">
        <f t="shared" si="3"/>
        <v>12.093360436583577</v>
      </c>
      <c r="F76" s="38">
        <f t="shared" si="4"/>
        <v>-3654.3154</v>
      </c>
    </row>
    <row r="77" spans="1:7">
      <c r="A77" s="35" t="s">
        <v>63</v>
      </c>
      <c r="B77" s="39" t="s">
        <v>64</v>
      </c>
      <c r="C77" s="49">
        <v>230</v>
      </c>
      <c r="D77" s="37">
        <v>22.5</v>
      </c>
      <c r="E77" s="38">
        <f t="shared" si="3"/>
        <v>9.7826086956521738</v>
      </c>
      <c r="F77" s="38">
        <f t="shared" si="4"/>
        <v>-207.5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894.51872000000003</v>
      </c>
      <c r="D78" s="32">
        <f>SUM(D79:D81)</f>
        <v>278.04183</v>
      </c>
      <c r="E78" s="34">
        <f t="shared" si="3"/>
        <v>31.082840837584708</v>
      </c>
      <c r="F78" s="34">
        <f t="shared" si="4"/>
        <v>-616.47689000000003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.75" customHeight="1">
      <c r="A80" s="35" t="s">
        <v>69</v>
      </c>
      <c r="B80" s="51" t="s">
        <v>70</v>
      </c>
      <c r="C80" s="37">
        <v>422.99171999999999</v>
      </c>
      <c r="D80" s="37">
        <v>66.810720000000003</v>
      </c>
      <c r="E80" s="38">
        <f t="shared" si="3"/>
        <v>15.794805628819402</v>
      </c>
      <c r="F80" s="38">
        <f t="shared" si="4"/>
        <v>-356.18099999999998</v>
      </c>
    </row>
    <row r="81" spans="1:6">
      <c r="A81" s="35" t="s">
        <v>71</v>
      </c>
      <c r="B81" s="39" t="s">
        <v>72</v>
      </c>
      <c r="C81" s="37">
        <v>471.52699999999999</v>
      </c>
      <c r="D81" s="37">
        <v>211.23111</v>
      </c>
      <c r="E81" s="38">
        <f t="shared" si="3"/>
        <v>44.797245968947699</v>
      </c>
      <c r="F81" s="38">
        <f t="shared" si="4"/>
        <v>-260.29588999999999</v>
      </c>
    </row>
    <row r="82" spans="1:6" s="6" customFormat="1" ht="32.25" customHeight="1">
      <c r="A82" s="30" t="s">
        <v>83</v>
      </c>
      <c r="B82" s="31" t="s">
        <v>84</v>
      </c>
      <c r="C82" s="32">
        <f>C83</f>
        <v>1328.1</v>
      </c>
      <c r="D82" s="32">
        <f>D83</f>
        <v>466.125</v>
      </c>
      <c r="E82" s="34">
        <f t="shared" si="3"/>
        <v>35.097131240117463</v>
      </c>
      <c r="F82" s="34">
        <f t="shared" si="4"/>
        <v>-861.97499999999991</v>
      </c>
    </row>
    <row r="83" spans="1:6" ht="14.25" customHeight="1">
      <c r="A83" s="35" t="s">
        <v>85</v>
      </c>
      <c r="B83" s="39" t="s">
        <v>229</v>
      </c>
      <c r="C83" s="37">
        <v>1328.1</v>
      </c>
      <c r="D83" s="37">
        <v>466.125</v>
      </c>
      <c r="E83" s="38">
        <f t="shared" si="3"/>
        <v>35.097131240117463</v>
      </c>
      <c r="F83" s="38">
        <f t="shared" si="4"/>
        <v>-861.97499999999991</v>
      </c>
    </row>
    <row r="84" spans="1:6" s="6" customFormat="1" ht="18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.5" hidden="1" customHeight="1">
      <c r="A85" s="53">
        <v>1001</v>
      </c>
      <c r="B85" s="54" t="s">
        <v>87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94</v>
      </c>
      <c r="B89" s="39" t="s">
        <v>95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112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92</v>
      </c>
      <c r="B96" s="31" t="s">
        <v>93</v>
      </c>
      <c r="C96" s="48">
        <f>C97</f>
        <v>20</v>
      </c>
      <c r="D96" s="32">
        <f>D97</f>
        <v>0</v>
      </c>
      <c r="E96" s="34">
        <f t="shared" si="3"/>
        <v>0</v>
      </c>
      <c r="F96" s="34">
        <f t="shared" si="4"/>
        <v>-20</v>
      </c>
    </row>
    <row r="97" spans="1:8" ht="18" customHeight="1">
      <c r="A97" s="35" t="s">
        <v>94</v>
      </c>
      <c r="B97" s="39" t="s">
        <v>95</v>
      </c>
      <c r="C97" s="49">
        <v>20</v>
      </c>
      <c r="D97" s="37">
        <v>0</v>
      </c>
      <c r="E97" s="38">
        <f t="shared" si="3"/>
        <v>0</v>
      </c>
      <c r="F97" s="38">
        <f t="shared" si="4"/>
        <v>-20</v>
      </c>
    </row>
    <row r="98" spans="1:8" s="6" customFormat="1">
      <c r="A98" s="52"/>
      <c r="B98" s="57" t="s">
        <v>116</v>
      </c>
      <c r="C98" s="250">
        <f>C56+C64+C66+C72+C78+C82+C96+C84</f>
        <v>8100.2871200000009</v>
      </c>
      <c r="D98" s="250">
        <f>D56+D64+D66+D72+D78+D82+D96+D84</f>
        <v>1910.7179799999999</v>
      </c>
      <c r="E98" s="34">
        <f t="shared" si="3"/>
        <v>23.588274732661571</v>
      </c>
      <c r="F98" s="34">
        <f t="shared" si="4"/>
        <v>-6189.5691400000014</v>
      </c>
      <c r="G98" s="197">
        <f>8096.52307-C98</f>
        <v>-3.7640500000006796</v>
      </c>
      <c r="H98" s="197">
        <f>899.25122-D98</f>
        <v>-1011.4667599999999</v>
      </c>
    </row>
    <row r="99" spans="1:8" ht="16.5" customHeight="1">
      <c r="C99" s="125"/>
      <c r="D99" s="101"/>
    </row>
    <row r="100" spans="1:8" s="65" customFormat="1" ht="20.25" customHeight="1">
      <c r="A100" s="63" t="s">
        <v>117</v>
      </c>
      <c r="B100" s="63"/>
      <c r="C100" s="115"/>
      <c r="D100" s="64" t="s">
        <v>260</v>
      </c>
    </row>
    <row r="101" spans="1:8" s="65" customFormat="1" ht="13.5" customHeight="1">
      <c r="A101" s="66" t="s">
        <v>118</v>
      </c>
      <c r="B101" s="66"/>
      <c r="C101" s="65" t="s">
        <v>119</v>
      </c>
    </row>
    <row r="103" spans="1:8" ht="5.25" customHeight="1"/>
    <row r="142" hidden="1"/>
  </sheetData>
  <customSheetViews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1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2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3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7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8"/>
    </customSheetView>
    <customSheetView guid="{61528DAC-5C4C-48F4-ADE2-8A724B05A086}" scale="70" showPageBreaks="1" printArea="1" hiddenRows="1" view="pageBreakPreview" topLeftCell="A35">
      <selection activeCell="C97" sqref="C97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41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4"/>
  <sheetViews>
    <sheetView view="pageBreakPreview" topLeftCell="A12" zoomScale="70" zoomScaleSheetLayoutView="70" workbookViewId="0">
      <selection activeCell="D80" sqref="D80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431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1066.3600000000001</v>
      </c>
      <c r="D4" s="5">
        <f>D5+D12+D14+D17+D7</f>
        <v>316.84361000000001</v>
      </c>
      <c r="E4" s="5">
        <f>SUM(D4/C4*100)</f>
        <v>29.712630818860418</v>
      </c>
      <c r="F4" s="5">
        <f>SUM(D4-C4)</f>
        <v>-749.51639000000011</v>
      </c>
    </row>
    <row r="5" spans="1:6" s="6" customFormat="1">
      <c r="A5" s="68">
        <v>1010000000</v>
      </c>
      <c r="B5" s="67" t="s">
        <v>5</v>
      </c>
      <c r="C5" s="5">
        <f>C6</f>
        <v>55.5</v>
      </c>
      <c r="D5" s="5">
        <f>D6</f>
        <v>60.614229999999999</v>
      </c>
      <c r="E5" s="5">
        <f t="shared" ref="E5:E51" si="0">SUM(D5/C5*100)</f>
        <v>109.21482882882883</v>
      </c>
      <c r="F5" s="5">
        <f t="shared" ref="F5:F51" si="1">SUM(D5-C5)</f>
        <v>5.1142299999999992</v>
      </c>
    </row>
    <row r="6" spans="1:6">
      <c r="A6" s="7">
        <v>1010200001</v>
      </c>
      <c r="B6" s="8" t="s">
        <v>224</v>
      </c>
      <c r="C6" s="9">
        <v>55.5</v>
      </c>
      <c r="D6" s="10">
        <v>60.614229999999999</v>
      </c>
      <c r="E6" s="9">
        <f t="shared" ref="E6:E11" si="2">SUM(D6/C6*100)</f>
        <v>109.21482882882883</v>
      </c>
      <c r="F6" s="9">
        <f t="shared" si="1"/>
        <v>5.1142299999999992</v>
      </c>
    </row>
    <row r="7" spans="1:6" ht="31.5">
      <c r="A7" s="3">
        <v>1030000000</v>
      </c>
      <c r="B7" s="13" t="s">
        <v>266</v>
      </c>
      <c r="C7" s="5">
        <f>C8+C10+C9</f>
        <v>375.86</v>
      </c>
      <c r="D7" s="5">
        <f>D8+D10+D9+D11</f>
        <v>194.89024000000001</v>
      </c>
      <c r="E7" s="5">
        <f t="shared" si="2"/>
        <v>51.851817165966054</v>
      </c>
      <c r="F7" s="5">
        <f t="shared" si="1"/>
        <v>-180.96976000000001</v>
      </c>
    </row>
    <row r="8" spans="1:6">
      <c r="A8" s="7">
        <v>1030223001</v>
      </c>
      <c r="B8" s="8" t="s">
        <v>268</v>
      </c>
      <c r="C8" s="9">
        <v>140.19999999999999</v>
      </c>
      <c r="D8" s="10">
        <v>88.130409999999998</v>
      </c>
      <c r="E8" s="9">
        <f t="shared" si="2"/>
        <v>62.860492154065625</v>
      </c>
      <c r="F8" s="9">
        <f t="shared" si="1"/>
        <v>-52.069589999999991</v>
      </c>
    </row>
    <row r="9" spans="1:6">
      <c r="A9" s="7">
        <v>1030224001</v>
      </c>
      <c r="B9" s="8" t="s">
        <v>274</v>
      </c>
      <c r="C9" s="9">
        <v>1.5</v>
      </c>
      <c r="D9" s="10">
        <v>0.66388000000000003</v>
      </c>
      <c r="E9" s="9">
        <f t="shared" si="2"/>
        <v>44.25866666666667</v>
      </c>
      <c r="F9" s="9">
        <f t="shared" si="1"/>
        <v>-0.83611999999999997</v>
      </c>
    </row>
    <row r="10" spans="1:6">
      <c r="A10" s="7">
        <v>1030225001</v>
      </c>
      <c r="B10" s="8" t="s">
        <v>267</v>
      </c>
      <c r="C10" s="9">
        <v>234.16</v>
      </c>
      <c r="D10" s="10">
        <v>122.5461</v>
      </c>
      <c r="E10" s="9">
        <f t="shared" si="2"/>
        <v>52.334344038264433</v>
      </c>
      <c r="F10" s="9">
        <f t="shared" si="1"/>
        <v>-111.6139</v>
      </c>
    </row>
    <row r="11" spans="1:6">
      <c r="A11" s="7">
        <v>1030226001</v>
      </c>
      <c r="B11" s="8" t="s">
        <v>276</v>
      </c>
      <c r="C11" s="9">
        <v>0</v>
      </c>
      <c r="D11" s="10">
        <v>-16.450150000000001</v>
      </c>
      <c r="E11" s="9" t="e">
        <f t="shared" si="2"/>
        <v>#DIV/0!</v>
      </c>
      <c r="F11" s="9">
        <f t="shared" si="1"/>
        <v>-16.450150000000001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9.1700700000000008</v>
      </c>
      <c r="E12" s="5">
        <f t="shared" si="0"/>
        <v>91.700700000000012</v>
      </c>
      <c r="F12" s="5">
        <f t="shared" si="1"/>
        <v>-0.82992999999999917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9.1700700000000008</v>
      </c>
      <c r="E13" s="9">
        <f t="shared" si="0"/>
        <v>91.700700000000012</v>
      </c>
      <c r="F13" s="9">
        <f t="shared" si="1"/>
        <v>-0.82992999999999917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620</v>
      </c>
      <c r="D14" s="5">
        <f>D15+D16</f>
        <v>51.169070000000005</v>
      </c>
      <c r="E14" s="5">
        <f t="shared" si="0"/>
        <v>8.2530758064516139</v>
      </c>
      <c r="F14" s="5">
        <f t="shared" si="1"/>
        <v>-568.83092999999997</v>
      </c>
    </row>
    <row r="15" spans="1:6" s="6" customFormat="1" ht="15.75" customHeight="1">
      <c r="A15" s="7">
        <v>1060100000</v>
      </c>
      <c r="B15" s="11" t="s">
        <v>8</v>
      </c>
      <c r="C15" s="9">
        <v>230</v>
      </c>
      <c r="D15" s="10">
        <v>19.40681</v>
      </c>
      <c r="E15" s="9">
        <f t="shared" si="0"/>
        <v>8.4377434782608702</v>
      </c>
      <c r="F15" s="9">
        <f>SUM(D15-C15)</f>
        <v>-210.59318999999999</v>
      </c>
    </row>
    <row r="16" spans="1:6" ht="15.75" customHeight="1">
      <c r="A16" s="7">
        <v>1060600000</v>
      </c>
      <c r="B16" s="11" t="s">
        <v>7</v>
      </c>
      <c r="C16" s="9">
        <v>390</v>
      </c>
      <c r="D16" s="10">
        <v>31.762260000000001</v>
      </c>
      <c r="E16" s="9">
        <f t="shared" si="0"/>
        <v>8.144169230769231</v>
      </c>
      <c r="F16" s="9">
        <f t="shared" si="1"/>
        <v>-358.23773999999997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</v>
      </c>
      <c r="E17" s="5">
        <f t="shared" si="0"/>
        <v>20</v>
      </c>
      <c r="F17" s="5">
        <f t="shared" si="1"/>
        <v>-4</v>
      </c>
    </row>
    <row r="18" spans="1:6" ht="18" customHeight="1">
      <c r="A18" s="7">
        <v>1080400001</v>
      </c>
      <c r="B18" s="8" t="s">
        <v>223</v>
      </c>
      <c r="C18" s="9">
        <v>5</v>
      </c>
      <c r="D18" s="10">
        <v>1</v>
      </c>
      <c r="E18" s="9">
        <f t="shared" si="0"/>
        <v>20</v>
      </c>
      <c r="F18" s="9">
        <f t="shared" si="1"/>
        <v>-4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51.5</v>
      </c>
      <c r="D25" s="5">
        <f>D27+D29+D36+D34</f>
        <v>41.5976</v>
      </c>
      <c r="E25" s="5">
        <f t="shared" si="0"/>
        <v>80.772038834951459</v>
      </c>
      <c r="F25" s="5">
        <f t="shared" si="1"/>
        <v>-9.9024000000000001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51.5</v>
      </c>
      <c r="D26" s="5">
        <f>D27</f>
        <v>40.8476</v>
      </c>
      <c r="E26" s="5">
        <f t="shared" si="0"/>
        <v>79.315728155339798</v>
      </c>
      <c r="F26" s="5">
        <f t="shared" si="1"/>
        <v>-10.6524</v>
      </c>
    </row>
    <row r="27" spans="1:6" ht="39.75" customHeight="1">
      <c r="A27" s="16">
        <v>1110502510</v>
      </c>
      <c r="B27" s="17" t="s">
        <v>221</v>
      </c>
      <c r="C27" s="12">
        <v>51.5</v>
      </c>
      <c r="D27" s="10">
        <v>40.8476</v>
      </c>
      <c r="E27" s="9">
        <f t="shared" si="0"/>
        <v>79.315728155339798</v>
      </c>
      <c r="F27" s="9">
        <f t="shared" si="1"/>
        <v>-10.6524</v>
      </c>
    </row>
    <row r="28" spans="1:6" ht="0.75" hidden="1" customHeight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0.2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1.75" customHeight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9.5" customHeight="1">
      <c r="A31" s="70">
        <v>1140000000</v>
      </c>
      <c r="B31" s="71" t="s">
        <v>129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0.25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20.2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s="6" customFormat="1" ht="20.25" customHeight="1">
      <c r="A34" s="3">
        <v>1160000000</v>
      </c>
      <c r="B34" s="13" t="s">
        <v>432</v>
      </c>
      <c r="C34" s="5"/>
      <c r="D34" s="14">
        <f>SUM(D35)</f>
        <v>0.05</v>
      </c>
      <c r="E34" s="5"/>
      <c r="F34" s="5"/>
    </row>
    <row r="35" spans="1:7" ht="20.25" customHeight="1">
      <c r="A35" s="7">
        <v>1160701010</v>
      </c>
      <c r="B35" s="8" t="s">
        <v>433</v>
      </c>
      <c r="C35" s="9"/>
      <c r="D35" s="10">
        <v>0.05</v>
      </c>
      <c r="E35" s="9"/>
      <c r="F35" s="9"/>
    </row>
    <row r="36" spans="1:7" ht="18" customHeight="1">
      <c r="A36" s="3">
        <v>1170000000</v>
      </c>
      <c r="B36" s="13" t="s">
        <v>132</v>
      </c>
      <c r="C36" s="5">
        <f>C37+C38</f>
        <v>0</v>
      </c>
      <c r="D36" s="5">
        <f>D37+D38</f>
        <v>0.7</v>
      </c>
      <c r="E36" s="5" t="e">
        <f t="shared" si="0"/>
        <v>#DIV/0!</v>
      </c>
      <c r="F36" s="5">
        <f t="shared" si="1"/>
        <v>0.7</v>
      </c>
    </row>
    <row r="37" spans="1:7" ht="19.5" customHeight="1">
      <c r="A37" s="7">
        <v>1170105005</v>
      </c>
      <c r="B37" s="8" t="s">
        <v>15</v>
      </c>
      <c r="C37" s="9">
        <v>0</v>
      </c>
      <c r="D37" s="9">
        <v>0.7</v>
      </c>
      <c r="E37" s="9" t="e">
        <f t="shared" si="0"/>
        <v>#DIV/0!</v>
      </c>
      <c r="F37" s="9">
        <f t="shared" si="1"/>
        <v>0.7</v>
      </c>
    </row>
    <row r="38" spans="1:7" ht="21.7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8.75" customHeight="1">
      <c r="A39" s="3">
        <v>1000000000</v>
      </c>
      <c r="B39" s="4" t="s">
        <v>16</v>
      </c>
      <c r="C39" s="126">
        <f>SUM(C4,C25)</f>
        <v>1117.8600000000001</v>
      </c>
      <c r="D39" s="126">
        <f>D4+D25</f>
        <v>358.44121000000001</v>
      </c>
      <c r="E39" s="5">
        <f t="shared" si="0"/>
        <v>32.06494641547242</v>
      </c>
      <c r="F39" s="5">
        <f t="shared" si="1"/>
        <v>-759.41879000000017</v>
      </c>
    </row>
    <row r="40" spans="1:7" s="6" customFormat="1">
      <c r="A40" s="3">
        <v>2000000000</v>
      </c>
      <c r="B40" s="4" t="s">
        <v>17</v>
      </c>
      <c r="C40" s="5">
        <f>C41+C43+C44+C45+C46+C47</f>
        <v>4635.9589999999998</v>
      </c>
      <c r="D40" s="231">
        <f>D41+D43+D44+D45+D47+D46</f>
        <v>1812.29045</v>
      </c>
      <c r="E40" s="5">
        <f t="shared" si="0"/>
        <v>39.092029286712851</v>
      </c>
      <c r="F40" s="5">
        <f t="shared" si="1"/>
        <v>-2823.6685499999999</v>
      </c>
      <c r="G40" s="19"/>
    </row>
    <row r="41" spans="1:7" ht="14.25" customHeight="1">
      <c r="A41" s="16">
        <v>2021000000</v>
      </c>
      <c r="B41" s="17" t="s">
        <v>18</v>
      </c>
      <c r="C41" s="99">
        <v>2155.1</v>
      </c>
      <c r="D41" s="99">
        <v>1077.558</v>
      </c>
      <c r="E41" s="9">
        <f t="shared" si="0"/>
        <v>50.000371212472736</v>
      </c>
      <c r="F41" s="9">
        <f t="shared" si="1"/>
        <v>-1077.5419999999999</v>
      </c>
    </row>
    <row r="42" spans="1:7" ht="15.75" hidden="1" customHeight="1">
      <c r="A42" s="16">
        <v>2020100310</v>
      </c>
      <c r="B42" s="17" t="s">
        <v>227</v>
      </c>
      <c r="C42" s="99"/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2021500200</v>
      </c>
      <c r="B43" s="17" t="s">
        <v>227</v>
      </c>
      <c r="C43" s="99"/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99">
        <v>2029.7380000000001</v>
      </c>
      <c r="D44" s="10">
        <v>175.75800000000001</v>
      </c>
      <c r="E44" s="9">
        <f t="shared" si="0"/>
        <v>8.6591471411581207</v>
      </c>
      <c r="F44" s="9">
        <f t="shared" si="1"/>
        <v>-1853.98</v>
      </c>
    </row>
    <row r="45" spans="1:7" ht="17.25" customHeight="1">
      <c r="A45" s="16">
        <v>2023000000</v>
      </c>
      <c r="B45" s="17" t="s">
        <v>20</v>
      </c>
      <c r="C45" s="12">
        <v>103.383</v>
      </c>
      <c r="D45" s="184">
        <v>51.764000000000003</v>
      </c>
      <c r="E45" s="9">
        <f t="shared" si="0"/>
        <v>50.07012758383874</v>
      </c>
      <c r="F45" s="9">
        <f t="shared" si="1"/>
        <v>-51.618999999999993</v>
      </c>
    </row>
    <row r="46" spans="1:7" ht="14.25" customHeight="1">
      <c r="A46" s="16">
        <v>2020400000</v>
      </c>
      <c r="B46" s="17" t="s">
        <v>21</v>
      </c>
      <c r="C46" s="12">
        <v>98.238</v>
      </c>
      <c r="D46" s="185"/>
      <c r="E46" s="9">
        <f t="shared" si="0"/>
        <v>0</v>
      </c>
      <c r="F46" s="9">
        <f t="shared" si="1"/>
        <v>-98.238</v>
      </c>
    </row>
    <row r="47" spans="1:7" ht="14.25" customHeight="1">
      <c r="A47" s="16">
        <v>2070500010</v>
      </c>
      <c r="B47" s="8" t="s">
        <v>333</v>
      </c>
      <c r="C47" s="12">
        <v>249.5</v>
      </c>
      <c r="D47" s="185">
        <v>507.21044999999998</v>
      </c>
      <c r="E47" s="9">
        <f t="shared" si="0"/>
        <v>203.29076152304611</v>
      </c>
      <c r="F47" s="9">
        <f t="shared" si="1"/>
        <v>257.71044999999998</v>
      </c>
    </row>
    <row r="48" spans="1:7" ht="14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16.5" hidden="1" customHeight="1">
      <c r="A49" s="3">
        <v>3000000000</v>
      </c>
      <c r="B49" s="13" t="s">
        <v>24</v>
      </c>
      <c r="C49" s="18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21" hidden="1" customHeight="1">
      <c r="A50" s="3">
        <v>2190500010</v>
      </c>
      <c r="B50" s="13" t="s">
        <v>310</v>
      </c>
      <c r="C50" s="188">
        <v>0</v>
      </c>
      <c r="D50" s="14">
        <v>0</v>
      </c>
      <c r="E50" s="5"/>
      <c r="F50" s="5"/>
    </row>
    <row r="51" spans="1:8" s="6" customFormat="1" ht="16.5" customHeight="1">
      <c r="A51" s="3"/>
      <c r="B51" s="4" t="s">
        <v>25</v>
      </c>
      <c r="C51" s="251">
        <f>C39+C40</f>
        <v>5753.8189999999995</v>
      </c>
      <c r="D51" s="251">
        <f>D39+D40</f>
        <v>2170.7316599999999</v>
      </c>
      <c r="E51" s="5">
        <f t="shared" si="0"/>
        <v>37.726797801599254</v>
      </c>
      <c r="F51" s="5">
        <f t="shared" si="1"/>
        <v>-3583.0873399999996</v>
      </c>
      <c r="G51" s="197"/>
      <c r="H51" s="246"/>
    </row>
    <row r="52" spans="1:8" s="6" customFormat="1" ht="15.75" customHeight="1">
      <c r="A52" s="3"/>
      <c r="B52" s="21" t="s">
        <v>306</v>
      </c>
      <c r="C52" s="191">
        <f>C51-C98</f>
        <v>-252.30891000000065</v>
      </c>
      <c r="D52" s="191">
        <f>D51-D98</f>
        <v>801.20566999999983</v>
      </c>
      <c r="E52" s="22"/>
      <c r="F52" s="22"/>
    </row>
    <row r="53" spans="1:8">
      <c r="A53" s="23"/>
      <c r="B53" s="24"/>
      <c r="C53" s="114"/>
      <c r="D53" s="25"/>
      <c r="E53" s="26"/>
      <c r="F53" s="27"/>
    </row>
    <row r="54" spans="1:8" ht="32.25" customHeight="1">
      <c r="A54" s="28" t="s">
        <v>0</v>
      </c>
      <c r="B54" s="28" t="s">
        <v>26</v>
      </c>
      <c r="C54" s="72" t="s">
        <v>405</v>
      </c>
      <c r="D54" s="73" t="s">
        <v>418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6.5" customHeight="1">
      <c r="A56" s="30" t="s">
        <v>27</v>
      </c>
      <c r="B56" s="31" t="s">
        <v>28</v>
      </c>
      <c r="C56" s="32">
        <f>C57+C58+C59+C60+C61+C63+C62</f>
        <v>1220.1310000000001</v>
      </c>
      <c r="D56" s="33">
        <f>D58+D63</f>
        <v>586.84742000000006</v>
      </c>
      <c r="E56" s="34">
        <f>SUM(D56/C56*100)</f>
        <v>48.097083018134938</v>
      </c>
      <c r="F56" s="34">
        <f>SUM(D56-C56)</f>
        <v>-633.28358000000003</v>
      </c>
    </row>
    <row r="57" spans="1:8" s="6" customFormat="1" ht="17.2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19.5" customHeight="1">
      <c r="A58" s="35" t="s">
        <v>31</v>
      </c>
      <c r="B58" s="39" t="s">
        <v>32</v>
      </c>
      <c r="C58" s="37">
        <v>1165</v>
      </c>
      <c r="D58" s="37">
        <v>581.84742000000006</v>
      </c>
      <c r="E58" s="38">
        <f>SUM(D58/C58*100)</f>
        <v>49.94398454935623</v>
      </c>
      <c r="F58" s="38">
        <f t="shared" ref="F58:F98" si="3">SUM(D58-C58)</f>
        <v>-583.15257999999994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3"/>
        <v>0</v>
      </c>
    </row>
    <row r="60" spans="1:8" ht="17.25" hidden="1" customHeight="1">
      <c r="A60" s="35" t="s">
        <v>35</v>
      </c>
      <c r="B60" s="39" t="s">
        <v>36</v>
      </c>
      <c r="C60" s="37"/>
      <c r="D60" s="37"/>
      <c r="E60" s="38" t="e">
        <f t="shared" ref="E60:E98" si="4">SUM(D60/C60*100)</f>
        <v>#DIV/0!</v>
      </c>
      <c r="F60" s="38">
        <f t="shared" si="3"/>
        <v>0</v>
      </c>
    </row>
    <row r="61" spans="1:8" ht="17.25" hidden="1" customHeight="1">
      <c r="A61" s="35" t="s">
        <v>37</v>
      </c>
      <c r="B61" s="39" t="s">
        <v>38</v>
      </c>
      <c r="C61" s="37"/>
      <c r="D61" s="37">
        <v>0</v>
      </c>
      <c r="E61" s="38" t="e">
        <f t="shared" si="4"/>
        <v>#DIV/0!</v>
      </c>
      <c r="F61" s="38">
        <f t="shared" si="3"/>
        <v>0</v>
      </c>
    </row>
    <row r="62" spans="1:8" ht="15.75" customHeight="1">
      <c r="A62" s="35" t="s">
        <v>39</v>
      </c>
      <c r="B62" s="39" t="s">
        <v>40</v>
      </c>
      <c r="C62" s="40">
        <v>48.5</v>
      </c>
      <c r="D62" s="40">
        <v>0</v>
      </c>
      <c r="E62" s="38">
        <f t="shared" si="4"/>
        <v>0</v>
      </c>
      <c r="F62" s="38">
        <f t="shared" si="3"/>
        <v>-48.5</v>
      </c>
    </row>
    <row r="63" spans="1:8" ht="17.25" customHeight="1">
      <c r="A63" s="35" t="s">
        <v>41</v>
      </c>
      <c r="B63" s="39" t="s">
        <v>42</v>
      </c>
      <c r="C63" s="37">
        <v>6.6310000000000002</v>
      </c>
      <c r="D63" s="37">
        <v>5</v>
      </c>
      <c r="E63" s="38">
        <f t="shared" si="4"/>
        <v>75.403408234052165</v>
      </c>
      <c r="F63" s="38">
        <f t="shared" si="3"/>
        <v>-1.6310000000000002</v>
      </c>
    </row>
    <row r="64" spans="1:8" s="6" customFormat="1" ht="17.850000000000001" customHeight="1">
      <c r="A64" s="41" t="s">
        <v>43</v>
      </c>
      <c r="B64" s="42" t="s">
        <v>44</v>
      </c>
      <c r="C64" s="32">
        <f>C65</f>
        <v>103.383</v>
      </c>
      <c r="D64" s="32">
        <f>D65</f>
        <v>39.161580000000001</v>
      </c>
      <c r="E64" s="34">
        <f t="shared" si="4"/>
        <v>37.880096340791042</v>
      </c>
      <c r="F64" s="34">
        <f t="shared" si="3"/>
        <v>-64.221419999999995</v>
      </c>
    </row>
    <row r="65" spans="1:7" ht="17.850000000000001" customHeight="1">
      <c r="A65" s="43" t="s">
        <v>45</v>
      </c>
      <c r="B65" s="44" t="s">
        <v>46</v>
      </c>
      <c r="C65" s="37">
        <v>103.383</v>
      </c>
      <c r="D65" s="37">
        <v>39.161580000000001</v>
      </c>
      <c r="E65" s="38">
        <f t="shared" si="4"/>
        <v>37.880096340791042</v>
      </c>
      <c r="F65" s="38">
        <f t="shared" si="3"/>
        <v>-64.221419999999995</v>
      </c>
    </row>
    <row r="66" spans="1:7" s="6" customFormat="1" ht="17.25" customHeight="1">
      <c r="A66" s="30" t="s">
        <v>47</v>
      </c>
      <c r="B66" s="31" t="s">
        <v>48</v>
      </c>
      <c r="C66" s="32">
        <f>C69+C70+C71</f>
        <v>15</v>
      </c>
      <c r="D66" s="32">
        <f>SUM(D69+D70+D71)</f>
        <v>2.81148</v>
      </c>
      <c r="E66" s="34">
        <f t="shared" si="4"/>
        <v>18.743199999999998</v>
      </c>
      <c r="F66" s="34">
        <f t="shared" si="3"/>
        <v>-12.18852</v>
      </c>
    </row>
    <row r="67" spans="1:7" ht="17.25" hidden="1" customHeight="1">
      <c r="A67" s="35" t="s">
        <v>49</v>
      </c>
      <c r="B67" s="39" t="s">
        <v>50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7.25" hidden="1" customHeight="1">
      <c r="A68" s="45" t="s">
        <v>51</v>
      </c>
      <c r="B68" s="39" t="s">
        <v>52</v>
      </c>
      <c r="C68" s="37"/>
      <c r="D68" s="37"/>
      <c r="E68" s="34" t="e">
        <f t="shared" si="4"/>
        <v>#DIV/0!</v>
      </c>
      <c r="F68" s="34">
        <f t="shared" si="3"/>
        <v>0</v>
      </c>
    </row>
    <row r="69" spans="1:7" ht="18" customHeight="1">
      <c r="A69" s="46" t="s">
        <v>53</v>
      </c>
      <c r="B69" s="47" t="s">
        <v>54</v>
      </c>
      <c r="C69" s="37">
        <v>3</v>
      </c>
      <c r="D69" s="37">
        <v>2.81148</v>
      </c>
      <c r="E69" s="34">
        <f t="shared" si="4"/>
        <v>93.715999999999994</v>
      </c>
      <c r="F69" s="34">
        <f t="shared" si="3"/>
        <v>-0.18852000000000002</v>
      </c>
    </row>
    <row r="70" spans="1:7" ht="18" customHeight="1">
      <c r="A70" s="46" t="s">
        <v>214</v>
      </c>
      <c r="B70" s="47" t="s">
        <v>215</v>
      </c>
      <c r="C70" s="37">
        <v>10</v>
      </c>
      <c r="D70" s="37">
        <v>0</v>
      </c>
      <c r="E70" s="38">
        <f t="shared" si="4"/>
        <v>0</v>
      </c>
      <c r="F70" s="38">
        <f t="shared" si="3"/>
        <v>-10</v>
      </c>
    </row>
    <row r="71" spans="1:7" ht="18" customHeight="1">
      <c r="A71" s="46" t="s">
        <v>338</v>
      </c>
      <c r="B71" s="47" t="s">
        <v>341</v>
      </c>
      <c r="C71" s="37">
        <v>2</v>
      </c>
      <c r="D71" s="37">
        <v>0</v>
      </c>
      <c r="E71" s="38"/>
      <c r="F71" s="38"/>
    </row>
    <row r="72" spans="1:7" s="6" customFormat="1" ht="15.75" customHeight="1">
      <c r="A72" s="30" t="s">
        <v>55</v>
      </c>
      <c r="B72" s="31" t="s">
        <v>56</v>
      </c>
      <c r="C72" s="48">
        <f>SUM(C73:C76)</f>
        <v>2308.6820699999998</v>
      </c>
      <c r="D72" s="48">
        <f>D73+D74+D75+D76</f>
        <v>234.887</v>
      </c>
      <c r="E72" s="34">
        <f t="shared" si="4"/>
        <v>10.174073037263204</v>
      </c>
      <c r="F72" s="34">
        <f t="shared" si="3"/>
        <v>-2073.7950699999997</v>
      </c>
    </row>
    <row r="73" spans="1:7" ht="16.5" customHeight="1">
      <c r="A73" s="35" t="s">
        <v>57</v>
      </c>
      <c r="B73" s="39" t="s">
        <v>58</v>
      </c>
      <c r="C73" s="49"/>
      <c r="D73" s="37">
        <v>0</v>
      </c>
      <c r="E73" s="38" t="e">
        <f t="shared" si="4"/>
        <v>#DIV/0!</v>
      </c>
      <c r="F73" s="38">
        <f t="shared" si="3"/>
        <v>0</v>
      </c>
    </row>
    <row r="74" spans="1:7" s="6" customFormat="1" ht="19.5" customHeight="1">
      <c r="A74" s="35" t="s">
        <v>59</v>
      </c>
      <c r="B74" s="39" t="s">
        <v>60</v>
      </c>
      <c r="C74" s="49">
        <v>25</v>
      </c>
      <c r="D74" s="37">
        <v>23.2</v>
      </c>
      <c r="E74" s="38">
        <f t="shared" si="4"/>
        <v>92.8</v>
      </c>
      <c r="F74" s="38">
        <f t="shared" si="3"/>
        <v>-1.8000000000000007</v>
      </c>
      <c r="G74" s="50"/>
    </row>
    <row r="75" spans="1:7" ht="17.25" customHeight="1">
      <c r="A75" s="35" t="s">
        <v>61</v>
      </c>
      <c r="B75" s="39" t="s">
        <v>62</v>
      </c>
      <c r="C75" s="49">
        <v>2133.6820699999998</v>
      </c>
      <c r="D75" s="37">
        <v>195.28700000000001</v>
      </c>
      <c r="E75" s="38">
        <f t="shared" si="4"/>
        <v>9.152581949568523</v>
      </c>
      <c r="F75" s="38">
        <f t="shared" si="3"/>
        <v>-1938.3950699999998</v>
      </c>
    </row>
    <row r="76" spans="1:7" ht="15.75" customHeight="1">
      <c r="A76" s="35" t="s">
        <v>63</v>
      </c>
      <c r="B76" s="39" t="s">
        <v>64</v>
      </c>
      <c r="C76" s="49">
        <v>150</v>
      </c>
      <c r="D76" s="37">
        <v>16.399999999999999</v>
      </c>
      <c r="E76" s="38">
        <f t="shared" si="4"/>
        <v>10.933333333333332</v>
      </c>
      <c r="F76" s="38">
        <f t="shared" si="3"/>
        <v>-133.6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1376.13184</v>
      </c>
      <c r="D77" s="32">
        <f>D80</f>
        <v>48.331499999999998</v>
      </c>
      <c r="E77" s="34">
        <f t="shared" si="4"/>
        <v>3.5121271520031105</v>
      </c>
      <c r="F77" s="34">
        <f t="shared" si="3"/>
        <v>-1327.80034</v>
      </c>
    </row>
    <row r="78" spans="1:7" ht="15.75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4"/>
        <v>#DIV/0!</v>
      </c>
      <c r="F78" s="38">
        <f t="shared" si="3"/>
        <v>0</v>
      </c>
    </row>
    <row r="79" spans="1:7" ht="20.25" customHeight="1">
      <c r="A79" s="35" t="s">
        <v>69</v>
      </c>
      <c r="B79" s="51" t="s">
        <v>70</v>
      </c>
      <c r="C79" s="37">
        <v>1146.0528400000001</v>
      </c>
      <c r="D79" s="37"/>
      <c r="E79" s="38">
        <f t="shared" si="4"/>
        <v>0</v>
      </c>
      <c r="F79" s="38">
        <f t="shared" si="3"/>
        <v>-1146.0528400000001</v>
      </c>
    </row>
    <row r="80" spans="1:7" ht="17.850000000000001" customHeight="1">
      <c r="A80" s="35" t="s">
        <v>71</v>
      </c>
      <c r="B80" s="39" t="s">
        <v>72</v>
      </c>
      <c r="C80" s="37">
        <v>230.07900000000001</v>
      </c>
      <c r="D80" s="37">
        <v>48.331499999999998</v>
      </c>
      <c r="E80" s="38">
        <f t="shared" si="4"/>
        <v>21.006480382825028</v>
      </c>
      <c r="F80" s="38">
        <f t="shared" si="3"/>
        <v>-181.7475</v>
      </c>
    </row>
    <row r="81" spans="1:6" s="6" customFormat="1" ht="17.850000000000001" customHeight="1">
      <c r="A81" s="30" t="s">
        <v>83</v>
      </c>
      <c r="B81" s="31" t="s">
        <v>84</v>
      </c>
      <c r="C81" s="32">
        <f>C82</f>
        <v>952.8</v>
      </c>
      <c r="D81" s="32">
        <f>D82</f>
        <v>444.92701</v>
      </c>
      <c r="E81" s="34">
        <f t="shared" si="4"/>
        <v>46.696789462636438</v>
      </c>
      <c r="F81" s="34">
        <f t="shared" si="3"/>
        <v>-507.87298999999996</v>
      </c>
    </row>
    <row r="82" spans="1:6" ht="15" customHeight="1">
      <c r="A82" s="35" t="s">
        <v>85</v>
      </c>
      <c r="B82" s="39" t="s">
        <v>229</v>
      </c>
      <c r="C82" s="37">
        <v>952.8</v>
      </c>
      <c r="D82" s="37">
        <v>444.92701</v>
      </c>
      <c r="E82" s="38">
        <f t="shared" si="4"/>
        <v>46.696789462636438</v>
      </c>
      <c r="F82" s="38">
        <f t="shared" si="3"/>
        <v>-507.87298999999996</v>
      </c>
    </row>
    <row r="83" spans="1:6" s="6" customFormat="1" ht="0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4"/>
        <v>#DIV/0!</v>
      </c>
      <c r="F83" s="34">
        <f t="shared" si="3"/>
        <v>0</v>
      </c>
    </row>
    <row r="84" spans="1:6" ht="0.75" hidden="1" customHeight="1">
      <c r="A84" s="53">
        <v>1001</v>
      </c>
      <c r="B84" s="54" t="s">
        <v>87</v>
      </c>
      <c r="C84" s="37"/>
      <c r="D84" s="37"/>
      <c r="E84" s="38" t="e">
        <f t="shared" si="4"/>
        <v>#DIV/0!</v>
      </c>
      <c r="F84" s="38">
        <f t="shared" si="3"/>
        <v>0</v>
      </c>
    </row>
    <row r="85" spans="1:6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4"/>
        <v>#DIV/0!</v>
      </c>
      <c r="F85" s="38">
        <f t="shared" si="3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4"/>
        <v>#DIV/0!</v>
      </c>
      <c r="F86" s="38">
        <f t="shared" si="3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3"/>
        <v>0</v>
      </c>
    </row>
    <row r="88" spans="1:6" ht="17.850000000000001" customHeight="1">
      <c r="A88" s="30" t="s">
        <v>92</v>
      </c>
      <c r="B88" s="31" t="s">
        <v>93</v>
      </c>
      <c r="C88" s="32">
        <f>C89+C90+C91+C92+C93</f>
        <v>30</v>
      </c>
      <c r="D88" s="32">
        <f>D89+D90+D91+D92+D93</f>
        <v>12.56</v>
      </c>
      <c r="E88" s="38">
        <f t="shared" si="4"/>
        <v>41.866666666666667</v>
      </c>
      <c r="F88" s="22">
        <f>F89+F90+F91+F92+F93</f>
        <v>-17.439999999999998</v>
      </c>
    </row>
    <row r="89" spans="1:6" ht="17.25" customHeight="1">
      <c r="A89" s="35" t="s">
        <v>94</v>
      </c>
      <c r="B89" s="39" t="s">
        <v>95</v>
      </c>
      <c r="C89" s="37">
        <v>30</v>
      </c>
      <c r="D89" s="37">
        <v>12.56</v>
      </c>
      <c r="E89" s="38">
        <f t="shared" si="4"/>
        <v>41.866666666666667</v>
      </c>
      <c r="F89" s="38">
        <f>SUM(D89-C89)</f>
        <v>-17.439999999999998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4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4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4"/>
        <v>#DIV/0!</v>
      </c>
      <c r="F93" s="38"/>
    </row>
    <row r="94" spans="1:6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4"/>
        <v>#DIV/0!</v>
      </c>
      <c r="F94" s="34">
        <f t="shared" si="3"/>
        <v>0</v>
      </c>
    </row>
    <row r="95" spans="1:6" ht="15.75" hidden="1" customHeight="1">
      <c r="A95" s="53">
        <v>1401</v>
      </c>
      <c r="B95" s="54" t="s">
        <v>113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8" hidden="1" customHeight="1">
      <c r="A96" s="53">
        <v>1402</v>
      </c>
      <c r="B96" s="54" t="s">
        <v>114</v>
      </c>
      <c r="C96" s="173"/>
      <c r="D96" s="174"/>
      <c r="E96" s="38" t="e">
        <f t="shared" si="4"/>
        <v>#DIV/0!</v>
      </c>
      <c r="F96" s="38">
        <f t="shared" si="3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4"/>
        <v>#DIV/0!</v>
      </c>
      <c r="F97" s="38">
        <f t="shared" si="3"/>
        <v>0</v>
      </c>
    </row>
    <row r="98" spans="1:8" s="6" customFormat="1" ht="16.5" customHeight="1">
      <c r="A98" s="52"/>
      <c r="B98" s="57" t="s">
        <v>116</v>
      </c>
      <c r="C98" s="272">
        <f>C56+C64+C66+C72+C77+C81+C83+C88+C94</f>
        <v>6006.1279100000002</v>
      </c>
      <c r="D98" s="253">
        <f>D56+D64+D66+D72+D77+D81+D88</f>
        <v>1369.5259900000001</v>
      </c>
      <c r="E98" s="34">
        <f t="shared" si="4"/>
        <v>22.802144918022567</v>
      </c>
      <c r="F98" s="34">
        <f t="shared" si="3"/>
        <v>-4636.6019200000001</v>
      </c>
      <c r="G98" s="246"/>
      <c r="H98" s="246"/>
    </row>
    <row r="99" spans="1:8" ht="20.25" customHeight="1">
      <c r="C99" s="125"/>
      <c r="D99" s="101"/>
    </row>
    <row r="100" spans="1:8" s="65" customFormat="1" ht="13.5" customHeight="1">
      <c r="A100" s="63" t="s">
        <v>117</v>
      </c>
      <c r="B100" s="63"/>
      <c r="C100" s="115"/>
      <c r="D100" s="64"/>
    </row>
    <row r="101" spans="1:8" s="65" customFormat="1" ht="12.75">
      <c r="A101" s="66" t="s">
        <v>118</v>
      </c>
      <c r="B101" s="66"/>
      <c r="C101" s="133" t="s">
        <v>119</v>
      </c>
      <c r="D101" s="133"/>
    </row>
    <row r="102" spans="1:8" ht="5.25" customHeight="1">
      <c r="C102" s="119"/>
    </row>
    <row r="144" hidden="1"/>
  </sheetData>
  <customSheetViews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1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2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3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7"/>
    </customSheetView>
    <customSheetView guid="{B30CE22D-C12F-4E12-8BB9-3AAE0A6991CC}" scale="70" showPageBreaks="1" hiddenRows="1" view="pageBreakPreview">
      <selection activeCell="D45" sqref="D4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61528DAC-5C4C-48F4-ADE2-8A724B05A086}" scale="70" showPageBreaks="1" hiddenRows="1" view="pageBreakPreview" topLeftCell="A16">
      <selection activeCell="D87" sqref="D87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42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43" zoomScale="7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434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1054.08</v>
      </c>
      <c r="D4" s="5">
        <f>D5+D12+D14+D17+D20+D7</f>
        <v>386.85575</v>
      </c>
      <c r="E4" s="5">
        <f>SUM(D4/C4*100)</f>
        <v>36.700795954766249</v>
      </c>
      <c r="F4" s="5">
        <f>SUM(D4-C4)</f>
        <v>-667.22424999999998</v>
      </c>
    </row>
    <row r="5" spans="1:6" s="6" customFormat="1">
      <c r="A5" s="68">
        <v>1010000000</v>
      </c>
      <c r="B5" s="67" t="s">
        <v>5</v>
      </c>
      <c r="C5" s="5">
        <f>C6</f>
        <v>102</v>
      </c>
      <c r="D5" s="5">
        <f>D6</f>
        <v>37.648789999999998</v>
      </c>
      <c r="E5" s="5">
        <f t="shared" ref="E5:E51" si="0">SUM(D5/C5*100)</f>
        <v>36.910578431372549</v>
      </c>
      <c r="F5" s="5">
        <f t="shared" ref="F5:F51" si="1">SUM(D5-C5)</f>
        <v>-64.351210000000009</v>
      </c>
    </row>
    <row r="6" spans="1:6">
      <c r="A6" s="7">
        <v>1010200001</v>
      </c>
      <c r="B6" s="8" t="s">
        <v>224</v>
      </c>
      <c r="C6" s="9">
        <v>102</v>
      </c>
      <c r="D6" s="10">
        <v>37.648789999999998</v>
      </c>
      <c r="E6" s="9">
        <f t="shared" ref="E6:E11" si="2">SUM(D6/C6*100)</f>
        <v>36.910578431372549</v>
      </c>
      <c r="F6" s="9">
        <f t="shared" si="1"/>
        <v>-64.351210000000009</v>
      </c>
    </row>
    <row r="7" spans="1:6" ht="31.5">
      <c r="A7" s="3">
        <v>1030000000</v>
      </c>
      <c r="B7" s="13" t="s">
        <v>266</v>
      </c>
      <c r="C7" s="5">
        <f>C8+C10+C9</f>
        <v>356.08</v>
      </c>
      <c r="D7" s="5">
        <f>D8+D10+D9+D11</f>
        <v>184.63287</v>
      </c>
      <c r="E7" s="9">
        <f t="shared" si="2"/>
        <v>51.851513704785447</v>
      </c>
      <c r="F7" s="9">
        <f t="shared" si="1"/>
        <v>-171.44712999999999</v>
      </c>
    </row>
    <row r="8" spans="1:6">
      <c r="A8" s="7">
        <v>1030223001</v>
      </c>
      <c r="B8" s="8" t="s">
        <v>268</v>
      </c>
      <c r="C8" s="9">
        <v>132.82</v>
      </c>
      <c r="D8" s="10">
        <v>83.491969999999995</v>
      </c>
      <c r="E8" s="9">
        <f t="shared" si="2"/>
        <v>62.860992320433674</v>
      </c>
      <c r="F8" s="9">
        <f t="shared" si="1"/>
        <v>-49.328029999999998</v>
      </c>
    </row>
    <row r="9" spans="1:6">
      <c r="A9" s="7">
        <v>1030224001</v>
      </c>
      <c r="B9" s="8" t="s">
        <v>274</v>
      </c>
      <c r="C9" s="9">
        <v>1.42</v>
      </c>
      <c r="D9" s="10">
        <v>0.62894000000000005</v>
      </c>
      <c r="E9" s="9">
        <f t="shared" si="2"/>
        <v>44.291549295774651</v>
      </c>
      <c r="F9" s="9">
        <f t="shared" si="1"/>
        <v>-0.79105999999999987</v>
      </c>
    </row>
    <row r="10" spans="1:6">
      <c r="A10" s="7">
        <v>1030225001</v>
      </c>
      <c r="B10" s="8" t="s">
        <v>267</v>
      </c>
      <c r="C10" s="9">
        <v>221.84</v>
      </c>
      <c r="D10" s="10">
        <v>116.0963</v>
      </c>
      <c r="E10" s="9">
        <f t="shared" si="2"/>
        <v>52.333348359177791</v>
      </c>
      <c r="F10" s="9">
        <f t="shared" si="1"/>
        <v>-105.7437</v>
      </c>
    </row>
    <row r="11" spans="1:6">
      <c r="A11" s="7">
        <v>1030226001</v>
      </c>
      <c r="B11" s="8" t="s">
        <v>276</v>
      </c>
      <c r="C11" s="9">
        <v>0</v>
      </c>
      <c r="D11" s="10">
        <v>-15.584339999999999</v>
      </c>
      <c r="E11" s="9" t="e">
        <f t="shared" si="2"/>
        <v>#DIV/0!</v>
      </c>
      <c r="F11" s="9">
        <f t="shared" si="1"/>
        <v>-15.584339999999999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104.08271000000001</v>
      </c>
      <c r="E12" s="5">
        <f t="shared" si="0"/>
        <v>260.20677500000005</v>
      </c>
      <c r="F12" s="5">
        <f t="shared" si="1"/>
        <v>64.082710000000006</v>
      </c>
    </row>
    <row r="13" spans="1:6" ht="15.75" customHeight="1">
      <c r="A13" s="7">
        <v>1050300000</v>
      </c>
      <c r="B13" s="11" t="s">
        <v>225</v>
      </c>
      <c r="C13" s="12">
        <v>40</v>
      </c>
      <c r="D13" s="10">
        <v>104.08271000000001</v>
      </c>
      <c r="E13" s="9">
        <f t="shared" si="0"/>
        <v>260.20677500000005</v>
      </c>
      <c r="F13" s="9">
        <f t="shared" si="1"/>
        <v>64.082710000000006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551</v>
      </c>
      <c r="D14" s="5">
        <f>D15+D16</f>
        <v>57.591380000000001</v>
      </c>
      <c r="E14" s="9">
        <f t="shared" si="0"/>
        <v>10.452156079854809</v>
      </c>
      <c r="F14" s="9">
        <f t="shared" si="1"/>
        <v>-493.40861999999998</v>
      </c>
    </row>
    <row r="15" spans="1:6" s="6" customFormat="1" ht="15.75" customHeight="1">
      <c r="A15" s="7">
        <v>1060100000</v>
      </c>
      <c r="B15" s="11" t="s">
        <v>8</v>
      </c>
      <c r="C15" s="189">
        <v>91</v>
      </c>
      <c r="D15" s="10">
        <v>7.8003299999999998</v>
      </c>
      <c r="E15" s="9">
        <f>SUM(D15/C15*100)</f>
        <v>8.5717912087912094</v>
      </c>
      <c r="F15" s="9">
        <f>SUM(D15-C14)</f>
        <v>-543.19966999999997</v>
      </c>
    </row>
    <row r="16" spans="1:6" ht="15.75" customHeight="1">
      <c r="A16" s="7">
        <v>1060600000</v>
      </c>
      <c r="B16" s="11" t="s">
        <v>7</v>
      </c>
      <c r="C16" s="9">
        <v>460</v>
      </c>
      <c r="D16" s="10">
        <v>49.791049999999998</v>
      </c>
      <c r="E16" s="9">
        <f t="shared" si="0"/>
        <v>10.824141304347826</v>
      </c>
      <c r="F16" s="9">
        <f t="shared" si="1"/>
        <v>-410.20895000000002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2.9</v>
      </c>
      <c r="E17" s="5">
        <f t="shared" si="0"/>
        <v>57.999999999999993</v>
      </c>
      <c r="F17" s="5">
        <f t="shared" si="1"/>
        <v>-2.1</v>
      </c>
    </row>
    <row r="18" spans="1:6" ht="18.75" customHeight="1">
      <c r="A18" s="7">
        <v>1080400001</v>
      </c>
      <c r="B18" s="8" t="s">
        <v>223</v>
      </c>
      <c r="C18" s="9">
        <v>5</v>
      </c>
      <c r="D18" s="10">
        <v>2.9</v>
      </c>
      <c r="E18" s="9">
        <f t="shared" si="0"/>
        <v>57.999999999999993</v>
      </c>
      <c r="F18" s="9">
        <f t="shared" si="1"/>
        <v>-2.1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226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135.69999999999999</v>
      </c>
      <c r="D25" s="5">
        <f>D26+D29+D31+D37-D34</f>
        <v>70.741979999999998</v>
      </c>
      <c r="E25" s="5">
        <f t="shared" si="0"/>
        <v>52.131156963890938</v>
      </c>
      <c r="F25" s="5">
        <f t="shared" si="1"/>
        <v>-64.958019999999991</v>
      </c>
    </row>
    <row r="26" spans="1:6" s="6" customFormat="1" ht="15.75" customHeight="1">
      <c r="A26" s="68">
        <v>1110000000</v>
      </c>
      <c r="B26" s="69" t="s">
        <v>126</v>
      </c>
      <c r="C26" s="5">
        <f>C27+C28</f>
        <v>85.7</v>
      </c>
      <c r="D26" s="5">
        <f>D27+D28</f>
        <v>49.473799999999997</v>
      </c>
      <c r="E26" s="5">
        <f t="shared" si="0"/>
        <v>57.729054842473737</v>
      </c>
      <c r="F26" s="5">
        <f t="shared" si="1"/>
        <v>-36.226200000000006</v>
      </c>
    </row>
    <row r="27" spans="1:6" ht="15.75" customHeight="1">
      <c r="A27" s="16">
        <v>1110502510</v>
      </c>
      <c r="B27" s="17" t="s">
        <v>221</v>
      </c>
      <c r="C27" s="12">
        <v>85.7</v>
      </c>
      <c r="D27" s="10">
        <v>49.473799999999997</v>
      </c>
      <c r="E27" s="9">
        <f t="shared" si="0"/>
        <v>57.729054842473737</v>
      </c>
      <c r="F27" s="9">
        <f t="shared" si="1"/>
        <v>-36.226200000000006</v>
      </c>
    </row>
    <row r="28" spans="1:6" ht="17.25" customHeight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128</v>
      </c>
      <c r="C29" s="5">
        <f>C30</f>
        <v>50</v>
      </c>
      <c r="D29" s="5">
        <f>D30</f>
        <v>21.268180000000001</v>
      </c>
      <c r="E29" s="5">
        <f t="shared" si="0"/>
        <v>42.536360000000002</v>
      </c>
      <c r="F29" s="5">
        <f t="shared" si="1"/>
        <v>-28.731819999999999</v>
      </c>
    </row>
    <row r="30" spans="1:6" ht="17.25" customHeight="1">
      <c r="A30" s="7">
        <v>1130206005</v>
      </c>
      <c r="B30" s="8" t="s">
        <v>219</v>
      </c>
      <c r="C30" s="9">
        <v>50</v>
      </c>
      <c r="D30" s="10">
        <v>21.268180000000001</v>
      </c>
      <c r="E30" s="9">
        <f t="shared" si="0"/>
        <v>42.536360000000002</v>
      </c>
      <c r="F30" s="9">
        <f t="shared" si="1"/>
        <v>-28.731819999999999</v>
      </c>
    </row>
    <row r="31" spans="1:6" ht="22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240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 hidden="1">
      <c r="A35" s="7">
        <v>1163305010</v>
      </c>
      <c r="B35" s="8" t="s">
        <v>255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 hidden="1">
      <c r="A36" s="7">
        <v>1169005010</v>
      </c>
      <c r="B36" s="8" t="s">
        <v>324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 hidden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 hidden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idden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16</v>
      </c>
      <c r="C40" s="126">
        <f>SUM(C4,C25)</f>
        <v>1189.78</v>
      </c>
      <c r="D40" s="126">
        <f>D4+D25</f>
        <v>457.59773000000001</v>
      </c>
      <c r="E40" s="5">
        <f t="shared" si="0"/>
        <v>38.46070113802552</v>
      </c>
      <c r="F40" s="5">
        <f t="shared" si="1"/>
        <v>-732.18227000000002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5213.1710000000003</v>
      </c>
      <c r="D41" s="5">
        <f>D42+D44+D45+D46+D47+D48+D43+D50</f>
        <v>1817.6079999999997</v>
      </c>
      <c r="E41" s="5">
        <f t="shared" si="0"/>
        <v>34.865689232139125</v>
      </c>
      <c r="F41" s="5">
        <f t="shared" si="1"/>
        <v>-3395.5630000000006</v>
      </c>
      <c r="G41" s="19"/>
    </row>
    <row r="42" spans="1:7" ht="16.5" customHeight="1">
      <c r="A42" s="16">
        <v>2021000000</v>
      </c>
      <c r="B42" s="17" t="s">
        <v>18</v>
      </c>
      <c r="C42" s="12">
        <v>3247.3</v>
      </c>
      <c r="D42" s="12">
        <v>1623.6659999999999</v>
      </c>
      <c r="E42" s="9">
        <f t="shared" si="0"/>
        <v>50.000492717026447</v>
      </c>
      <c r="F42" s="9">
        <f t="shared" si="1"/>
        <v>-1623.6340000000002</v>
      </c>
    </row>
    <row r="43" spans="1:7" ht="17.25" customHeight="1">
      <c r="A43" s="16">
        <v>2021500200</v>
      </c>
      <c r="B43" s="17" t="s">
        <v>227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681.78800000000001</v>
      </c>
      <c r="D44" s="10">
        <v>109.358</v>
      </c>
      <c r="E44" s="9">
        <f>SUM(D44/C44*100)</f>
        <v>16.039883365503645</v>
      </c>
      <c r="F44" s="9">
        <f t="shared" si="1"/>
        <v>-572.43000000000006</v>
      </c>
    </row>
    <row r="45" spans="1:7" ht="17.25" customHeight="1">
      <c r="A45" s="16">
        <v>2023000000</v>
      </c>
      <c r="B45" s="17" t="s">
        <v>20</v>
      </c>
      <c r="C45" s="12">
        <v>103.383</v>
      </c>
      <c r="D45" s="184">
        <v>51.764000000000003</v>
      </c>
      <c r="E45" s="9">
        <f t="shared" si="0"/>
        <v>50.07012758383874</v>
      </c>
      <c r="F45" s="9">
        <f t="shared" si="1"/>
        <v>-51.618999999999993</v>
      </c>
    </row>
    <row r="46" spans="1:7" ht="23.25" customHeight="1">
      <c r="A46" s="16">
        <v>2020400000</v>
      </c>
      <c r="B46" s="17" t="s">
        <v>21</v>
      </c>
      <c r="C46" s="12">
        <v>1180.7</v>
      </c>
      <c r="D46" s="185">
        <v>32.82</v>
      </c>
      <c r="E46" s="9">
        <f t="shared" si="0"/>
        <v>2.7797069535021599</v>
      </c>
      <c r="F46" s="9">
        <f t="shared" si="1"/>
        <v>-1147.8800000000001</v>
      </c>
    </row>
    <row r="47" spans="1:7" ht="23.25" customHeight="1">
      <c r="A47" s="16">
        <v>2020900000</v>
      </c>
      <c r="B47" s="18" t="s">
        <v>22</v>
      </c>
      <c r="C47" s="12"/>
      <c r="D47" s="185"/>
      <c r="E47" s="9" t="e">
        <f t="shared" si="0"/>
        <v>#DIV/0!</v>
      </c>
      <c r="F47" s="9">
        <f t="shared" si="1"/>
        <v>0</v>
      </c>
    </row>
    <row r="48" spans="1:7" ht="23.25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27.75" customHeight="1">
      <c r="A49" s="3">
        <v>3000000000</v>
      </c>
      <c r="B49" s="13" t="s">
        <v>24</v>
      </c>
      <c r="C49" s="18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333</v>
      </c>
      <c r="C50" s="12"/>
      <c r="D50" s="10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247">
        <f>C40+C41</f>
        <v>6402.951</v>
      </c>
      <c r="D51" s="248">
        <f>D40+D41</f>
        <v>2275.2057299999997</v>
      </c>
      <c r="E51" s="93">
        <f t="shared" si="0"/>
        <v>35.533705161885507</v>
      </c>
      <c r="F51" s="93">
        <f t="shared" si="1"/>
        <v>-4127.7452700000003</v>
      </c>
      <c r="G51" s="197"/>
      <c r="H51" s="197"/>
    </row>
    <row r="52" spans="1:8" s="6" customFormat="1">
      <c r="A52" s="3"/>
      <c r="B52" s="21" t="s">
        <v>306</v>
      </c>
      <c r="C52" s="93">
        <f>C51-C98</f>
        <v>-29.910549999999603</v>
      </c>
      <c r="D52" s="93">
        <f>D51-D98</f>
        <v>245.95167999999967</v>
      </c>
      <c r="E52" s="22"/>
      <c r="F52" s="22"/>
    </row>
    <row r="53" spans="1:8">
      <c r="A53" s="23"/>
      <c r="B53" s="24"/>
      <c r="C53" s="183"/>
      <c r="D53" s="183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405</v>
      </c>
      <c r="D54" s="73" t="s">
        <v>418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27</v>
      </c>
      <c r="B56" s="31" t="s">
        <v>28</v>
      </c>
      <c r="C56" s="180">
        <f>C57+C58+C59+C60+C61+C63+C62</f>
        <v>1612.7459999999999</v>
      </c>
      <c r="D56" s="33">
        <f>D57+D58+D59+D60+D61+D63+D62</f>
        <v>759.52066000000002</v>
      </c>
      <c r="E56" s="34">
        <f>SUM(D56/C56*100)</f>
        <v>47.094871728096059</v>
      </c>
      <c r="F56" s="34">
        <f>SUM(D56-C56)</f>
        <v>-853.22533999999985</v>
      </c>
    </row>
    <row r="57" spans="1:8" s="6" customFormat="1" ht="31.5" hidden="1">
      <c r="A57" s="35" t="s">
        <v>29</v>
      </c>
      <c r="B57" s="36" t="s">
        <v>30</v>
      </c>
      <c r="C57" s="37"/>
      <c r="D57" s="135"/>
      <c r="E57" s="38"/>
      <c r="F57" s="38"/>
    </row>
    <row r="58" spans="1:8">
      <c r="A58" s="35" t="s">
        <v>31</v>
      </c>
      <c r="B58" s="39" t="s">
        <v>32</v>
      </c>
      <c r="C58" s="37">
        <v>1489.3</v>
      </c>
      <c r="D58" s="37">
        <v>753.52066000000002</v>
      </c>
      <c r="E58" s="38">
        <f t="shared" ref="E58:E98" si="3">SUM(D58/C58*100)</f>
        <v>50.595626133082661</v>
      </c>
      <c r="F58" s="38">
        <f t="shared" ref="F58:F98" si="4">SUM(D58-C58)</f>
        <v>-735.77933999999993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37</v>
      </c>
      <c r="B61" s="39" t="s">
        <v>38</v>
      </c>
      <c r="C61" s="37">
        <v>10.26</v>
      </c>
      <c r="D61" s="37">
        <v>0</v>
      </c>
      <c r="E61" s="38">
        <f t="shared" si="3"/>
        <v>0</v>
      </c>
      <c r="F61" s="38">
        <f t="shared" si="4"/>
        <v>-10.26</v>
      </c>
    </row>
    <row r="62" spans="1:8" ht="15.7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8" ht="18" customHeight="1">
      <c r="A63" s="35" t="s">
        <v>41</v>
      </c>
      <c r="B63" s="39" t="s">
        <v>42</v>
      </c>
      <c r="C63" s="37">
        <v>13.186</v>
      </c>
      <c r="D63" s="37">
        <v>6</v>
      </c>
      <c r="E63" s="38">
        <f t="shared" si="3"/>
        <v>45.502806006370392</v>
      </c>
      <c r="F63" s="38">
        <f t="shared" si="4"/>
        <v>-7.1859999999999999</v>
      </c>
    </row>
    <row r="64" spans="1:8" s="6" customFormat="1">
      <c r="A64" s="41" t="s">
        <v>43</v>
      </c>
      <c r="B64" s="42" t="s">
        <v>44</v>
      </c>
      <c r="C64" s="32">
        <f>C65</f>
        <v>103.383</v>
      </c>
      <c r="D64" s="32">
        <f>D65</f>
        <v>41.976129999999998</v>
      </c>
      <c r="E64" s="34">
        <f t="shared" si="3"/>
        <v>40.602545873112597</v>
      </c>
      <c r="F64" s="34">
        <f t="shared" si="4"/>
        <v>-61.406869999999998</v>
      </c>
    </row>
    <row r="65" spans="1:7">
      <c r="A65" s="43" t="s">
        <v>45</v>
      </c>
      <c r="B65" s="44" t="s">
        <v>46</v>
      </c>
      <c r="C65" s="37">
        <v>103.383</v>
      </c>
      <c r="D65" s="37">
        <v>41.976129999999998</v>
      </c>
      <c r="E65" s="38">
        <f t="shared" si="3"/>
        <v>40.602545873112597</v>
      </c>
      <c r="F65" s="38">
        <f t="shared" si="4"/>
        <v>-61.406869999999998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15</v>
      </c>
      <c r="D66" s="32">
        <f>SUM(D69+D70+D71)</f>
        <v>4.0114799999999997</v>
      </c>
      <c r="E66" s="34">
        <f t="shared" si="3"/>
        <v>26.743200000000002</v>
      </c>
      <c r="F66" s="34">
        <f t="shared" si="4"/>
        <v>-10.988520000000001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7">
        <v>3</v>
      </c>
      <c r="D69" s="37">
        <v>2.81148</v>
      </c>
      <c r="E69" s="38">
        <f t="shared" si="3"/>
        <v>93.715999999999994</v>
      </c>
      <c r="F69" s="38">
        <f t="shared" si="4"/>
        <v>-0.18852000000000002</v>
      </c>
    </row>
    <row r="70" spans="1:7" ht="15.75" customHeight="1">
      <c r="A70" s="46" t="s">
        <v>214</v>
      </c>
      <c r="B70" s="47" t="s">
        <v>215</v>
      </c>
      <c r="C70" s="37">
        <v>10</v>
      </c>
      <c r="D70" s="37">
        <v>1.2</v>
      </c>
      <c r="E70" s="38">
        <f t="shared" si="3"/>
        <v>12</v>
      </c>
      <c r="F70" s="38">
        <f t="shared" si="4"/>
        <v>-8.8000000000000007</v>
      </c>
    </row>
    <row r="71" spans="1:7" ht="15.75" customHeight="1">
      <c r="A71" s="46" t="s">
        <v>338</v>
      </c>
      <c r="B71" s="47" t="s">
        <v>393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1213.47855</v>
      </c>
      <c r="D72" s="48">
        <f>SUM(D73:D76)</f>
        <v>132.50900000000001</v>
      </c>
      <c r="E72" s="34">
        <f t="shared" si="3"/>
        <v>10.919764506756218</v>
      </c>
      <c r="F72" s="34">
        <f t="shared" si="4"/>
        <v>-1080.96955</v>
      </c>
    </row>
    <row r="73" spans="1:7" ht="15.7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1153.47855</v>
      </c>
      <c r="D75" s="37">
        <v>121.509</v>
      </c>
      <c r="E75" s="38">
        <f t="shared" si="3"/>
        <v>10.534136070410671</v>
      </c>
      <c r="F75" s="38">
        <f t="shared" si="4"/>
        <v>-1031.96955</v>
      </c>
    </row>
    <row r="76" spans="1:7" ht="16.5" customHeight="1">
      <c r="A76" s="35" t="s">
        <v>63</v>
      </c>
      <c r="B76" s="39" t="s">
        <v>64</v>
      </c>
      <c r="C76" s="49">
        <v>60</v>
      </c>
      <c r="D76" s="37">
        <v>11</v>
      </c>
      <c r="E76" s="38">
        <f t="shared" si="3"/>
        <v>18.333333333333332</v>
      </c>
      <c r="F76" s="38">
        <f t="shared" si="4"/>
        <v>-49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2431.3539999999998</v>
      </c>
      <c r="D77" s="32">
        <f>SUM(D78:D80)</f>
        <v>568.42178000000001</v>
      </c>
      <c r="E77" s="34">
        <f t="shared" si="3"/>
        <v>23.378816083548511</v>
      </c>
      <c r="F77" s="34">
        <f t="shared" si="4"/>
        <v>-1862.9322199999997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1823.184</v>
      </c>
      <c r="D79" s="37">
        <v>334.05864000000003</v>
      </c>
      <c r="E79" s="38">
        <f t="shared" si="3"/>
        <v>18.322815470078719</v>
      </c>
      <c r="F79" s="38">
        <f t="shared" si="4"/>
        <v>-1489.12536</v>
      </c>
    </row>
    <row r="80" spans="1:7">
      <c r="A80" s="35" t="s">
        <v>71</v>
      </c>
      <c r="B80" s="39" t="s">
        <v>72</v>
      </c>
      <c r="C80" s="37">
        <v>608.16999999999996</v>
      </c>
      <c r="D80" s="37">
        <v>234.36313999999999</v>
      </c>
      <c r="E80" s="38">
        <f t="shared" si="3"/>
        <v>38.535794268050047</v>
      </c>
      <c r="F80" s="38">
        <f t="shared" si="4"/>
        <v>-373.80685999999997</v>
      </c>
    </row>
    <row r="81" spans="1:7" s="6" customFormat="1">
      <c r="A81" s="30" t="s">
        <v>83</v>
      </c>
      <c r="B81" s="31" t="s">
        <v>84</v>
      </c>
      <c r="C81" s="32">
        <f>C82</f>
        <v>1026.9000000000001</v>
      </c>
      <c r="D81" s="32">
        <f>SUM(D82)</f>
        <v>513.45000000000005</v>
      </c>
      <c r="E81" s="34">
        <f t="shared" si="3"/>
        <v>50</v>
      </c>
      <c r="F81" s="34">
        <f t="shared" si="4"/>
        <v>-513.45000000000005</v>
      </c>
    </row>
    <row r="82" spans="1:7" ht="17.25" customHeight="1">
      <c r="A82" s="35" t="s">
        <v>85</v>
      </c>
      <c r="B82" s="39" t="s">
        <v>229</v>
      </c>
      <c r="C82" s="37">
        <v>1026.9000000000001</v>
      </c>
      <c r="D82" s="37">
        <v>513.45000000000005</v>
      </c>
      <c r="E82" s="38">
        <f t="shared" si="3"/>
        <v>50</v>
      </c>
      <c r="F82" s="38">
        <f t="shared" si="4"/>
        <v>-513.45000000000005</v>
      </c>
    </row>
    <row r="83" spans="1:7" s="6" customFormat="1" ht="21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92</v>
      </c>
      <c r="B88" s="31" t="s">
        <v>93</v>
      </c>
      <c r="C88" s="32">
        <f>C89+C90+C91+C92+C93</f>
        <v>30</v>
      </c>
      <c r="D88" s="32">
        <f>D89</f>
        <v>9.3650000000000002</v>
      </c>
      <c r="E88" s="38">
        <f t="shared" si="3"/>
        <v>31.216666666666665</v>
      </c>
      <c r="F88" s="22">
        <f>F89+F90+F91+F92+F93</f>
        <v>-20.634999999999998</v>
      </c>
    </row>
    <row r="89" spans="1:7" ht="19.5" customHeight="1">
      <c r="A89" s="35" t="s">
        <v>94</v>
      </c>
      <c r="B89" s="39" t="s">
        <v>95</v>
      </c>
      <c r="C89" s="37">
        <v>30</v>
      </c>
      <c r="D89" s="37">
        <v>9.3650000000000002</v>
      </c>
      <c r="E89" s="38">
        <f t="shared" si="3"/>
        <v>31.216666666666665</v>
      </c>
      <c r="F89" s="38">
        <f>SUM(D89-C89)</f>
        <v>-20.634999999999998</v>
      </c>
      <c r="G89" s="244"/>
    </row>
    <row r="90" spans="1:7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98</v>
      </c>
      <c r="B91" s="39" t="s">
        <v>99</v>
      </c>
      <c r="C91" s="37"/>
      <c r="D91" s="37" t="s">
        <v>321</v>
      </c>
      <c r="E91" s="38" t="e">
        <f t="shared" si="3"/>
        <v>#VALUE!</v>
      </c>
      <c r="F91" s="38"/>
    </row>
    <row r="92" spans="1:7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116</v>
      </c>
      <c r="C98" s="272">
        <f>C56+C64+C66+C72+C77+C81+C83+C88+C94</f>
        <v>6432.8615499999996</v>
      </c>
      <c r="D98" s="250">
        <f>D56+D64+D66+D72+D77+D81+D83+D88+D94</f>
        <v>2029.25405</v>
      </c>
      <c r="E98" s="34">
        <f t="shared" si="3"/>
        <v>31.545122403574815</v>
      </c>
      <c r="F98" s="34">
        <f t="shared" si="4"/>
        <v>-4403.6075000000001</v>
      </c>
      <c r="G98" s="197"/>
      <c r="H98" s="197"/>
    </row>
    <row r="99" spans="1:8">
      <c r="C99" s="125"/>
      <c r="D99" s="101"/>
    </row>
    <row r="100" spans="1:8" s="65" customFormat="1" ht="16.5" customHeight="1">
      <c r="A100" s="63" t="s">
        <v>117</v>
      </c>
      <c r="B100" s="63"/>
      <c r="C100" s="182"/>
      <c r="D100" s="182"/>
      <c r="E100" s="245"/>
    </row>
    <row r="101" spans="1:8" s="65" customFormat="1" ht="20.25" customHeight="1">
      <c r="A101" s="66" t="s">
        <v>118</v>
      </c>
      <c r="B101" s="66"/>
      <c r="C101" s="65" t="s">
        <v>119</v>
      </c>
    </row>
    <row r="102" spans="1:8" ht="13.5" customHeight="1">
      <c r="C102" s="119"/>
    </row>
    <row r="104" spans="1:8" ht="5.25" customHeight="1"/>
    <row r="142" hidden="1"/>
  </sheetData>
  <customSheetViews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1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2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3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printArea="1" hiddenRows="1" view="pageBreakPreview" topLeftCell="A28">
      <selection activeCell="D81" sqref="D8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61528DAC-5C4C-48F4-ADE2-8A724B05A086}" scale="70" showPageBreaks="1" hiddenRows="1" view="pageBreakPreview" topLeftCell="A40">
      <selection activeCell="D89" sqref="D89"/>
      <pageMargins left="0.70866141732283472" right="0.70866141732283472" top="0.74803149606299213" bottom="0.74803149606299213" header="0.31496062992125984" footer="0.31496062992125984"/>
      <pageSetup paperSize="9" scale="59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39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15" zoomScale="70" zoomScaleSheetLayoutView="70" workbookViewId="0">
      <selection activeCell="D29" sqref="D29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1" t="s">
        <v>435</v>
      </c>
      <c r="B1" s="531"/>
      <c r="C1" s="531"/>
      <c r="D1" s="531"/>
      <c r="E1" s="531"/>
      <c r="F1" s="531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786.06999999999994</v>
      </c>
      <c r="D4" s="5">
        <f>D5+D12+D14+D17+D7</f>
        <v>280.79300000000001</v>
      </c>
      <c r="E4" s="5">
        <f>SUM(D4/C4*100)</f>
        <v>35.721118984314373</v>
      </c>
      <c r="F4" s="5">
        <f>SUM(D4-C4)</f>
        <v>-505.27699999999993</v>
      </c>
    </row>
    <row r="5" spans="1:6" s="6" customFormat="1">
      <c r="A5" s="68">
        <v>1010000000</v>
      </c>
      <c r="B5" s="67" t="s">
        <v>5</v>
      </c>
      <c r="C5" s="5">
        <f>C6</f>
        <v>59.1</v>
      </c>
      <c r="D5" s="5">
        <f>D6</f>
        <v>23.829080000000001</v>
      </c>
      <c r="E5" s="5">
        <f t="shared" ref="E5:E51" si="0">SUM(D5/C5*100)</f>
        <v>40.319932318104904</v>
      </c>
      <c r="F5" s="5">
        <f t="shared" ref="F5:F51" si="1">SUM(D5-C5)</f>
        <v>-35.270920000000004</v>
      </c>
    </row>
    <row r="6" spans="1:6">
      <c r="A6" s="7">
        <v>1010200001</v>
      </c>
      <c r="B6" s="8" t="s">
        <v>224</v>
      </c>
      <c r="C6" s="9">
        <v>59.1</v>
      </c>
      <c r="D6" s="10">
        <v>23.829080000000001</v>
      </c>
      <c r="E6" s="9">
        <f t="shared" ref="E6:E11" si="2">SUM(D6/C6*100)</f>
        <v>40.319932318104904</v>
      </c>
      <c r="F6" s="9">
        <f t="shared" si="1"/>
        <v>-35.270920000000004</v>
      </c>
    </row>
    <row r="7" spans="1:6" ht="31.5">
      <c r="A7" s="3">
        <v>1030000000</v>
      </c>
      <c r="B7" s="13" t="s">
        <v>266</v>
      </c>
      <c r="C7" s="5">
        <f>C8+C10+C9</f>
        <v>365.96999999999997</v>
      </c>
      <c r="D7" s="5">
        <f>D8+D10+D9+D11</f>
        <v>189.76156</v>
      </c>
      <c r="E7" s="5">
        <f t="shared" si="2"/>
        <v>51.851670901986502</v>
      </c>
      <c r="F7" s="5">
        <f t="shared" si="1"/>
        <v>-176.20843999999997</v>
      </c>
    </row>
    <row r="8" spans="1:6">
      <c r="A8" s="7">
        <v>1030223001</v>
      </c>
      <c r="B8" s="8" t="s">
        <v>268</v>
      </c>
      <c r="C8" s="9">
        <v>136.51</v>
      </c>
      <c r="D8" s="10">
        <v>85.811189999999996</v>
      </c>
      <c r="E8" s="9">
        <f t="shared" si="2"/>
        <v>62.860735477254416</v>
      </c>
      <c r="F8" s="9">
        <f t="shared" si="1"/>
        <v>-50.698809999999995</v>
      </c>
    </row>
    <row r="9" spans="1:6">
      <c r="A9" s="7">
        <v>1030224001</v>
      </c>
      <c r="B9" s="8" t="s">
        <v>274</v>
      </c>
      <c r="C9" s="9">
        <v>1.46</v>
      </c>
      <c r="D9" s="10">
        <v>0.64641999999999999</v>
      </c>
      <c r="E9" s="9">
        <f t="shared" si="2"/>
        <v>44.275342465753425</v>
      </c>
      <c r="F9" s="9">
        <f t="shared" si="1"/>
        <v>-0.81357999999999997</v>
      </c>
    </row>
    <row r="10" spans="1:6">
      <c r="A10" s="7">
        <v>1030225001</v>
      </c>
      <c r="B10" s="8" t="s">
        <v>267</v>
      </c>
      <c r="C10" s="9">
        <v>228</v>
      </c>
      <c r="D10" s="10">
        <v>119.3212</v>
      </c>
      <c r="E10" s="9">
        <f t="shared" si="2"/>
        <v>52.333859649122807</v>
      </c>
      <c r="F10" s="9">
        <f t="shared" si="1"/>
        <v>-108.6788</v>
      </c>
    </row>
    <row r="11" spans="1:6">
      <c r="A11" s="7">
        <v>1030226001</v>
      </c>
      <c r="B11" s="8" t="s">
        <v>276</v>
      </c>
      <c r="C11" s="9">
        <v>0</v>
      </c>
      <c r="D11" s="10">
        <v>-16.017250000000001</v>
      </c>
      <c r="E11" s="9" t="e">
        <f t="shared" si="2"/>
        <v>#DIV/0!</v>
      </c>
      <c r="F11" s="9">
        <f t="shared" si="1"/>
        <v>-16.017250000000001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15.504</v>
      </c>
      <c r="E12" s="5">
        <f t="shared" si="0"/>
        <v>155.04</v>
      </c>
      <c r="F12" s="5">
        <f t="shared" si="1"/>
        <v>5.5039999999999996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15.504</v>
      </c>
      <c r="E13" s="9">
        <f t="shared" si="0"/>
        <v>155.04</v>
      </c>
      <c r="F13" s="9">
        <f t="shared" si="1"/>
        <v>5.5039999999999996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348</v>
      </c>
      <c r="D14" s="5">
        <f>D15+D16</f>
        <v>50.898360000000004</v>
      </c>
      <c r="E14" s="5">
        <f t="shared" si="0"/>
        <v>14.625965517241379</v>
      </c>
      <c r="F14" s="5">
        <f t="shared" si="1"/>
        <v>-297.10163999999997</v>
      </c>
    </row>
    <row r="15" spans="1:6" s="6" customFormat="1" ht="15.75" customHeight="1">
      <c r="A15" s="7">
        <v>1060100000</v>
      </c>
      <c r="B15" s="11" t="s">
        <v>8</v>
      </c>
      <c r="C15" s="9">
        <v>75</v>
      </c>
      <c r="D15" s="10">
        <v>7.5755600000000003</v>
      </c>
      <c r="E15" s="9">
        <f t="shared" si="0"/>
        <v>10.100746666666668</v>
      </c>
      <c r="F15" s="9">
        <f>SUM(D15-C15)</f>
        <v>-67.424440000000004</v>
      </c>
    </row>
    <row r="16" spans="1:6" ht="15.75" customHeight="1">
      <c r="A16" s="7">
        <v>1060600000</v>
      </c>
      <c r="B16" s="11" t="s">
        <v>7</v>
      </c>
      <c r="C16" s="9">
        <v>273</v>
      </c>
      <c r="D16" s="10">
        <v>43.322800000000001</v>
      </c>
      <c r="E16" s="9">
        <f t="shared" si="0"/>
        <v>15.869157509157509</v>
      </c>
      <c r="F16" s="9">
        <f t="shared" si="1"/>
        <v>-229.6772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0.8</v>
      </c>
      <c r="E17" s="5">
        <f t="shared" si="0"/>
        <v>26.666666666666668</v>
      </c>
      <c r="F17" s="5">
        <f t="shared" si="1"/>
        <v>-2.2000000000000002</v>
      </c>
    </row>
    <row r="18" spans="1:6" ht="16.5" customHeight="1">
      <c r="A18" s="7">
        <v>1080400001</v>
      </c>
      <c r="B18" s="8" t="s">
        <v>223</v>
      </c>
      <c r="C18" s="9">
        <v>3</v>
      </c>
      <c r="D18" s="10">
        <v>0.8</v>
      </c>
      <c r="E18" s="9">
        <f t="shared" si="0"/>
        <v>26.666666666666668</v>
      </c>
      <c r="F18" s="9">
        <f t="shared" si="1"/>
        <v>-2.2000000000000002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166</v>
      </c>
      <c r="D25" s="5">
        <f>D26+D29+D31+D37+D34</f>
        <v>121.76067</v>
      </c>
      <c r="E25" s="5">
        <f t="shared" si="0"/>
        <v>73.349801204819272</v>
      </c>
      <c r="F25" s="5">
        <f t="shared" si="1"/>
        <v>-44.239329999999995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166</v>
      </c>
      <c r="D26" s="5">
        <f>D27+D28</f>
        <v>107.7984</v>
      </c>
      <c r="E26" s="5">
        <f t="shared" si="0"/>
        <v>64.938795180722892</v>
      </c>
      <c r="F26" s="5">
        <f t="shared" si="1"/>
        <v>-58.201599999999999</v>
      </c>
    </row>
    <row r="27" spans="1:6">
      <c r="A27" s="16">
        <v>1110502510</v>
      </c>
      <c r="B27" s="17" t="s">
        <v>221</v>
      </c>
      <c r="C27" s="12">
        <v>140</v>
      </c>
      <c r="D27" s="10">
        <v>94.7928</v>
      </c>
      <c r="E27" s="9">
        <f t="shared" si="0"/>
        <v>67.709142857142851</v>
      </c>
      <c r="F27" s="9">
        <f t="shared" si="1"/>
        <v>-45.2072</v>
      </c>
    </row>
    <row r="28" spans="1:6" ht="18.75" customHeight="1">
      <c r="A28" s="7">
        <v>1110503505</v>
      </c>
      <c r="B28" s="11" t="s">
        <v>220</v>
      </c>
      <c r="C28" s="12">
        <v>26</v>
      </c>
      <c r="D28" s="10">
        <v>13.005599999999999</v>
      </c>
      <c r="E28" s="9">
        <f t="shared" si="0"/>
        <v>50.021538461538462</v>
      </c>
      <c r="F28" s="9">
        <f t="shared" si="1"/>
        <v>-12.994400000000001</v>
      </c>
    </row>
    <row r="29" spans="1:6" s="15" customFormat="1" ht="37.5" customHeight="1">
      <c r="A29" s="68">
        <v>1130000000</v>
      </c>
      <c r="B29" s="69" t="s">
        <v>128</v>
      </c>
      <c r="C29" s="5">
        <f>C30</f>
        <v>0</v>
      </c>
      <c r="D29" s="5">
        <f>D30</f>
        <v>13.96227</v>
      </c>
      <c r="E29" s="5" t="e">
        <f t="shared" si="0"/>
        <v>#DIV/0!</v>
      </c>
      <c r="F29" s="5">
        <f t="shared" si="1"/>
        <v>13.96227</v>
      </c>
    </row>
    <row r="30" spans="1:6">
      <c r="A30" s="7">
        <v>1130206005</v>
      </c>
      <c r="B30" s="8" t="s">
        <v>219</v>
      </c>
      <c r="C30" s="9"/>
      <c r="D30" s="10">
        <v>13.96227</v>
      </c>
      <c r="E30" s="9" t="e">
        <f t="shared" si="0"/>
        <v>#DIV/0!</v>
      </c>
      <c r="F30" s="9">
        <f t="shared" si="1"/>
        <v>13.96227</v>
      </c>
    </row>
    <row r="31" spans="1:6" ht="27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240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325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16</v>
      </c>
      <c r="C40" s="126">
        <f>SUM(C4,C25)</f>
        <v>952.06999999999994</v>
      </c>
      <c r="D40" s="126">
        <f>D4+D25</f>
        <v>402.55367000000001</v>
      </c>
      <c r="E40" s="5">
        <f t="shared" si="0"/>
        <v>42.281940403541761</v>
      </c>
      <c r="F40" s="5">
        <f t="shared" si="1"/>
        <v>-549.51632999999993</v>
      </c>
    </row>
    <row r="41" spans="1:7" s="6" customFormat="1">
      <c r="A41" s="3">
        <v>2000000000</v>
      </c>
      <c r="B41" s="4" t="s">
        <v>17</v>
      </c>
      <c r="C41" s="469">
        <f>C42+C43+C44+C45+C46+C47+C50</f>
        <v>4992.7097999999996</v>
      </c>
      <c r="D41" s="5">
        <f>D42+D43+D44+D45+D46+D47+D50</f>
        <v>2020.9918</v>
      </c>
      <c r="E41" s="5">
        <f t="shared" si="0"/>
        <v>40.478855790897363</v>
      </c>
      <c r="F41" s="5">
        <f t="shared" si="1"/>
        <v>-2971.7179999999998</v>
      </c>
      <c r="G41" s="19"/>
    </row>
    <row r="42" spans="1:7" ht="15" customHeight="1">
      <c r="A42" s="16">
        <v>2021000000</v>
      </c>
      <c r="B42" s="17" t="s">
        <v>18</v>
      </c>
      <c r="C42" s="12">
        <v>2122.1999999999998</v>
      </c>
      <c r="D42" s="12">
        <v>1061.106</v>
      </c>
      <c r="E42" s="9">
        <f t="shared" si="0"/>
        <v>50.000282725473568</v>
      </c>
      <c r="F42" s="9">
        <f t="shared" si="1"/>
        <v>-1061.0939999999998</v>
      </c>
    </row>
    <row r="43" spans="1:7" ht="15.75" customHeight="1">
      <c r="A43" s="16">
        <v>2021500200</v>
      </c>
      <c r="B43" s="17" t="s">
        <v>227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1615.279</v>
      </c>
      <c r="D44" s="10">
        <v>606.27700000000004</v>
      </c>
      <c r="E44" s="9">
        <f t="shared" si="0"/>
        <v>37.533887334633839</v>
      </c>
      <c r="F44" s="9">
        <f t="shared" si="1"/>
        <v>-1009.002</v>
      </c>
    </row>
    <row r="45" spans="1:7" ht="15.75" customHeight="1">
      <c r="A45" s="16">
        <v>2023000000</v>
      </c>
      <c r="B45" s="17" t="s">
        <v>20</v>
      </c>
      <c r="C45" s="12">
        <v>103.383</v>
      </c>
      <c r="D45" s="184">
        <v>51.764000000000003</v>
      </c>
      <c r="E45" s="9">
        <f t="shared" si="0"/>
        <v>50.07012758383874</v>
      </c>
      <c r="F45" s="9">
        <f t="shared" si="1"/>
        <v>-51.618999999999993</v>
      </c>
    </row>
    <row r="46" spans="1:7" ht="15.75" customHeight="1">
      <c r="A46" s="16">
        <v>2024000000</v>
      </c>
      <c r="B46" s="17" t="s">
        <v>21</v>
      </c>
      <c r="C46" s="12">
        <v>963.34900000000005</v>
      </c>
      <c r="D46" s="185">
        <v>113.346</v>
      </c>
      <c r="E46" s="9">
        <f t="shared" si="0"/>
        <v>11.765829413846902</v>
      </c>
      <c r="F46" s="9">
        <f t="shared" si="1"/>
        <v>-850.00300000000004</v>
      </c>
    </row>
    <row r="47" spans="1:7" ht="17.25" customHeight="1">
      <c r="A47" s="16">
        <v>2020900000</v>
      </c>
      <c r="B47" s="18" t="s">
        <v>22</v>
      </c>
      <c r="C47" s="12"/>
      <c r="D47" s="185"/>
      <c r="E47" s="9" t="e">
        <f t="shared" si="0"/>
        <v>#DIV/0!</v>
      </c>
      <c r="F47" s="9">
        <f t="shared" si="1"/>
        <v>0</v>
      </c>
    </row>
    <row r="48" spans="1:7" ht="17.25" customHeight="1">
      <c r="A48" s="16">
        <v>2080500010</v>
      </c>
      <c r="B48" s="18" t="s">
        <v>244</v>
      </c>
      <c r="C48" s="12"/>
      <c r="D48" s="185"/>
      <c r="E48" s="9"/>
      <c r="F48" s="9"/>
    </row>
    <row r="49" spans="1:8" s="6" customFormat="1" ht="15.75" customHeight="1">
      <c r="A49" s="3">
        <v>3000000000</v>
      </c>
      <c r="B49" s="13" t="s">
        <v>24</v>
      </c>
      <c r="C49" s="18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2027000000</v>
      </c>
      <c r="B50" s="8" t="s">
        <v>333</v>
      </c>
      <c r="C50" s="12">
        <v>188.49879999999999</v>
      </c>
      <c r="D50" s="10">
        <v>188.49879999999999</v>
      </c>
      <c r="E50" s="9">
        <f t="shared" si="0"/>
        <v>100</v>
      </c>
      <c r="F50" s="9">
        <f t="shared" si="1"/>
        <v>0</v>
      </c>
    </row>
    <row r="51" spans="1:8" s="6" customFormat="1" ht="17.25" customHeight="1">
      <c r="A51" s="7">
        <v>2070500010</v>
      </c>
      <c r="B51" s="4" t="s">
        <v>25</v>
      </c>
      <c r="C51" s="251">
        <f>C40+C41</f>
        <v>5944.7797999999993</v>
      </c>
      <c r="D51" s="252">
        <f>D40+D41</f>
        <v>2423.54547</v>
      </c>
      <c r="E51" s="93">
        <f t="shared" si="0"/>
        <v>40.767623890795754</v>
      </c>
      <c r="F51" s="93">
        <f t="shared" si="1"/>
        <v>-3521.2343299999993</v>
      </c>
      <c r="G51" s="94"/>
      <c r="H51" s="246"/>
    </row>
    <row r="52" spans="1:8" s="6" customFormat="1" ht="16.5" customHeight="1">
      <c r="A52" s="7"/>
      <c r="B52" s="21" t="s">
        <v>307</v>
      </c>
      <c r="C52" s="251">
        <f>C51-C98</f>
        <v>-54.170110000000932</v>
      </c>
      <c r="D52" s="251">
        <f>D51-D98</f>
        <v>-128.41064000000006</v>
      </c>
      <c r="E52" s="192"/>
      <c r="F52" s="192"/>
    </row>
    <row r="53" spans="1:8">
      <c r="A53" s="3"/>
      <c r="B53" s="24"/>
      <c r="C53" s="215"/>
      <c r="D53" s="215"/>
      <c r="E53" s="26"/>
      <c r="F53" s="27"/>
    </row>
    <row r="54" spans="1:8" ht="32.25" customHeight="1">
      <c r="A54" s="23"/>
      <c r="B54" s="28" t="s">
        <v>26</v>
      </c>
      <c r="C54" s="72" t="s">
        <v>405</v>
      </c>
      <c r="D54" s="73" t="s">
        <v>418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28</v>
      </c>
      <c r="C56" s="458">
        <f>C57+C58+C59+C60+C61+C63+C62</f>
        <v>1337.432</v>
      </c>
      <c r="D56" s="33">
        <f>D57+D58+D59+D60+D61+D63+D62</f>
        <v>633.06551999999999</v>
      </c>
      <c r="E56" s="34">
        <f>SUM(D56/C56*100)</f>
        <v>47.334408029716649</v>
      </c>
      <c r="F56" s="34">
        <f>SUM(D56-C56)</f>
        <v>-704.36648000000002</v>
      </c>
    </row>
    <row r="57" spans="1:8" s="6" customFormat="1" ht="15.75" hidden="1" customHeight="1">
      <c r="A57" s="30" t="s">
        <v>27</v>
      </c>
      <c r="B57" s="36" t="s">
        <v>30</v>
      </c>
      <c r="C57" s="193"/>
      <c r="D57" s="193"/>
      <c r="E57" s="38"/>
      <c r="F57" s="38"/>
    </row>
    <row r="58" spans="1:8" ht="17.25" customHeight="1">
      <c r="A58" s="35" t="s">
        <v>31</v>
      </c>
      <c r="B58" s="39" t="s">
        <v>32</v>
      </c>
      <c r="C58" s="193">
        <v>1253.9000000000001</v>
      </c>
      <c r="D58" s="193">
        <v>622.06551999999999</v>
      </c>
      <c r="E58" s="38">
        <f t="shared" ref="E58:E98" si="3">SUM(D58/C58*100)</f>
        <v>49.610456974240364</v>
      </c>
      <c r="F58" s="38">
        <f t="shared" ref="F58:F98" si="4">SUM(D58-C58)</f>
        <v>-631.8344800000001</v>
      </c>
    </row>
    <row r="59" spans="1:8" ht="17.25" hidden="1" customHeight="1">
      <c r="A59" s="35" t="s">
        <v>31</v>
      </c>
      <c r="B59" s="39" t="s">
        <v>34</v>
      </c>
      <c r="C59" s="193"/>
      <c r="D59" s="193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93"/>
      <c r="D60" s="193"/>
      <c r="E60" s="38" t="e">
        <f t="shared" si="3"/>
        <v>#DIV/0!</v>
      </c>
      <c r="F60" s="38">
        <f t="shared" si="4"/>
        <v>0</v>
      </c>
    </row>
    <row r="61" spans="1:8" ht="15" customHeight="1">
      <c r="A61" s="35" t="s">
        <v>37</v>
      </c>
      <c r="B61" s="39" t="s">
        <v>38</v>
      </c>
      <c r="C61" s="193"/>
      <c r="D61" s="193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4">
        <v>50</v>
      </c>
      <c r="D62" s="194">
        <v>0</v>
      </c>
      <c r="E62" s="38">
        <f t="shared" si="3"/>
        <v>0</v>
      </c>
      <c r="F62" s="38">
        <f t="shared" si="4"/>
        <v>-50</v>
      </c>
    </row>
    <row r="63" spans="1:8" ht="19.5" customHeight="1">
      <c r="A63" s="35" t="s">
        <v>41</v>
      </c>
      <c r="B63" s="39" t="s">
        <v>42</v>
      </c>
      <c r="C63" s="193">
        <v>33.531999999999996</v>
      </c>
      <c r="D63" s="193">
        <v>11</v>
      </c>
      <c r="E63" s="38">
        <f t="shared" si="3"/>
        <v>32.804485267803891</v>
      </c>
      <c r="F63" s="38">
        <f t="shared" si="4"/>
        <v>-22.531999999999996</v>
      </c>
    </row>
    <row r="64" spans="1:8" s="6" customFormat="1">
      <c r="A64" s="30" t="s">
        <v>43</v>
      </c>
      <c r="B64" s="42" t="s">
        <v>44</v>
      </c>
      <c r="C64" s="33">
        <f>C65</f>
        <v>103.383</v>
      </c>
      <c r="D64" s="33">
        <f>D65</f>
        <v>48.23762</v>
      </c>
      <c r="E64" s="34">
        <f t="shared" si="3"/>
        <v>46.659141251463012</v>
      </c>
      <c r="F64" s="34">
        <f t="shared" si="4"/>
        <v>-55.145379999999996</v>
      </c>
    </row>
    <row r="65" spans="1:9">
      <c r="A65" s="434" t="s">
        <v>45</v>
      </c>
      <c r="B65" s="44" t="s">
        <v>46</v>
      </c>
      <c r="C65" s="193">
        <v>103.383</v>
      </c>
      <c r="D65" s="193">
        <v>48.23762</v>
      </c>
      <c r="E65" s="38">
        <f t="shared" si="3"/>
        <v>46.659141251463012</v>
      </c>
      <c r="F65" s="38">
        <f t="shared" si="4"/>
        <v>-55.145379999999996</v>
      </c>
    </row>
    <row r="66" spans="1:9" s="6" customFormat="1" ht="18" customHeight="1">
      <c r="A66" s="43" t="s">
        <v>47</v>
      </c>
      <c r="B66" s="31" t="s">
        <v>48</v>
      </c>
      <c r="C66" s="33">
        <f>C69+C70+C71</f>
        <v>15</v>
      </c>
      <c r="D66" s="33">
        <f>D69+D70+D71</f>
        <v>2.81148</v>
      </c>
      <c r="E66" s="34">
        <f t="shared" si="3"/>
        <v>18.743199999999998</v>
      </c>
      <c r="F66" s="34">
        <f t="shared" si="4"/>
        <v>-12.18852</v>
      </c>
    </row>
    <row r="67" spans="1:9" ht="1.5" hidden="1" customHeight="1">
      <c r="A67" s="30" t="s">
        <v>47</v>
      </c>
      <c r="B67" s="39" t="s">
        <v>50</v>
      </c>
      <c r="C67" s="193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49</v>
      </c>
      <c r="B68" s="39" t="s">
        <v>52</v>
      </c>
      <c r="C68" s="193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5">
        <v>3</v>
      </c>
      <c r="D69" s="193">
        <v>2.81148</v>
      </c>
      <c r="E69" s="34">
        <f t="shared" si="3"/>
        <v>93.715999999999994</v>
      </c>
      <c r="F69" s="34">
        <f t="shared" si="4"/>
        <v>-0.18852000000000002</v>
      </c>
    </row>
    <row r="70" spans="1:9">
      <c r="A70" s="46" t="s">
        <v>214</v>
      </c>
      <c r="B70" s="47" t="s">
        <v>215</v>
      </c>
      <c r="C70" s="193">
        <v>10</v>
      </c>
      <c r="D70" s="193">
        <v>0</v>
      </c>
      <c r="E70" s="34">
        <f t="shared" si="3"/>
        <v>0</v>
      </c>
      <c r="F70" s="34">
        <f t="shared" si="4"/>
        <v>-10</v>
      </c>
    </row>
    <row r="71" spans="1:9">
      <c r="A71" s="46" t="s">
        <v>338</v>
      </c>
      <c r="B71" s="47" t="s">
        <v>393</v>
      </c>
      <c r="C71" s="193">
        <v>2</v>
      </c>
      <c r="D71" s="193">
        <v>0</v>
      </c>
      <c r="E71" s="34">
        <f>SUM(D71/C71*100)</f>
        <v>0</v>
      </c>
      <c r="F71" s="34">
        <f>SUM(D71-C71)</f>
        <v>-2</v>
      </c>
    </row>
    <row r="72" spans="1:9" s="6" customFormat="1" ht="17.25" customHeight="1">
      <c r="A72" s="435" t="s">
        <v>55</v>
      </c>
      <c r="B72" s="31" t="s">
        <v>56</v>
      </c>
      <c r="C72" s="33">
        <f>SUM(C73:C76)</f>
        <v>3260.7719099999999</v>
      </c>
      <c r="D72" s="33">
        <f>SUM(D73:D76)</f>
        <v>1309.7892899999999</v>
      </c>
      <c r="E72" s="34">
        <f t="shared" si="3"/>
        <v>40.168074497427817</v>
      </c>
      <c r="F72" s="34">
        <f t="shared" si="4"/>
        <v>-1950.98262</v>
      </c>
      <c r="I72" s="107"/>
    </row>
    <row r="73" spans="1:9" ht="15" customHeight="1">
      <c r="A73" s="35" t="s">
        <v>57</v>
      </c>
      <c r="B73" s="39" t="s">
        <v>58</v>
      </c>
      <c r="C73" s="193"/>
      <c r="D73" s="193">
        <v>0</v>
      </c>
      <c r="E73" s="38" t="e">
        <f t="shared" si="3"/>
        <v>#DIV/0!</v>
      </c>
      <c r="F73" s="38">
        <f t="shared" si="4"/>
        <v>0</v>
      </c>
    </row>
    <row r="74" spans="1:9" s="6" customFormat="1" ht="19.5" customHeight="1">
      <c r="A74" s="35" t="s">
        <v>59</v>
      </c>
      <c r="B74" s="39" t="s">
        <v>60</v>
      </c>
      <c r="C74" s="193">
        <v>0</v>
      </c>
      <c r="D74" s="193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93">
        <v>3060.7719099999999</v>
      </c>
      <c r="D75" s="193">
        <v>1291.7892899999999</v>
      </c>
      <c r="E75" s="38">
        <f t="shared" si="3"/>
        <v>42.204689796699029</v>
      </c>
      <c r="F75" s="38">
        <f t="shared" si="4"/>
        <v>-1768.98262</v>
      </c>
    </row>
    <row r="76" spans="1:9">
      <c r="A76" s="35" t="s">
        <v>63</v>
      </c>
      <c r="B76" s="39" t="s">
        <v>64</v>
      </c>
      <c r="C76" s="193">
        <v>200</v>
      </c>
      <c r="D76" s="193">
        <v>18</v>
      </c>
      <c r="E76" s="38">
        <f t="shared" si="3"/>
        <v>9</v>
      </c>
      <c r="F76" s="38">
        <f t="shared" si="4"/>
        <v>-182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435.363</v>
      </c>
      <c r="D77" s="33">
        <f>SUM(D78:D80)</f>
        <v>131.04519999999999</v>
      </c>
      <c r="E77" s="34">
        <f t="shared" si="3"/>
        <v>30.100215222699216</v>
      </c>
      <c r="F77" s="34">
        <f t="shared" si="4"/>
        <v>-304.31780000000003</v>
      </c>
    </row>
    <row r="78" spans="1:9" ht="15.75" hidden="1" customHeight="1">
      <c r="A78" s="30" t="s">
        <v>65</v>
      </c>
      <c r="B78" s="51" t="s">
        <v>68</v>
      </c>
      <c r="C78" s="193"/>
      <c r="D78" s="193"/>
      <c r="E78" s="38" t="e">
        <f t="shared" si="3"/>
        <v>#DIV/0!</v>
      </c>
      <c r="F78" s="38">
        <f t="shared" si="4"/>
        <v>0</v>
      </c>
    </row>
    <row r="79" spans="1:9" ht="17.25" customHeight="1">
      <c r="A79" s="35" t="s">
        <v>69</v>
      </c>
      <c r="B79" s="51" t="s">
        <v>70</v>
      </c>
      <c r="C79" s="193">
        <v>129.86799999999999</v>
      </c>
      <c r="D79" s="193">
        <v>47.1</v>
      </c>
      <c r="E79" s="38">
        <f t="shared" si="3"/>
        <v>36.267594788554533</v>
      </c>
      <c r="F79" s="38">
        <f t="shared" si="4"/>
        <v>-82.768000000000001</v>
      </c>
    </row>
    <row r="80" spans="1:9">
      <c r="A80" s="35" t="s">
        <v>71</v>
      </c>
      <c r="B80" s="39" t="s">
        <v>72</v>
      </c>
      <c r="C80" s="193">
        <v>305.495</v>
      </c>
      <c r="D80" s="193">
        <v>83.9452</v>
      </c>
      <c r="E80" s="38">
        <f t="shared" si="3"/>
        <v>27.47842026874417</v>
      </c>
      <c r="F80" s="38">
        <f t="shared" si="4"/>
        <v>-221.5498</v>
      </c>
    </row>
    <row r="81" spans="1:12" s="6" customFormat="1">
      <c r="A81" s="30" t="s">
        <v>83</v>
      </c>
      <c r="B81" s="31" t="s">
        <v>84</v>
      </c>
      <c r="C81" s="33">
        <f>C82</f>
        <v>837</v>
      </c>
      <c r="D81" s="33">
        <f>SUM(D82)</f>
        <v>420</v>
      </c>
      <c r="E81" s="34">
        <f t="shared" si="3"/>
        <v>50.179211469534046</v>
      </c>
      <c r="F81" s="34">
        <f t="shared" si="4"/>
        <v>-417</v>
      </c>
    </row>
    <row r="82" spans="1:12" ht="15.75" customHeight="1">
      <c r="A82" s="35" t="s">
        <v>85</v>
      </c>
      <c r="B82" s="39" t="s">
        <v>229</v>
      </c>
      <c r="C82" s="193">
        <v>837</v>
      </c>
      <c r="D82" s="193">
        <v>420</v>
      </c>
      <c r="E82" s="38">
        <f t="shared" si="3"/>
        <v>50.179211469534046</v>
      </c>
      <c r="F82" s="38">
        <f t="shared" si="4"/>
        <v>-417</v>
      </c>
      <c r="L82" s="106"/>
    </row>
    <row r="83" spans="1:12" s="6" customFormat="1" hidden="1">
      <c r="A83" s="35" t="s">
        <v>208</v>
      </c>
      <c r="B83" s="31" t="s">
        <v>86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87</v>
      </c>
      <c r="C84" s="193"/>
      <c r="D84" s="193"/>
      <c r="E84" s="241" t="e">
        <f>SUM(D84/C84*100)</f>
        <v>#DIV/0!</v>
      </c>
      <c r="F84" s="241">
        <f>SUM(D84-C84)</f>
        <v>0</v>
      </c>
    </row>
    <row r="85" spans="1:12" hidden="1">
      <c r="A85" s="53">
        <v>1001</v>
      </c>
      <c r="B85" s="54" t="s">
        <v>88</v>
      </c>
      <c r="C85" s="193"/>
      <c r="D85" s="193"/>
      <c r="E85" s="241" t="e">
        <f>SUM(D85/C85*100)</f>
        <v>#DIV/0!</v>
      </c>
      <c r="F85" s="241">
        <f>SUM(D85-C85)</f>
        <v>0</v>
      </c>
    </row>
    <row r="86" spans="1:12" hidden="1">
      <c r="A86" s="53">
        <v>1003</v>
      </c>
      <c r="B86" s="54" t="s">
        <v>89</v>
      </c>
      <c r="C86" s="193"/>
      <c r="D86" s="196"/>
      <c r="E86" s="241" t="e">
        <f>SUM(D86/C86*100)</f>
        <v>#DIV/0!</v>
      </c>
      <c r="F86" s="241">
        <f>SUM(D86-C86)</f>
        <v>0</v>
      </c>
    </row>
    <row r="87" spans="1:12" ht="15" hidden="1" customHeight="1">
      <c r="A87" s="53">
        <v>1004</v>
      </c>
      <c r="B87" s="39" t="s">
        <v>91</v>
      </c>
      <c r="C87" s="193">
        <v>0</v>
      </c>
      <c r="D87" s="193">
        <v>0</v>
      </c>
      <c r="E87" s="241" t="e">
        <f>SUM(D87/C87*100)</f>
        <v>#DIV/0!</v>
      </c>
      <c r="F87" s="241">
        <f>SUM(D87-C87)</f>
        <v>0</v>
      </c>
    </row>
    <row r="88" spans="1:12" ht="19.5" customHeight="1">
      <c r="A88" s="30" t="s">
        <v>92</v>
      </c>
      <c r="B88" s="31" t="s">
        <v>93</v>
      </c>
      <c r="C88" s="33">
        <f>C89+C90+C91+C92+C93</f>
        <v>10</v>
      </c>
      <c r="D88" s="33">
        <f>D89+D90+D91+D92+D93</f>
        <v>7.0069999999999997</v>
      </c>
      <c r="E88" s="38">
        <f t="shared" si="3"/>
        <v>70.069999999999993</v>
      </c>
      <c r="F88" s="22">
        <f>F89+F90+F91+F92+F93</f>
        <v>-2.9930000000000003</v>
      </c>
    </row>
    <row r="89" spans="1:12" ht="15.75" customHeight="1">
      <c r="A89" s="35" t="s">
        <v>94</v>
      </c>
      <c r="B89" s="39" t="s">
        <v>95</v>
      </c>
      <c r="C89" s="193">
        <v>10</v>
      </c>
      <c r="D89" s="193">
        <v>7.0069999999999997</v>
      </c>
      <c r="E89" s="38">
        <f t="shared" si="3"/>
        <v>70.069999999999993</v>
      </c>
      <c r="F89" s="38">
        <f>SUM(D89-C89)</f>
        <v>-2.9930000000000003</v>
      </c>
    </row>
    <row r="90" spans="1:12" ht="0.75" hidden="1" customHeight="1">
      <c r="A90" s="35" t="s">
        <v>94</v>
      </c>
      <c r="B90" s="39" t="s">
        <v>97</v>
      </c>
      <c r="C90" s="193"/>
      <c r="D90" s="193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96</v>
      </c>
      <c r="B91" s="39" t="s">
        <v>99</v>
      </c>
      <c r="C91" s="193"/>
      <c r="D91" s="193"/>
      <c r="E91" s="38" t="e">
        <f t="shared" si="3"/>
        <v>#DIV/0!</v>
      </c>
      <c r="F91" s="38"/>
    </row>
    <row r="92" spans="1:12" ht="3" hidden="1" customHeight="1">
      <c r="A92" s="35" t="s">
        <v>98</v>
      </c>
      <c r="B92" s="39" t="s">
        <v>101</v>
      </c>
      <c r="C92" s="193"/>
      <c r="D92" s="193"/>
      <c r="E92" s="38" t="e">
        <f t="shared" si="3"/>
        <v>#DIV/0!</v>
      </c>
      <c r="F92" s="38"/>
    </row>
    <row r="93" spans="1:12" ht="15" hidden="1" customHeight="1">
      <c r="A93" s="35" t="s">
        <v>100</v>
      </c>
      <c r="B93" s="39" t="s">
        <v>103</v>
      </c>
      <c r="C93" s="193"/>
      <c r="D93" s="193"/>
      <c r="E93" s="38" t="e">
        <f t="shared" si="3"/>
        <v>#DIV/0!</v>
      </c>
      <c r="F93" s="38"/>
    </row>
    <row r="94" spans="1:12" s="6" customFormat="1" ht="12" hidden="1" customHeight="1">
      <c r="A94" s="35" t="s">
        <v>102</v>
      </c>
      <c r="B94" s="56" t="s">
        <v>112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113</v>
      </c>
      <c r="C95" s="193"/>
      <c r="D95" s="193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114</v>
      </c>
      <c r="C96" s="193"/>
      <c r="D96" s="193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115</v>
      </c>
      <c r="C97" s="193"/>
      <c r="D97" s="193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116</v>
      </c>
      <c r="C98" s="253">
        <f>C56+C64+C66+C72+C77+C81+C88+C83</f>
        <v>5998.9499100000003</v>
      </c>
      <c r="D98" s="253">
        <f>D56+D64+D66+D72+D77+D81+D88+D83</f>
        <v>2551.9561100000001</v>
      </c>
      <c r="E98" s="34">
        <f t="shared" si="3"/>
        <v>42.540046979655479</v>
      </c>
      <c r="F98" s="34">
        <f t="shared" si="4"/>
        <v>-3446.9938000000002</v>
      </c>
      <c r="G98" s="149"/>
      <c r="H98" s="266"/>
    </row>
    <row r="99" spans="1:8" ht="20.25" customHeight="1">
      <c r="A99" s="52"/>
      <c r="C99" s="125"/>
      <c r="D99" s="101"/>
    </row>
    <row r="100" spans="1:8" s="65" customFormat="1" ht="13.5" customHeight="1">
      <c r="A100" s="58"/>
      <c r="B100" s="63"/>
      <c r="C100" s="115"/>
      <c r="D100" s="64"/>
      <c r="E100" s="64"/>
    </row>
    <row r="101" spans="1:8" s="65" customFormat="1" ht="12.75">
      <c r="A101" s="63" t="s">
        <v>117</v>
      </c>
      <c r="B101" s="66"/>
      <c r="C101" s="133" t="s">
        <v>119</v>
      </c>
      <c r="D101" s="133"/>
    </row>
    <row r="102" spans="1:8">
      <c r="A102" s="66" t="s">
        <v>118</v>
      </c>
      <c r="C102" s="119"/>
    </row>
    <row r="104" spans="1:8" ht="5.25" customHeight="1"/>
    <row r="142" hidden="1"/>
  </sheetData>
  <customSheetViews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1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2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3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6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hiddenRows="1" view="pageBreakPreview">
      <selection activeCell="H98" sqref="H98"/>
      <pageMargins left="0.70866141732283472" right="0.70866141732283472" top="0.74803149606299213" bottom="0.74803149606299213" header="0.31496062992125984" footer="0.31496062992125984"/>
      <pageSetup paperSize="9" scale="53" orientation="portrait" r:id="rId8"/>
    </customSheetView>
    <customSheetView guid="{61528DAC-5C4C-48F4-ADE2-8A724B05A086}" scale="70" showPageBreaks="1" hiddenRows="1" view="pageBreakPreview" topLeftCell="A40">
      <selection activeCell="D89" sqref="D89"/>
      <pageMargins left="0.70866141732283472" right="0.70866141732283472" top="0.74803149606299213" bottom="0.74803149606299213" header="0.31496062992125984" footer="0.31496062992125984"/>
      <pageSetup paperSize="9" scale="53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39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34" zoomScale="70" zoomScaleSheetLayoutView="70" workbookViewId="0">
      <selection activeCell="D97" sqref="D97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436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43.5" customHeight="1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2867.9</v>
      </c>
      <c r="D4" s="5">
        <f>D5+D12+D14+D17+D7</f>
        <v>729.02030000000002</v>
      </c>
      <c r="E4" s="5">
        <f>SUM(D4/C4*100)</f>
        <v>25.420004184246313</v>
      </c>
      <c r="F4" s="5">
        <f>SUM(D4-C4)</f>
        <v>-2138.8797</v>
      </c>
    </row>
    <row r="5" spans="1:6" s="6" customFormat="1">
      <c r="A5" s="68">
        <v>1010000000</v>
      </c>
      <c r="B5" s="67" t="s">
        <v>5</v>
      </c>
      <c r="C5" s="5">
        <f>C6</f>
        <v>126.9</v>
      </c>
      <c r="D5" s="5">
        <f>D6</f>
        <v>56.994340000000001</v>
      </c>
      <c r="E5" s="5">
        <f t="shared" ref="E5:E50" si="0">SUM(D5/C5*100)</f>
        <v>44.912797478329395</v>
      </c>
      <c r="F5" s="5">
        <f t="shared" ref="F5:F50" si="1">SUM(D5-C5)</f>
        <v>-69.905660000000012</v>
      </c>
    </row>
    <row r="6" spans="1:6">
      <c r="A6" s="7">
        <v>1010200001</v>
      </c>
      <c r="B6" s="8" t="s">
        <v>224</v>
      </c>
      <c r="C6" s="9">
        <v>126.9</v>
      </c>
      <c r="D6" s="10">
        <v>56.994340000000001</v>
      </c>
      <c r="E6" s="9">
        <f t="shared" ref="E6:E11" si="2">SUM(D6/C6*100)</f>
        <v>44.912797478329395</v>
      </c>
      <c r="F6" s="9">
        <f t="shared" si="1"/>
        <v>-69.905660000000012</v>
      </c>
    </row>
    <row r="7" spans="1:6" ht="31.5">
      <c r="A7" s="3">
        <v>1030000000</v>
      </c>
      <c r="B7" s="13" t="s">
        <v>266</v>
      </c>
      <c r="C7" s="5">
        <f>C8+C10+C9</f>
        <v>591</v>
      </c>
      <c r="D7" s="5">
        <f>D8+D10+D9+D11</f>
        <v>306.43925999999999</v>
      </c>
      <c r="E7" s="5">
        <f t="shared" si="2"/>
        <v>51.850974619289339</v>
      </c>
      <c r="F7" s="5">
        <f t="shared" si="1"/>
        <v>-284.56074000000001</v>
      </c>
    </row>
    <row r="8" spans="1:6">
      <c r="A8" s="7">
        <v>1030223001</v>
      </c>
      <c r="B8" s="8" t="s">
        <v>268</v>
      </c>
      <c r="C8" s="9">
        <v>220.44</v>
      </c>
      <c r="D8" s="10">
        <v>138.57346999999999</v>
      </c>
      <c r="E8" s="9">
        <f t="shared" si="2"/>
        <v>62.86221647613862</v>
      </c>
      <c r="F8" s="9">
        <f t="shared" si="1"/>
        <v>-81.866530000000012</v>
      </c>
    </row>
    <row r="9" spans="1:6">
      <c r="A9" s="7">
        <v>1030224001</v>
      </c>
      <c r="B9" s="8" t="s">
        <v>274</v>
      </c>
      <c r="C9" s="9">
        <v>2.36</v>
      </c>
      <c r="D9" s="10">
        <v>1.0438700000000001</v>
      </c>
      <c r="E9" s="9">
        <f t="shared" si="2"/>
        <v>44.231779661016958</v>
      </c>
      <c r="F9" s="9">
        <f t="shared" si="1"/>
        <v>-1.3161299999999998</v>
      </c>
    </row>
    <row r="10" spans="1:6">
      <c r="A10" s="7">
        <v>1030225001</v>
      </c>
      <c r="B10" s="8" t="s">
        <v>267</v>
      </c>
      <c r="C10" s="9">
        <v>368.2</v>
      </c>
      <c r="D10" s="10">
        <v>192.68761000000001</v>
      </c>
      <c r="E10" s="9">
        <f t="shared" si="2"/>
        <v>52.332322107550247</v>
      </c>
      <c r="F10" s="9">
        <f t="shared" si="1"/>
        <v>-175.51238999999998</v>
      </c>
    </row>
    <row r="11" spans="1:6">
      <c r="A11" s="7">
        <v>1030226001</v>
      </c>
      <c r="B11" s="8" t="s">
        <v>276</v>
      </c>
      <c r="C11" s="9">
        <v>0</v>
      </c>
      <c r="D11" s="10">
        <v>-25.865690000000001</v>
      </c>
      <c r="E11" s="9" t="e">
        <f t="shared" si="2"/>
        <v>#DIV/0!</v>
      </c>
      <c r="F11" s="9">
        <f t="shared" si="1"/>
        <v>-25.865690000000001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SUM(D13:D13)</f>
        <v>54.3675</v>
      </c>
      <c r="E12" s="5">
        <f t="shared" si="0"/>
        <v>108.735</v>
      </c>
      <c r="F12" s="5">
        <f t="shared" si="1"/>
        <v>4.3674999999999997</v>
      </c>
    </row>
    <row r="13" spans="1:6" ht="15.75" customHeight="1">
      <c r="A13" s="7">
        <v>1050300000</v>
      </c>
      <c r="B13" s="11" t="s">
        <v>225</v>
      </c>
      <c r="C13" s="12">
        <v>50</v>
      </c>
      <c r="D13" s="10">
        <v>54.3675</v>
      </c>
      <c r="E13" s="9">
        <f t="shared" si="0"/>
        <v>108.735</v>
      </c>
      <c r="F13" s="9">
        <f t="shared" si="1"/>
        <v>4.3674999999999997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2090</v>
      </c>
      <c r="D14" s="5">
        <f>D15+D16</f>
        <v>309.56920000000002</v>
      </c>
      <c r="E14" s="5">
        <f t="shared" si="0"/>
        <v>14.811923444976077</v>
      </c>
      <c r="F14" s="5">
        <f t="shared" si="1"/>
        <v>-1780.4308000000001</v>
      </c>
    </row>
    <row r="15" spans="1:6" s="6" customFormat="1" ht="15.75" customHeight="1">
      <c r="A15" s="7">
        <v>1060100000</v>
      </c>
      <c r="B15" s="11" t="s">
        <v>8</v>
      </c>
      <c r="C15" s="9">
        <v>240</v>
      </c>
      <c r="D15" s="10">
        <v>13.036849999999999</v>
      </c>
      <c r="E15" s="9">
        <f t="shared" si="0"/>
        <v>5.4320208333333326</v>
      </c>
      <c r="F15" s="9">
        <f>SUM(D15-C15)</f>
        <v>-226.96315000000001</v>
      </c>
    </row>
    <row r="16" spans="1:6" ht="15.75" customHeight="1">
      <c r="A16" s="7">
        <v>1060600000</v>
      </c>
      <c r="B16" s="11" t="s">
        <v>7</v>
      </c>
      <c r="C16" s="9">
        <v>1850</v>
      </c>
      <c r="D16" s="10">
        <v>296.53235000000001</v>
      </c>
      <c r="E16" s="9">
        <f t="shared" si="0"/>
        <v>16.028775675675679</v>
      </c>
      <c r="F16" s="9">
        <f t="shared" si="1"/>
        <v>-1553.46765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1.65</v>
      </c>
      <c r="E17" s="5">
        <f t="shared" si="0"/>
        <v>16.499999999999996</v>
      </c>
      <c r="F17" s="5">
        <f t="shared" si="1"/>
        <v>-8.35</v>
      </c>
    </row>
    <row r="18" spans="1:6" ht="15" customHeight="1">
      <c r="A18" s="7">
        <v>1080400001</v>
      </c>
      <c r="B18" s="8" t="s">
        <v>223</v>
      </c>
      <c r="C18" s="9">
        <v>10</v>
      </c>
      <c r="D18" s="10">
        <v>1.65</v>
      </c>
      <c r="E18" s="9">
        <f t="shared" si="0"/>
        <v>16.499999999999996</v>
      </c>
      <c r="F18" s="9">
        <f t="shared" si="1"/>
        <v>-8.35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529.5</v>
      </c>
      <c r="D25" s="5">
        <f>D26+D29+D31+D34+D36</f>
        <v>174.13453999999999</v>
      </c>
      <c r="E25" s="5">
        <f t="shared" si="0"/>
        <v>32.886598677998109</v>
      </c>
      <c r="F25" s="5">
        <f t="shared" si="1"/>
        <v>-355.36545999999998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499.5</v>
      </c>
      <c r="D26" s="5">
        <f>D27+D28</f>
        <v>149.86634999999998</v>
      </c>
      <c r="E26" s="5">
        <f t="shared" si="0"/>
        <v>30.003273273273269</v>
      </c>
      <c r="F26" s="5">
        <f t="shared" si="1"/>
        <v>-349.63364999999999</v>
      </c>
    </row>
    <row r="27" spans="1:6">
      <c r="A27" s="16">
        <v>1110502510</v>
      </c>
      <c r="B27" s="17" t="s">
        <v>221</v>
      </c>
      <c r="C27" s="12">
        <v>420</v>
      </c>
      <c r="D27" s="10">
        <v>130.82786999999999</v>
      </c>
      <c r="E27" s="9">
        <f t="shared" si="0"/>
        <v>31.149492857142857</v>
      </c>
      <c r="F27" s="9">
        <f t="shared" si="1"/>
        <v>-289.17213000000004</v>
      </c>
    </row>
    <row r="28" spans="1:6">
      <c r="A28" s="7">
        <v>1110503510</v>
      </c>
      <c r="B28" s="11" t="s">
        <v>220</v>
      </c>
      <c r="C28" s="12">
        <v>79.5</v>
      </c>
      <c r="D28" s="10">
        <v>19.03848</v>
      </c>
      <c r="E28" s="9">
        <f t="shared" si="0"/>
        <v>23.947773584905661</v>
      </c>
      <c r="F28" s="9">
        <f t="shared" si="1"/>
        <v>-60.46152</v>
      </c>
    </row>
    <row r="29" spans="1:6" s="15" customFormat="1" ht="19.5" customHeight="1">
      <c r="A29" s="68">
        <v>1130000000</v>
      </c>
      <c r="B29" s="69" t="s">
        <v>128</v>
      </c>
      <c r="C29" s="5">
        <f>C30</f>
        <v>30</v>
      </c>
      <c r="D29" s="5">
        <f>D30</f>
        <v>14.03819</v>
      </c>
      <c r="E29" s="5">
        <f t="shared" si="0"/>
        <v>46.79396666666667</v>
      </c>
      <c r="F29" s="5">
        <f t="shared" si="1"/>
        <v>-15.96181</v>
      </c>
    </row>
    <row r="30" spans="1:6" ht="36.75" customHeight="1">
      <c r="A30" s="7">
        <v>1130206510</v>
      </c>
      <c r="B30" s="8" t="s">
        <v>14</v>
      </c>
      <c r="C30" s="9">
        <v>30</v>
      </c>
      <c r="D30" s="10">
        <v>14.03819</v>
      </c>
      <c r="E30" s="9">
        <f t="shared" si="0"/>
        <v>46.79396666666667</v>
      </c>
      <c r="F30" s="9">
        <f t="shared" si="1"/>
        <v>-15.96181</v>
      </c>
    </row>
    <row r="31" spans="1:6" ht="15.75" customHeight="1">
      <c r="A31" s="70">
        <v>1140000000</v>
      </c>
      <c r="B31" s="71" t="s">
        <v>129</v>
      </c>
      <c r="C31" s="5">
        <f>C32+C33</f>
        <v>0</v>
      </c>
      <c r="D31" s="5">
        <f>D32+D33</f>
        <v>10.23</v>
      </c>
      <c r="E31" s="5" t="e">
        <f t="shared" si="0"/>
        <v>#DIV/0!</v>
      </c>
      <c r="F31" s="5">
        <f t="shared" si="1"/>
        <v>10.23</v>
      </c>
    </row>
    <row r="32" spans="1:6" ht="17.25" customHeight="1">
      <c r="A32" s="16">
        <v>1140200000</v>
      </c>
      <c r="B32" s="18" t="s">
        <v>217</v>
      </c>
      <c r="C32" s="9">
        <v>0</v>
      </c>
      <c r="D32" s="10">
        <v>10.23</v>
      </c>
      <c r="E32" s="9" t="e">
        <f t="shared" si="0"/>
        <v>#DIV/0!</v>
      </c>
      <c r="F32" s="9">
        <f t="shared" si="1"/>
        <v>10.23</v>
      </c>
    </row>
    <row r="33" spans="1:7" ht="17.2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240</v>
      </c>
      <c r="C34" s="9">
        <f>C35</f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15.75" customHeight="1">
      <c r="A35" s="7">
        <v>1163305010</v>
      </c>
      <c r="B35" s="8" t="s">
        <v>255</v>
      </c>
      <c r="C35" s="9"/>
      <c r="D35" s="10"/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15</v>
      </c>
      <c r="C37" s="9">
        <f>C38</f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6">
        <f>SUM(C4,C25)</f>
        <v>3397.4</v>
      </c>
      <c r="D39" s="126">
        <f>SUM(D4,D25)</f>
        <v>903.15484000000004</v>
      </c>
      <c r="E39" s="5">
        <f t="shared" si="0"/>
        <v>26.583706363689881</v>
      </c>
      <c r="F39" s="5">
        <f t="shared" si="1"/>
        <v>-2494.2451599999999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5249.7340000000004</v>
      </c>
      <c r="D40" s="231">
        <f>SUM(D41:D49)</f>
        <v>1225.6046299999998</v>
      </c>
      <c r="E40" s="5">
        <f t="shared" si="0"/>
        <v>23.346032960908108</v>
      </c>
      <c r="F40" s="5">
        <f t="shared" si="1"/>
        <v>-4024.1293700000006</v>
      </c>
      <c r="G40" s="19"/>
    </row>
    <row r="41" spans="1:7" ht="15" customHeight="1">
      <c r="A41" s="16">
        <v>2021000000</v>
      </c>
      <c r="B41" s="17" t="s">
        <v>18</v>
      </c>
      <c r="C41" s="12">
        <v>1697.1</v>
      </c>
      <c r="D41" s="259">
        <v>848.55600000000004</v>
      </c>
      <c r="E41" s="9">
        <f t="shared" si="0"/>
        <v>50.000353544281431</v>
      </c>
      <c r="F41" s="9">
        <f t="shared" si="1"/>
        <v>-848.54399999999987</v>
      </c>
    </row>
    <row r="42" spans="1:7" ht="15" customHeight="1">
      <c r="A42" s="16">
        <v>2021500200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1951.951</v>
      </c>
      <c r="D43" s="10">
        <v>292.48399999999998</v>
      </c>
      <c r="E43" s="9">
        <f t="shared" si="0"/>
        <v>14.984187615365343</v>
      </c>
      <c r="F43" s="9">
        <f t="shared" si="1"/>
        <v>-1659.4670000000001</v>
      </c>
    </row>
    <row r="44" spans="1:7" ht="18.75" customHeight="1">
      <c r="A44" s="16">
        <v>2023000000</v>
      </c>
      <c r="B44" s="17" t="s">
        <v>20</v>
      </c>
      <c r="C44" s="12">
        <v>103.383</v>
      </c>
      <c r="D44" s="184">
        <v>51.764000000000003</v>
      </c>
      <c r="E44" s="9">
        <f t="shared" si="0"/>
        <v>50.07012758383874</v>
      </c>
      <c r="F44" s="9">
        <f t="shared" si="1"/>
        <v>-51.618999999999993</v>
      </c>
    </row>
    <row r="45" spans="1:7" ht="21.75" customHeight="1">
      <c r="A45" s="16">
        <v>2024000000</v>
      </c>
      <c r="B45" s="17" t="s">
        <v>21</v>
      </c>
      <c r="C45" s="12">
        <v>1304.7</v>
      </c>
      <c r="D45" s="185">
        <v>32.82</v>
      </c>
      <c r="E45" s="9">
        <f t="shared" si="0"/>
        <v>2.5155208093814672</v>
      </c>
      <c r="F45" s="9">
        <f t="shared" si="1"/>
        <v>-1271.8800000000001</v>
      </c>
    </row>
    <row r="46" spans="1:7" ht="19.5" customHeight="1">
      <c r="A46" s="16">
        <v>2020900000</v>
      </c>
      <c r="B46" s="18" t="s">
        <v>22</v>
      </c>
      <c r="C46" s="12"/>
      <c r="D46" s="185"/>
      <c r="E46" s="9" t="e">
        <f t="shared" si="0"/>
        <v>#DIV/0!</v>
      </c>
      <c r="F46" s="9">
        <f t="shared" si="1"/>
        <v>0</v>
      </c>
    </row>
    <row r="47" spans="1:7" ht="18" customHeight="1">
      <c r="A47" s="7">
        <v>2190500005</v>
      </c>
      <c r="B47" s="11" t="s">
        <v>23</v>
      </c>
      <c r="C47" s="10">
        <v>0</v>
      </c>
      <c r="D47" s="261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288</v>
      </c>
      <c r="C48" s="10">
        <v>192.6</v>
      </c>
      <c r="D48" s="10"/>
      <c r="E48" s="9">
        <f>SUM(D48/C48*100)</f>
        <v>0</v>
      </c>
      <c r="F48" s="9">
        <f>SUM(D48-C48)</f>
        <v>-192.6</v>
      </c>
    </row>
    <row r="49" spans="1:8" s="6" customFormat="1" ht="20.25" customHeight="1">
      <c r="A49" s="242">
        <v>2190000010</v>
      </c>
      <c r="B49" s="243" t="s">
        <v>23</v>
      </c>
      <c r="C49" s="12">
        <v>0</v>
      </c>
      <c r="D49" s="476">
        <v>-1.9369999999999998E-2</v>
      </c>
      <c r="E49" s="9" t="e">
        <f t="shared" si="0"/>
        <v>#DIV/0!</v>
      </c>
      <c r="F49" s="9">
        <f t="shared" si="1"/>
        <v>-1.9369999999999998E-2</v>
      </c>
    </row>
    <row r="50" spans="1:8" s="6" customFormat="1" ht="19.5" customHeight="1">
      <c r="A50" s="3"/>
      <c r="B50" s="4" t="s">
        <v>25</v>
      </c>
      <c r="C50" s="247">
        <f>C39+C40</f>
        <v>8647.134</v>
      </c>
      <c r="D50" s="248">
        <f>D39+D40</f>
        <v>2128.75947</v>
      </c>
      <c r="E50" s="5">
        <f t="shared" si="0"/>
        <v>24.618092769234291</v>
      </c>
      <c r="F50" s="5">
        <f t="shared" si="1"/>
        <v>-6518.37453</v>
      </c>
      <c r="G50" s="94"/>
      <c r="H50" s="265"/>
    </row>
    <row r="51" spans="1:8" s="6" customFormat="1">
      <c r="A51" s="3"/>
      <c r="B51" s="21" t="s">
        <v>306</v>
      </c>
      <c r="C51" s="93">
        <f>C50-C97</f>
        <v>-587.65905999999995</v>
      </c>
      <c r="D51" s="93">
        <f>D50-D97</f>
        <v>82.613100000000031</v>
      </c>
      <c r="E51" s="22"/>
      <c r="F51" s="22"/>
    </row>
    <row r="52" spans="1:8">
      <c r="A52" s="23"/>
      <c r="B52" s="24"/>
      <c r="C52" s="239"/>
      <c r="D52" s="239" t="s">
        <v>319</v>
      </c>
      <c r="E52" s="26"/>
      <c r="F52" s="92"/>
    </row>
    <row r="53" spans="1:8" ht="42.75" customHeight="1">
      <c r="A53" s="28" t="s">
        <v>0</v>
      </c>
      <c r="B53" s="28" t="s">
        <v>26</v>
      </c>
      <c r="C53" s="72" t="s">
        <v>405</v>
      </c>
      <c r="D53" s="73" t="s">
        <v>418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2.5" customHeight="1">
      <c r="A55" s="30" t="s">
        <v>27</v>
      </c>
      <c r="B55" s="31" t="s">
        <v>28</v>
      </c>
      <c r="C55" s="180">
        <f>C56+C57+C58+C59+C60+C62+C61</f>
        <v>1552.8000000000002</v>
      </c>
      <c r="D55" s="32">
        <f>D56+D57+D58+D59+D60+D62+D61</f>
        <v>668.46460000000002</v>
      </c>
      <c r="E55" s="34">
        <f>SUM(D55/C55*100)</f>
        <v>43.048982483256047</v>
      </c>
      <c r="F55" s="34">
        <f>SUM(D55-C55)</f>
        <v>-884.33540000000016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4.25" customHeight="1">
      <c r="A57" s="35" t="s">
        <v>31</v>
      </c>
      <c r="B57" s="39" t="s">
        <v>32</v>
      </c>
      <c r="C57" s="37">
        <v>1476.4</v>
      </c>
      <c r="D57" s="37">
        <v>657.46460000000002</v>
      </c>
      <c r="E57" s="34">
        <f>SUM(D57/C57*100)</f>
        <v>44.531603901381736</v>
      </c>
      <c r="F57" s="38">
        <f t="shared" ref="F57:F97" si="3">SUM(D57-C57)</f>
        <v>-818.93540000000007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.75" customHeight="1">
      <c r="A60" s="35" t="s">
        <v>37</v>
      </c>
      <c r="B60" s="39" t="s">
        <v>38</v>
      </c>
      <c r="C60" s="37">
        <v>18.399999999999999</v>
      </c>
      <c r="D60" s="37">
        <v>0</v>
      </c>
      <c r="E60" s="38">
        <f t="shared" ref="E60:E97" si="4">SUM(D60/C60*100)</f>
        <v>0</v>
      </c>
      <c r="F60" s="38">
        <f t="shared" si="3"/>
        <v>-18.399999999999999</v>
      </c>
    </row>
    <row r="61" spans="1:8">
      <c r="A61" s="35" t="s">
        <v>39</v>
      </c>
      <c r="B61" s="39" t="s">
        <v>40</v>
      </c>
      <c r="C61" s="40">
        <v>39.476999999999997</v>
      </c>
      <c r="D61" s="40">
        <v>0</v>
      </c>
      <c r="E61" s="38">
        <f t="shared" si="4"/>
        <v>0</v>
      </c>
      <c r="F61" s="38">
        <f t="shared" si="3"/>
        <v>-39.476999999999997</v>
      </c>
    </row>
    <row r="62" spans="1:8" ht="19.5" customHeight="1">
      <c r="A62" s="35" t="s">
        <v>41</v>
      </c>
      <c r="B62" s="39" t="s">
        <v>42</v>
      </c>
      <c r="C62" s="37">
        <v>18.523</v>
      </c>
      <c r="D62" s="37">
        <v>11</v>
      </c>
      <c r="E62" s="38">
        <f t="shared" si="4"/>
        <v>59.385628677859955</v>
      </c>
      <c r="F62" s="38">
        <f t="shared" si="3"/>
        <v>-7.5229999999999997</v>
      </c>
    </row>
    <row r="63" spans="1:8" s="6" customFormat="1">
      <c r="A63" s="41" t="s">
        <v>43</v>
      </c>
      <c r="B63" s="42" t="s">
        <v>44</v>
      </c>
      <c r="C63" s="32">
        <f>C64</f>
        <v>103.383</v>
      </c>
      <c r="D63" s="32">
        <f>D64</f>
        <v>14.842560000000001</v>
      </c>
      <c r="E63" s="34">
        <f t="shared" si="4"/>
        <v>14.356867183192595</v>
      </c>
      <c r="F63" s="34">
        <f t="shared" si="3"/>
        <v>-88.54043999999999</v>
      </c>
    </row>
    <row r="64" spans="1:8">
      <c r="A64" s="43" t="s">
        <v>45</v>
      </c>
      <c r="B64" s="44" t="s">
        <v>46</v>
      </c>
      <c r="C64" s="37">
        <v>103.383</v>
      </c>
      <c r="D64" s="37">
        <v>14.842560000000001</v>
      </c>
      <c r="E64" s="38">
        <f t="shared" si="4"/>
        <v>14.356867183192595</v>
      </c>
      <c r="F64" s="38">
        <f t="shared" si="3"/>
        <v>-88.54043999999999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28.5</v>
      </c>
      <c r="D65" s="32">
        <f>SUM(D68+D69+D70)</f>
        <v>19.411480000000001</v>
      </c>
      <c r="E65" s="34">
        <f t="shared" si="4"/>
        <v>68.110456140350877</v>
      </c>
      <c r="F65" s="34">
        <f t="shared" si="3"/>
        <v>-9.088519999999999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.75" customHeight="1">
      <c r="A68" s="46" t="s">
        <v>53</v>
      </c>
      <c r="B68" s="47" t="s">
        <v>54</v>
      </c>
      <c r="C68" s="37">
        <v>3</v>
      </c>
      <c r="D68" s="37">
        <v>2.81148</v>
      </c>
      <c r="E68" s="34">
        <f t="shared" si="4"/>
        <v>93.715999999999994</v>
      </c>
      <c r="F68" s="34">
        <f t="shared" si="3"/>
        <v>-0.18852000000000002</v>
      </c>
    </row>
    <row r="69" spans="1:7">
      <c r="A69" s="46" t="s">
        <v>214</v>
      </c>
      <c r="B69" s="47" t="s">
        <v>215</v>
      </c>
      <c r="C69" s="37">
        <v>23.5</v>
      </c>
      <c r="D69" s="37">
        <v>14.6</v>
      </c>
      <c r="E69" s="34">
        <f t="shared" si="4"/>
        <v>62.127659574468083</v>
      </c>
      <c r="F69" s="34">
        <f t="shared" si="3"/>
        <v>-8.9</v>
      </c>
    </row>
    <row r="70" spans="1:7">
      <c r="A70" s="46" t="s">
        <v>338</v>
      </c>
      <c r="B70" s="47" t="s">
        <v>393</v>
      </c>
      <c r="C70" s="37">
        <v>2</v>
      </c>
      <c r="D70" s="37">
        <v>2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3311.8540600000001</v>
      </c>
      <c r="D71" s="48">
        <f>SUM(D72:D75)</f>
        <v>364.78200000000004</v>
      </c>
      <c r="E71" s="34">
        <f t="shared" si="4"/>
        <v>11.014434615515638</v>
      </c>
      <c r="F71" s="34">
        <f t="shared" si="3"/>
        <v>-2947.07206</v>
      </c>
    </row>
    <row r="72" spans="1:7">
      <c r="A72" s="35" t="s">
        <v>57</v>
      </c>
      <c r="B72" s="39" t="s">
        <v>58</v>
      </c>
      <c r="C72" s="49"/>
      <c r="D72" s="37">
        <v>0</v>
      </c>
      <c r="E72" s="38" t="e">
        <f t="shared" si="4"/>
        <v>#DIV/0!</v>
      </c>
      <c r="F72" s="38">
        <f t="shared" si="3"/>
        <v>0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3190.8540600000001</v>
      </c>
      <c r="D74" s="37">
        <v>324.98200000000003</v>
      </c>
      <c r="E74" s="38">
        <f t="shared" si="4"/>
        <v>10.184796731192401</v>
      </c>
      <c r="F74" s="38">
        <f t="shared" si="3"/>
        <v>-2865.8720600000001</v>
      </c>
    </row>
    <row r="75" spans="1:7">
      <c r="A75" s="35" t="s">
        <v>63</v>
      </c>
      <c r="B75" s="39" t="s">
        <v>64</v>
      </c>
      <c r="C75" s="49">
        <v>121</v>
      </c>
      <c r="D75" s="37">
        <v>39.799999999999997</v>
      </c>
      <c r="E75" s="38">
        <f t="shared" si="4"/>
        <v>32.892561983471076</v>
      </c>
      <c r="F75" s="38">
        <f t="shared" si="3"/>
        <v>-81.2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2722.7560000000003</v>
      </c>
      <c r="D76" s="32">
        <f>SUM(D77:D79)</f>
        <v>403.60873000000004</v>
      </c>
      <c r="E76" s="34">
        <f t="shared" si="4"/>
        <v>14.823536519614683</v>
      </c>
      <c r="F76" s="34">
        <f t="shared" si="3"/>
        <v>-2319.1472700000004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8" customHeight="1">
      <c r="A78" s="35" t="s">
        <v>69</v>
      </c>
      <c r="B78" s="51" t="s">
        <v>70</v>
      </c>
      <c r="C78" s="37">
        <v>2167.4560000000001</v>
      </c>
      <c r="D78" s="37">
        <v>167.80331000000001</v>
      </c>
      <c r="E78" s="38">
        <f t="shared" si="4"/>
        <v>7.7419477027446</v>
      </c>
      <c r="F78" s="38">
        <f t="shared" si="3"/>
        <v>-1999.6526900000001</v>
      </c>
    </row>
    <row r="79" spans="1:7">
      <c r="A79" s="35" t="s">
        <v>71</v>
      </c>
      <c r="B79" s="39" t="s">
        <v>72</v>
      </c>
      <c r="C79" s="37">
        <v>555.29999999999995</v>
      </c>
      <c r="D79" s="37">
        <v>235.80542</v>
      </c>
      <c r="E79" s="38">
        <f t="shared" si="4"/>
        <v>42.464509274266163</v>
      </c>
      <c r="F79" s="38">
        <f t="shared" si="3"/>
        <v>-319.49457999999993</v>
      </c>
    </row>
    <row r="80" spans="1:7" s="6" customFormat="1">
      <c r="A80" s="30" t="s">
        <v>83</v>
      </c>
      <c r="B80" s="31" t="s">
        <v>84</v>
      </c>
      <c r="C80" s="32">
        <f>C81</f>
        <v>1505.5</v>
      </c>
      <c r="D80" s="32">
        <f>SUM(D81)</f>
        <v>570</v>
      </c>
      <c r="E80" s="34">
        <f t="shared" si="4"/>
        <v>37.86117568913982</v>
      </c>
      <c r="F80" s="34">
        <f t="shared" si="3"/>
        <v>-935.5</v>
      </c>
    </row>
    <row r="81" spans="1:6" ht="15.75" customHeight="1">
      <c r="A81" s="35" t="s">
        <v>85</v>
      </c>
      <c r="B81" s="39" t="s">
        <v>229</v>
      </c>
      <c r="C81" s="37">
        <v>1505.5</v>
      </c>
      <c r="D81" s="37">
        <v>570</v>
      </c>
      <c r="E81" s="38">
        <f t="shared" si="4"/>
        <v>37.86117568913982</v>
      </c>
      <c r="F81" s="38">
        <f t="shared" si="3"/>
        <v>-935.5</v>
      </c>
    </row>
    <row r="82" spans="1:6" s="6" customFormat="1" ht="0.7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87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89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90</v>
      </c>
      <c r="B86" s="39" t="s">
        <v>91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92</v>
      </c>
      <c r="B87" s="31" t="s">
        <v>93</v>
      </c>
      <c r="C87" s="32">
        <f>C88+C89+C90+C91+C92</f>
        <v>10</v>
      </c>
      <c r="D87" s="32">
        <f>D88+D89+D90+D91+D92</f>
        <v>5.0369999999999999</v>
      </c>
      <c r="E87" s="38">
        <f t="shared" si="4"/>
        <v>50.370000000000005</v>
      </c>
      <c r="F87" s="22">
        <f>F88+F89+F90+F91+F92</f>
        <v>-4.9630000000000001</v>
      </c>
    </row>
    <row r="88" spans="1:6" ht="17.25" customHeight="1">
      <c r="A88" s="35" t="s">
        <v>94</v>
      </c>
      <c r="B88" s="39" t="s">
        <v>95</v>
      </c>
      <c r="C88" s="37">
        <v>10</v>
      </c>
      <c r="D88" s="37">
        <v>5.0369999999999999</v>
      </c>
      <c r="E88" s="38">
        <f t="shared" si="4"/>
        <v>50.370000000000005</v>
      </c>
      <c r="F88" s="38">
        <f>SUM(D88-C88)</f>
        <v>-4.9630000000000001</v>
      </c>
    </row>
    <row r="89" spans="1:6" ht="15.75" hidden="1" customHeight="1">
      <c r="A89" s="35" t="s">
        <v>96</v>
      </c>
      <c r="B89" s="39" t="s">
        <v>97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113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114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115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116</v>
      </c>
      <c r="C97" s="250">
        <f>C55+C63+C71+C76+C80+C82+C87+C65+C93</f>
        <v>9234.79306</v>
      </c>
      <c r="D97" s="250">
        <f>D55+D63+D71+D76+D80+D82+D87+D65+D93</f>
        <v>2046.1463699999999</v>
      </c>
      <c r="E97" s="34">
        <f t="shared" si="4"/>
        <v>22.156927141797802</v>
      </c>
      <c r="F97" s="34">
        <f t="shared" si="3"/>
        <v>-7188.6466899999996</v>
      </c>
      <c r="G97" s="197"/>
      <c r="H97" s="197"/>
    </row>
    <row r="98" spans="1:8">
      <c r="C98" s="125"/>
      <c r="D98" s="101"/>
    </row>
    <row r="99" spans="1:8" s="65" customFormat="1" ht="16.5" customHeight="1">
      <c r="A99" s="63" t="s">
        <v>117</v>
      </c>
      <c r="B99" s="63"/>
      <c r="C99" s="182"/>
      <c r="D99" s="182"/>
      <c r="E99" s="64"/>
    </row>
    <row r="100" spans="1:8" s="65" customFormat="1" ht="20.25" customHeight="1">
      <c r="A100" s="66" t="s">
        <v>118</v>
      </c>
      <c r="B100" s="66"/>
      <c r="C100" s="65" t="s">
        <v>119</v>
      </c>
    </row>
    <row r="101" spans="1:8" ht="13.5" customHeight="1">
      <c r="C101" s="119"/>
    </row>
    <row r="103" spans="1:8" ht="5.25" customHeight="1"/>
    <row r="142" hidden="1"/>
  </sheetData>
  <customSheetViews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1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2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3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7"/>
    </customSheetView>
    <customSheetView guid="{B30CE22D-C12F-4E12-8BB9-3AAE0A6991CC}" scale="70" showPageBreaks="1" printArea="1" hiddenRows="1" view="pageBreakPreview" topLeftCell="A43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8"/>
    </customSheetView>
    <customSheetView guid="{61528DAC-5C4C-48F4-ADE2-8A724B05A086}" scale="70" showPageBreaks="1" printArea="1" hiddenRows="1" view="pageBreakPreview" topLeftCell="A37">
      <selection activeCell="C88" sqref="C88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43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1"/>
  <sheetViews>
    <sheetView view="pageBreakPreview" topLeftCell="A34" zoomScale="70" zoomScaleSheetLayoutView="70" workbookViewId="0">
      <selection activeCell="D89" sqref="D89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1.855468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437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1141.69</v>
      </c>
      <c r="D4" s="5">
        <f>D5+D12+D14+D17+D7</f>
        <v>414.59815000000003</v>
      </c>
      <c r="E4" s="5">
        <f>SUM(D4/C4*100)</f>
        <v>36.314424230745651</v>
      </c>
      <c r="F4" s="5">
        <f>SUM(D4-C4)</f>
        <v>-727.09185000000002</v>
      </c>
    </row>
    <row r="5" spans="1:6" s="6" customFormat="1">
      <c r="A5" s="68">
        <v>1010000000</v>
      </c>
      <c r="B5" s="67" t="s">
        <v>5</v>
      </c>
      <c r="C5" s="5">
        <f>C6</f>
        <v>155.1</v>
      </c>
      <c r="D5" s="5">
        <f>D6</f>
        <v>95.206800000000001</v>
      </c>
      <c r="E5" s="5">
        <f t="shared" ref="E5:E51" si="0">SUM(D5/C5*100)</f>
        <v>61.384139264990331</v>
      </c>
      <c r="F5" s="5">
        <f t="shared" ref="F5:F51" si="1">SUM(D5-C5)</f>
        <v>-59.893199999999993</v>
      </c>
    </row>
    <row r="6" spans="1:6">
      <c r="A6" s="7">
        <v>1010200001</v>
      </c>
      <c r="B6" s="8" t="s">
        <v>224</v>
      </c>
      <c r="C6" s="9">
        <v>155.1</v>
      </c>
      <c r="D6" s="10">
        <v>95.206800000000001</v>
      </c>
      <c r="E6" s="9">
        <f t="shared" ref="E6:E11" si="2">SUM(D6/C6*100)</f>
        <v>61.384139264990331</v>
      </c>
      <c r="F6" s="9">
        <f t="shared" si="1"/>
        <v>-59.893199999999993</v>
      </c>
    </row>
    <row r="7" spans="1:6" ht="31.5">
      <c r="A7" s="3">
        <v>1030000000</v>
      </c>
      <c r="B7" s="13" t="s">
        <v>266</v>
      </c>
      <c r="C7" s="5">
        <f>C8+C10+C9</f>
        <v>536.59</v>
      </c>
      <c r="D7" s="231">
        <f>D8+D10+D9+D11</f>
        <v>278.23147</v>
      </c>
      <c r="E7" s="5">
        <f t="shared" si="2"/>
        <v>51.851780689166773</v>
      </c>
      <c r="F7" s="5">
        <f t="shared" si="1"/>
        <v>-258.35853000000003</v>
      </c>
    </row>
    <row r="8" spans="1:6">
      <c r="A8" s="7">
        <v>1030223001</v>
      </c>
      <c r="B8" s="8" t="s">
        <v>268</v>
      </c>
      <c r="C8" s="9">
        <v>200.15</v>
      </c>
      <c r="D8" s="10">
        <v>125.81776000000001</v>
      </c>
      <c r="E8" s="9">
        <f t="shared" si="2"/>
        <v>62.861733699725207</v>
      </c>
      <c r="F8" s="9">
        <f t="shared" si="1"/>
        <v>-74.332239999999999</v>
      </c>
    </row>
    <row r="9" spans="1:6">
      <c r="A9" s="7">
        <v>1030224001</v>
      </c>
      <c r="B9" s="8" t="s">
        <v>274</v>
      </c>
      <c r="C9" s="9">
        <v>2.15</v>
      </c>
      <c r="D9" s="10">
        <v>0.94779000000000002</v>
      </c>
      <c r="E9" s="9">
        <f t="shared" si="2"/>
        <v>44.083255813953492</v>
      </c>
      <c r="F9" s="9">
        <f t="shared" si="1"/>
        <v>-1.20221</v>
      </c>
    </row>
    <row r="10" spans="1:6">
      <c r="A10" s="7">
        <v>1030225001</v>
      </c>
      <c r="B10" s="8" t="s">
        <v>267</v>
      </c>
      <c r="C10" s="9">
        <v>334.29</v>
      </c>
      <c r="D10" s="10">
        <v>174.95067</v>
      </c>
      <c r="E10" s="9">
        <f t="shared" si="2"/>
        <v>52.334999551287794</v>
      </c>
      <c r="F10" s="9">
        <f t="shared" si="1"/>
        <v>-159.33933000000002</v>
      </c>
    </row>
    <row r="11" spans="1:6">
      <c r="A11" s="7">
        <v>1030226001</v>
      </c>
      <c r="B11" s="8" t="s">
        <v>276</v>
      </c>
      <c r="C11" s="9">
        <v>0</v>
      </c>
      <c r="D11" s="10">
        <v>-23.484749999999998</v>
      </c>
      <c r="E11" s="9" t="e">
        <f t="shared" si="2"/>
        <v>#DIV/0!</v>
      </c>
      <c r="F11" s="9">
        <f t="shared" si="1"/>
        <v>-23.484749999999998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2.8047</v>
      </c>
      <c r="E12" s="5">
        <f t="shared" si="0"/>
        <v>28.047000000000001</v>
      </c>
      <c r="F12" s="5">
        <f t="shared" si="1"/>
        <v>-7.1952999999999996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2.8047</v>
      </c>
      <c r="E13" s="9">
        <f t="shared" si="0"/>
        <v>28.047000000000001</v>
      </c>
      <c r="F13" s="9">
        <f t="shared" si="1"/>
        <v>-7.1952999999999996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430</v>
      </c>
      <c r="D14" s="5">
        <f>D15+D16</f>
        <v>36.355179999999997</v>
      </c>
      <c r="E14" s="5">
        <f t="shared" si="0"/>
        <v>8.454693023255814</v>
      </c>
      <c r="F14" s="5">
        <f t="shared" si="1"/>
        <v>-393.64481999999998</v>
      </c>
    </row>
    <row r="15" spans="1:6" s="6" customFormat="1" ht="15.75" customHeight="1">
      <c r="A15" s="7">
        <v>1060100000</v>
      </c>
      <c r="B15" s="11" t="s">
        <v>8</v>
      </c>
      <c r="C15" s="9">
        <v>117</v>
      </c>
      <c r="D15" s="10">
        <v>8.8031699999999997</v>
      </c>
      <c r="E15" s="9">
        <f t="shared" si="0"/>
        <v>7.5240769230769224</v>
      </c>
      <c r="F15" s="9">
        <f>SUM(D15-C15)</f>
        <v>-108.19683000000001</v>
      </c>
    </row>
    <row r="16" spans="1:6" ht="15.75" customHeight="1">
      <c r="A16" s="7">
        <v>1060600000</v>
      </c>
      <c r="B16" s="11" t="s">
        <v>7</v>
      </c>
      <c r="C16" s="9">
        <v>313</v>
      </c>
      <c r="D16" s="10">
        <v>27.552009999999999</v>
      </c>
      <c r="E16" s="9">
        <f t="shared" si="0"/>
        <v>8.8025591054313104</v>
      </c>
      <c r="F16" s="9">
        <f t="shared" si="1"/>
        <v>-285.44799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2</v>
      </c>
      <c r="E17" s="5">
        <f t="shared" si="0"/>
        <v>20</v>
      </c>
      <c r="F17" s="5">
        <f t="shared" si="1"/>
        <v>-8</v>
      </c>
    </row>
    <row r="18" spans="1:6" ht="17.25" customHeight="1">
      <c r="A18" s="7">
        <v>1080400001</v>
      </c>
      <c r="B18" s="8" t="s">
        <v>257</v>
      </c>
      <c r="C18" s="9">
        <v>10</v>
      </c>
      <c r="D18" s="10">
        <v>2</v>
      </c>
      <c r="E18" s="9">
        <f t="shared" si="0"/>
        <v>20</v>
      </c>
      <c r="F18" s="9">
        <f t="shared" si="1"/>
        <v>-8</v>
      </c>
    </row>
    <row r="19" spans="1:6" ht="49.5" hidden="1" customHeight="1">
      <c r="A19" s="7">
        <v>1080714001</v>
      </c>
      <c r="B19" s="8" t="s">
        <v>222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55</v>
      </c>
      <c r="D25" s="5">
        <f>D26+D29+D31+D34</f>
        <v>197.96615</v>
      </c>
      <c r="E25" s="5">
        <f t="shared" si="0"/>
        <v>359.93845454545453</v>
      </c>
      <c r="F25" s="5">
        <f t="shared" si="1"/>
        <v>142.96615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55</v>
      </c>
      <c r="D26" s="5">
        <f>D27+D28</f>
        <v>22</v>
      </c>
      <c r="E26" s="5">
        <f t="shared" si="0"/>
        <v>40</v>
      </c>
      <c r="F26" s="5">
        <f t="shared" si="1"/>
        <v>-33</v>
      </c>
    </row>
    <row r="27" spans="1:6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220</v>
      </c>
      <c r="C28" s="12">
        <v>55</v>
      </c>
      <c r="D28" s="10">
        <v>22</v>
      </c>
      <c r="E28" s="9">
        <f t="shared" si="0"/>
        <v>40</v>
      </c>
      <c r="F28" s="9">
        <f t="shared" si="1"/>
        <v>-33</v>
      </c>
    </row>
    <row r="29" spans="1:6" s="15" customFormat="1" ht="27.75" customHeight="1">
      <c r="A29" s="68">
        <v>1130000000</v>
      </c>
      <c r="B29" s="69" t="s">
        <v>128</v>
      </c>
      <c r="C29" s="5">
        <f>C30</f>
        <v>0</v>
      </c>
      <c r="D29" s="5">
        <f>D30</f>
        <v>175.96615</v>
      </c>
      <c r="E29" s="5" t="e">
        <f t="shared" si="0"/>
        <v>#DIV/0!</v>
      </c>
      <c r="F29" s="5">
        <f t="shared" si="1"/>
        <v>175.96615</v>
      </c>
    </row>
    <row r="30" spans="1:6" ht="15.75" customHeight="1">
      <c r="A30" s="7">
        <v>1130206005</v>
      </c>
      <c r="B30" s="8" t="s">
        <v>14</v>
      </c>
      <c r="C30" s="9">
        <v>0</v>
      </c>
      <c r="D30" s="10">
        <v>175.96615</v>
      </c>
      <c r="E30" s="9" t="e">
        <f t="shared" si="0"/>
        <v>#DIV/0!</v>
      </c>
      <c r="F30" s="9">
        <f t="shared" si="1"/>
        <v>175.96615</v>
      </c>
    </row>
    <row r="31" spans="1:6" ht="14.2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4.25" hidden="1" customHeight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15</v>
      </c>
      <c r="C35" s="9">
        <v>0</v>
      </c>
      <c r="D35" s="9"/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16</v>
      </c>
      <c r="C37" s="126">
        <f>SUM(C4,C25)</f>
        <v>1196.69</v>
      </c>
      <c r="D37" s="126">
        <f>D4+D25</f>
        <v>612.5643</v>
      </c>
      <c r="E37" s="5">
        <f t="shared" si="0"/>
        <v>51.18821917121393</v>
      </c>
      <c r="F37" s="5">
        <f t="shared" si="1"/>
        <v>-584.12570000000005</v>
      </c>
    </row>
    <row r="38" spans="1:7" s="6" customFormat="1">
      <c r="A38" s="3">
        <v>2000000000</v>
      </c>
      <c r="B38" s="4" t="s">
        <v>17</v>
      </c>
      <c r="C38" s="231">
        <f>C39+C40+C41+C42+C49+C50</f>
        <v>10613.3747</v>
      </c>
      <c r="D38" s="5">
        <f>D39+D40+D41+D42+D49+D50</f>
        <v>3688.52232</v>
      </c>
      <c r="E38" s="5">
        <f t="shared" si="0"/>
        <v>34.753529619565768</v>
      </c>
      <c r="F38" s="5">
        <f t="shared" si="1"/>
        <v>-6924.8523800000003</v>
      </c>
      <c r="G38" s="19"/>
    </row>
    <row r="39" spans="1:7" ht="16.5" customHeight="1">
      <c r="A39" s="16">
        <v>2021000000</v>
      </c>
      <c r="B39" s="17" t="s">
        <v>18</v>
      </c>
      <c r="C39" s="12">
        <v>5087.2</v>
      </c>
      <c r="D39" s="20">
        <v>2543.616</v>
      </c>
      <c r="E39" s="9">
        <v>0</v>
      </c>
      <c r="F39" s="9">
        <f t="shared" si="1"/>
        <v>-2543.5839999999998</v>
      </c>
    </row>
    <row r="40" spans="1:7" ht="17.25" customHeight="1">
      <c r="A40" s="16">
        <v>2021500200</v>
      </c>
      <c r="B40" s="17" t="s">
        <v>227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>
      <c r="A41" s="16">
        <v>2022000000</v>
      </c>
      <c r="B41" s="17" t="s">
        <v>19</v>
      </c>
      <c r="C41" s="12">
        <v>2121.471</v>
      </c>
      <c r="D41" s="10">
        <v>755.25253999999995</v>
      </c>
      <c r="E41" s="9">
        <f t="shared" si="0"/>
        <v>35.600417823293363</v>
      </c>
      <c r="F41" s="9">
        <f t="shared" si="1"/>
        <v>-1366.2184600000001</v>
      </c>
    </row>
    <row r="42" spans="1:7" ht="17.25" customHeight="1">
      <c r="A42" s="16">
        <v>2023000000</v>
      </c>
      <c r="B42" s="17" t="s">
        <v>20</v>
      </c>
      <c r="C42" s="12">
        <v>3036.2287000000001</v>
      </c>
      <c r="D42" s="184">
        <v>103.52878</v>
      </c>
      <c r="E42" s="9">
        <f t="shared" si="0"/>
        <v>3.4097820101628047</v>
      </c>
      <c r="F42" s="9">
        <f t="shared" si="1"/>
        <v>-2932.69992</v>
      </c>
    </row>
    <row r="43" spans="1:7" ht="18" hidden="1" customHeight="1">
      <c r="A43" s="16">
        <v>2020400000</v>
      </c>
      <c r="B43" s="17" t="s">
        <v>21</v>
      </c>
      <c r="C43" s="12"/>
      <c r="D43" s="185"/>
      <c r="E43" s="9" t="e">
        <f t="shared" si="0"/>
        <v>#DIV/0!</v>
      </c>
      <c r="F43" s="9">
        <f t="shared" si="1"/>
        <v>0</v>
      </c>
    </row>
    <row r="44" spans="1:7" ht="14.25" hidden="1" customHeight="1">
      <c r="A44" s="16">
        <v>2020900000</v>
      </c>
      <c r="B44" s="18" t="s">
        <v>22</v>
      </c>
      <c r="C44" s="12"/>
      <c r="D44" s="185"/>
      <c r="E44" s="9" t="e">
        <f t="shared" si="0"/>
        <v>#DIV/0!</v>
      </c>
      <c r="F44" s="9">
        <f t="shared" si="1"/>
        <v>0</v>
      </c>
    </row>
    <row r="45" spans="1:7" ht="16.5" hidden="1" customHeight="1">
      <c r="A45" s="123">
        <v>2180000000</v>
      </c>
      <c r="B45" s="124" t="s">
        <v>287</v>
      </c>
      <c r="C45" s="188">
        <f>C46</f>
        <v>0</v>
      </c>
      <c r="D45" s="240">
        <f>D46</f>
        <v>0</v>
      </c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2180501010</v>
      </c>
      <c r="B46" s="18" t="s">
        <v>286</v>
      </c>
      <c r="C46" s="12">
        <v>0</v>
      </c>
      <c r="D46" s="185">
        <v>0</v>
      </c>
      <c r="E46" s="9" t="e">
        <f t="shared" si="0"/>
        <v>#DIV/0!</v>
      </c>
      <c r="F46" s="9">
        <f t="shared" si="1"/>
        <v>0</v>
      </c>
    </row>
    <row r="47" spans="1:7" ht="15.75" customHeight="1">
      <c r="A47" s="7">
        <v>2190500005</v>
      </c>
      <c r="B47" s="11" t="s">
        <v>23</v>
      </c>
      <c r="C47" s="14"/>
      <c r="D47" s="14"/>
      <c r="E47" s="9" t="e">
        <f t="shared" si="0"/>
        <v>#DIV/0!</v>
      </c>
      <c r="F47" s="9">
        <f t="shared" si="1"/>
        <v>0</v>
      </c>
    </row>
    <row r="48" spans="1:7" s="6" customFormat="1" ht="15.75" customHeight="1">
      <c r="A48" s="3">
        <v>3000000000</v>
      </c>
      <c r="B48" s="13" t="s">
        <v>24</v>
      </c>
      <c r="C48" s="121">
        <v>0</v>
      </c>
      <c r="D48" s="14">
        <v>0</v>
      </c>
      <c r="E48" s="9" t="e">
        <f t="shared" si="0"/>
        <v>#DIV/0!</v>
      </c>
      <c r="F48" s="9">
        <f t="shared" si="1"/>
        <v>0</v>
      </c>
    </row>
    <row r="49" spans="1:8" s="6" customFormat="1" ht="15.75" customHeight="1">
      <c r="A49" s="7">
        <v>2020400000</v>
      </c>
      <c r="B49" s="8" t="s">
        <v>21</v>
      </c>
      <c r="C49" s="12">
        <v>143.375</v>
      </c>
      <c r="D49" s="10">
        <v>41.024999999999999</v>
      </c>
      <c r="E49" s="9">
        <f t="shared" si="0"/>
        <v>28.613775065387969</v>
      </c>
      <c r="F49" s="9">
        <f t="shared" si="1"/>
        <v>-102.35</v>
      </c>
    </row>
    <row r="50" spans="1:8" s="6" customFormat="1" ht="15" customHeight="1">
      <c r="A50" s="7">
        <v>2070500010</v>
      </c>
      <c r="B50" s="11" t="s">
        <v>288</v>
      </c>
      <c r="C50" s="12">
        <v>225.1</v>
      </c>
      <c r="D50" s="10">
        <v>245.1</v>
      </c>
      <c r="E50" s="9">
        <v>0</v>
      </c>
      <c r="F50" s="9">
        <f>SUM(D50-C50)</f>
        <v>20</v>
      </c>
    </row>
    <row r="51" spans="1:8" s="6" customFormat="1" ht="18" customHeight="1">
      <c r="A51" s="3"/>
      <c r="B51" s="4" t="s">
        <v>25</v>
      </c>
      <c r="C51" s="247">
        <f>C37+C38</f>
        <v>11810.064700000001</v>
      </c>
      <c r="D51" s="247">
        <f>D37+D38</f>
        <v>4301.08662</v>
      </c>
      <c r="E51" s="5">
        <f t="shared" si="0"/>
        <v>36.418823514150603</v>
      </c>
      <c r="F51" s="5">
        <f t="shared" si="1"/>
        <v>-7508.9780800000008</v>
      </c>
      <c r="G51" s="94"/>
      <c r="H51" s="197"/>
    </row>
    <row r="52" spans="1:8" s="6" customFormat="1">
      <c r="A52" s="3"/>
      <c r="B52" s="21" t="s">
        <v>306</v>
      </c>
      <c r="C52" s="93">
        <f>C51-C98</f>
        <v>-193.78599999999824</v>
      </c>
      <c r="D52" s="93">
        <f>D51-D98</f>
        <v>352.64573999999993</v>
      </c>
      <c r="E52" s="22"/>
      <c r="F52" s="22"/>
    </row>
    <row r="53" spans="1:8">
      <c r="A53" s="23"/>
      <c r="B53" s="24"/>
      <c r="C53" s="114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405</v>
      </c>
      <c r="D54" s="73" t="s">
        <v>418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5" customHeight="1">
      <c r="A56" s="30" t="s">
        <v>27</v>
      </c>
      <c r="B56" s="31" t="s">
        <v>28</v>
      </c>
      <c r="C56" s="32">
        <f>C57+C58+C59+C60+C61+C63+C62</f>
        <v>1570.6990000000001</v>
      </c>
      <c r="D56" s="33">
        <f>D57+D58+D59+D60+D61+D63+D62</f>
        <v>700.26261</v>
      </c>
      <c r="E56" s="34">
        <f>SUM(D56/C56*100)</f>
        <v>44.582864699092568</v>
      </c>
      <c r="F56" s="34">
        <f>SUM(D56-C56)</f>
        <v>-870.43639000000007</v>
      </c>
    </row>
    <row r="57" spans="1:8" s="6" customFormat="1" ht="16.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14.25" customHeight="1">
      <c r="A58" s="35" t="s">
        <v>31</v>
      </c>
      <c r="B58" s="39" t="s">
        <v>32</v>
      </c>
      <c r="C58" s="37">
        <v>1462.068</v>
      </c>
      <c r="D58" s="37">
        <v>695.76261</v>
      </c>
      <c r="E58" s="38">
        <f t="shared" ref="E58:E98" si="3">SUM(D58/C58*100)</f>
        <v>47.587568430469716</v>
      </c>
      <c r="F58" s="38">
        <f t="shared" ref="F58:F98" si="4">SUM(D58-C58)</f>
        <v>-766.30538999999999</v>
      </c>
    </row>
    <row r="59" spans="1:8" ht="15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18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5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6.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8" ht="18" customHeight="1">
      <c r="A63" s="35" t="s">
        <v>41</v>
      </c>
      <c r="B63" s="39" t="s">
        <v>42</v>
      </c>
      <c r="C63" s="37">
        <v>8.6310000000000002</v>
      </c>
      <c r="D63" s="37">
        <v>4.5</v>
      </c>
      <c r="E63" s="38">
        <f t="shared" si="3"/>
        <v>52.137643378519293</v>
      </c>
      <c r="F63" s="38">
        <f t="shared" si="4"/>
        <v>-4.1310000000000002</v>
      </c>
    </row>
    <row r="64" spans="1:8" s="6" customFormat="1" ht="15" customHeight="1">
      <c r="A64" s="41" t="s">
        <v>43</v>
      </c>
      <c r="B64" s="42" t="s">
        <v>44</v>
      </c>
      <c r="C64" s="32">
        <f>C65</f>
        <v>206.767</v>
      </c>
      <c r="D64" s="32">
        <f>D65</f>
        <v>88.073099999999997</v>
      </c>
      <c r="E64" s="34">
        <f t="shared" si="3"/>
        <v>42.595336780047106</v>
      </c>
      <c r="F64" s="34">
        <f t="shared" si="4"/>
        <v>-118.6939</v>
      </c>
    </row>
    <row r="65" spans="1:7">
      <c r="A65" s="43" t="s">
        <v>45</v>
      </c>
      <c r="B65" s="44" t="s">
        <v>46</v>
      </c>
      <c r="C65" s="37">
        <v>206.767</v>
      </c>
      <c r="D65" s="37">
        <v>88.073099999999997</v>
      </c>
      <c r="E65" s="38">
        <f t="shared" si="3"/>
        <v>42.595336780047106</v>
      </c>
      <c r="F65" s="38">
        <f t="shared" si="4"/>
        <v>-118.6939</v>
      </c>
    </row>
    <row r="66" spans="1:7" s="6" customFormat="1" ht="16.5" customHeight="1">
      <c r="A66" s="30" t="s">
        <v>47</v>
      </c>
      <c r="B66" s="31" t="s">
        <v>48</v>
      </c>
      <c r="C66" s="32">
        <f>C69+C70+C71</f>
        <v>15</v>
      </c>
      <c r="D66" s="32">
        <f>SUM(D69+D70+D71)</f>
        <v>5.8114799999999995</v>
      </c>
      <c r="E66" s="34">
        <f t="shared" si="3"/>
        <v>38.743199999999995</v>
      </c>
      <c r="F66" s="34">
        <f t="shared" si="4"/>
        <v>-9.1885200000000005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5.75" customHeight="1">
      <c r="A69" s="46" t="s">
        <v>53</v>
      </c>
      <c r="B69" s="47" t="s">
        <v>54</v>
      </c>
      <c r="C69" s="96">
        <v>3</v>
      </c>
      <c r="D69" s="37">
        <v>2.81148</v>
      </c>
      <c r="E69" s="34">
        <f t="shared" si="3"/>
        <v>93.715999999999994</v>
      </c>
      <c r="F69" s="34">
        <f t="shared" si="4"/>
        <v>-0.18852000000000002</v>
      </c>
    </row>
    <row r="70" spans="1:7" ht="15.75" customHeight="1">
      <c r="A70" s="46" t="s">
        <v>214</v>
      </c>
      <c r="B70" s="47" t="s">
        <v>215</v>
      </c>
      <c r="C70" s="37">
        <v>10</v>
      </c>
      <c r="D70" s="37">
        <v>3</v>
      </c>
      <c r="E70" s="34">
        <f t="shared" si="3"/>
        <v>30</v>
      </c>
      <c r="F70" s="34">
        <f t="shared" si="4"/>
        <v>-7</v>
      </c>
    </row>
    <row r="71" spans="1:7" ht="15.75" customHeight="1">
      <c r="A71" s="46" t="s">
        <v>338</v>
      </c>
      <c r="B71" s="47" t="s">
        <v>341</v>
      </c>
      <c r="C71" s="37">
        <v>2</v>
      </c>
      <c r="D71" s="37">
        <v>0</v>
      </c>
      <c r="E71" s="34"/>
      <c r="F71" s="34"/>
    </row>
    <row r="72" spans="1:7" s="6" customFormat="1" ht="15" customHeight="1">
      <c r="A72" s="30" t="s">
        <v>55</v>
      </c>
      <c r="B72" s="31" t="s">
        <v>56</v>
      </c>
      <c r="C72" s="48">
        <f>SUM(C73:C76)</f>
        <v>2214.5639999999999</v>
      </c>
      <c r="D72" s="48">
        <f>SUM(D73:D76)</f>
        <v>361.99126999999999</v>
      </c>
      <c r="E72" s="34">
        <f t="shared" si="3"/>
        <v>16.345938523339132</v>
      </c>
      <c r="F72" s="34">
        <f t="shared" si="4"/>
        <v>-1852.5727299999999</v>
      </c>
    </row>
    <row r="73" spans="1:7" ht="17.25" customHeight="1">
      <c r="A73" s="35" t="s">
        <v>57</v>
      </c>
      <c r="B73" s="39" t="s">
        <v>58</v>
      </c>
      <c r="C73" s="49"/>
      <c r="D73" s="37">
        <v>0</v>
      </c>
      <c r="E73" s="38" t="e">
        <f t="shared" si="3"/>
        <v>#DIV/0!</v>
      </c>
      <c r="F73" s="38">
        <f t="shared" si="4"/>
        <v>0</v>
      </c>
    </row>
    <row r="74" spans="1:7" s="6" customFormat="1" ht="19.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2114.5639999999999</v>
      </c>
      <c r="D75" s="37">
        <v>361.99126999999999</v>
      </c>
      <c r="E75" s="38">
        <f t="shared" si="3"/>
        <v>17.118955491533953</v>
      </c>
      <c r="F75" s="38">
        <f t="shared" si="4"/>
        <v>-1752.5727299999999</v>
      </c>
    </row>
    <row r="76" spans="1:7">
      <c r="A76" s="35" t="s">
        <v>63</v>
      </c>
      <c r="B76" s="39" t="s">
        <v>64</v>
      </c>
      <c r="C76" s="49">
        <v>100</v>
      </c>
      <c r="D76" s="37">
        <v>0</v>
      </c>
      <c r="E76" s="38">
        <f t="shared" si="3"/>
        <v>0</v>
      </c>
      <c r="F76" s="38">
        <f t="shared" si="4"/>
        <v>-100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5465.9746999999998</v>
      </c>
      <c r="D77" s="32">
        <f>SUM(D78:D80)</f>
        <v>1691.0112900000001</v>
      </c>
      <c r="E77" s="34">
        <f t="shared" si="3"/>
        <v>30.93704934272748</v>
      </c>
      <c r="F77" s="34">
        <f t="shared" si="4"/>
        <v>-3774.9634099999994</v>
      </c>
    </row>
    <row r="78" spans="1:7" ht="20.25" customHeight="1">
      <c r="A78" s="35" t="s">
        <v>67</v>
      </c>
      <c r="B78" s="51" t="s">
        <v>68</v>
      </c>
      <c r="C78" s="37">
        <v>2829.4616999999998</v>
      </c>
      <c r="D78" s="37"/>
      <c r="E78" s="38">
        <f t="shared" si="3"/>
        <v>0</v>
      </c>
      <c r="F78" s="38">
        <f t="shared" si="4"/>
        <v>-2829.4616999999998</v>
      </c>
    </row>
    <row r="79" spans="1:7" ht="19.5" customHeight="1">
      <c r="A79" s="35" t="s">
        <v>69</v>
      </c>
      <c r="B79" s="51" t="s">
        <v>70</v>
      </c>
      <c r="C79" s="37">
        <v>840</v>
      </c>
      <c r="D79" s="37">
        <v>597.17794000000004</v>
      </c>
      <c r="E79" s="38">
        <f t="shared" si="3"/>
        <v>71.09261190476191</v>
      </c>
      <c r="F79" s="38">
        <f t="shared" si="4"/>
        <v>-242.82205999999996</v>
      </c>
    </row>
    <row r="80" spans="1:7">
      <c r="A80" s="35" t="s">
        <v>71</v>
      </c>
      <c r="B80" s="39" t="s">
        <v>72</v>
      </c>
      <c r="C80" s="37">
        <v>1796.5129999999999</v>
      </c>
      <c r="D80" s="37">
        <v>1093.8333500000001</v>
      </c>
      <c r="E80" s="38">
        <f t="shared" si="3"/>
        <v>60.886470067291476</v>
      </c>
      <c r="F80" s="38">
        <f t="shared" si="4"/>
        <v>-702.67964999999981</v>
      </c>
    </row>
    <row r="81" spans="1:6" s="6" customFormat="1">
      <c r="A81" s="30" t="s">
        <v>83</v>
      </c>
      <c r="B81" s="31" t="s">
        <v>84</v>
      </c>
      <c r="C81" s="32">
        <f>C82</f>
        <v>2480.846</v>
      </c>
      <c r="D81" s="32">
        <f>SUM(D82)</f>
        <v>1097.6711299999999</v>
      </c>
      <c r="E81" s="34">
        <f t="shared" si="3"/>
        <v>44.245839121009524</v>
      </c>
      <c r="F81" s="34">
        <f t="shared" si="4"/>
        <v>-1383.1748700000001</v>
      </c>
    </row>
    <row r="82" spans="1:6" ht="15" customHeight="1">
      <c r="A82" s="35" t="s">
        <v>85</v>
      </c>
      <c r="B82" s="39" t="s">
        <v>229</v>
      </c>
      <c r="C82" s="37">
        <v>2480.846</v>
      </c>
      <c r="D82" s="37">
        <v>1097.6711299999999</v>
      </c>
      <c r="E82" s="38">
        <f t="shared" si="3"/>
        <v>44.245839121009524</v>
      </c>
      <c r="F82" s="38">
        <f t="shared" si="4"/>
        <v>-1383.1748700000001</v>
      </c>
    </row>
    <row r="83" spans="1:6" s="6" customFormat="1" ht="15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96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92</v>
      </c>
      <c r="B88" s="31" t="s">
        <v>93</v>
      </c>
      <c r="C88" s="32">
        <f>C89</f>
        <v>50</v>
      </c>
      <c r="D88" s="32">
        <f>D89+D90+D91+D92+D93</f>
        <v>3.62</v>
      </c>
      <c r="E88" s="38"/>
      <c r="F88" s="22">
        <f>F89+F90+F91+F92+F93</f>
        <v>-46.38</v>
      </c>
    </row>
    <row r="89" spans="1:6" ht="16.5" customHeight="1">
      <c r="A89" s="35" t="s">
        <v>94</v>
      </c>
      <c r="B89" s="39" t="s">
        <v>95</v>
      </c>
      <c r="C89" s="37">
        <v>50</v>
      </c>
      <c r="D89" s="37">
        <v>3.62</v>
      </c>
      <c r="E89" s="38"/>
      <c r="F89" s="38">
        <f>SUM(D89-C89)</f>
        <v>-46.38</v>
      </c>
    </row>
    <row r="90" spans="1:6" ht="1.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9.5" hidden="1" customHeight="1">
      <c r="A94" s="52">
        <v>1400</v>
      </c>
      <c r="B94" s="56" t="s">
        <v>112</v>
      </c>
      <c r="C94" s="48">
        <f>C95+C96+C97</f>
        <v>0</v>
      </c>
      <c r="D94" s="175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116</v>
      </c>
      <c r="C98" s="250">
        <f>C56+C64+C66+C72+C77+C81+C88+C83</f>
        <v>12003.850699999999</v>
      </c>
      <c r="D98" s="250">
        <f>D56+D64+D66+D72+D77+D81+D88+D83</f>
        <v>3948.4408800000001</v>
      </c>
      <c r="E98" s="34">
        <f t="shared" si="3"/>
        <v>32.893118872263216</v>
      </c>
      <c r="F98" s="34">
        <f t="shared" si="4"/>
        <v>-8055.4098199999989</v>
      </c>
    </row>
    <row r="99" spans="1:6">
      <c r="D99" s="179"/>
    </row>
    <row r="100" spans="1:6" s="65" customFormat="1" ht="18" customHeight="1">
      <c r="A100" s="63" t="s">
        <v>117</v>
      </c>
      <c r="B100" s="63"/>
      <c r="C100" s="130"/>
      <c r="D100" s="64"/>
      <c r="E100" s="64"/>
    </row>
    <row r="101" spans="1:6" s="65" customFormat="1" ht="12.75">
      <c r="A101" s="66" t="s">
        <v>118</v>
      </c>
      <c r="B101" s="66"/>
      <c r="C101" s="65" t="s">
        <v>119</v>
      </c>
    </row>
    <row r="102" spans="1:6">
      <c r="C102" s="119"/>
    </row>
    <row r="141" hidden="1"/>
  </sheetData>
  <customSheetViews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1"/>
    </customSheetView>
    <customSheetView guid="{B31C8DB7-3E78-4144-A6B5-8DE36DE63F0E}" topLeftCell="A53">
      <selection activeCell="D82" sqref="D82"/>
      <pageMargins left="0.7" right="0.7" top="0.75" bottom="0.75" header="0.3" footer="0.3"/>
      <pageSetup paperSize="9" scale="52" orientation="portrait" r:id="rId2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3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printArea="1" hiddenRows="1" view="pageBreakPreview" topLeftCell="A28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61528DAC-5C4C-48F4-ADE2-8A724B05A086}" scale="70" showPageBreaks="1" hiddenRows="1" view="pageBreakPreview" topLeftCell="A39">
      <selection activeCell="D89" sqref="D89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41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43" zoomScale="70" zoomScaleSheetLayoutView="70" workbookViewId="0">
      <selection activeCell="D90" sqref="D90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30" t="s">
        <v>438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54.75" customHeight="1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2577.0500000000002</v>
      </c>
      <c r="D4" s="5">
        <f>D5+D12+D14+D17+D7</f>
        <v>734.44353000000001</v>
      </c>
      <c r="E4" s="5">
        <f>SUM(D4/C4*100)</f>
        <v>28.499390000194019</v>
      </c>
      <c r="F4" s="5">
        <f>SUM(D4-C4)</f>
        <v>-1842.6064700000002</v>
      </c>
    </row>
    <row r="5" spans="1:6" s="6" customFormat="1">
      <c r="A5" s="68">
        <v>1010000000</v>
      </c>
      <c r="B5" s="67" t="s">
        <v>5</v>
      </c>
      <c r="C5" s="5">
        <f>C6</f>
        <v>211.2</v>
      </c>
      <c r="D5" s="5">
        <f>D6</f>
        <v>85.165850000000006</v>
      </c>
      <c r="E5" s="5">
        <f t="shared" ref="E5:E52" si="0">SUM(D5/C5*100)</f>
        <v>40.32473958333334</v>
      </c>
      <c r="F5" s="5">
        <f t="shared" ref="F5:F52" si="1">SUM(D5-C5)</f>
        <v>-126.03414999999998</v>
      </c>
    </row>
    <row r="6" spans="1:6">
      <c r="A6" s="7">
        <v>1010200001</v>
      </c>
      <c r="B6" s="8" t="s">
        <v>224</v>
      </c>
      <c r="C6" s="9">
        <v>211.2</v>
      </c>
      <c r="D6" s="10">
        <v>85.165850000000006</v>
      </c>
      <c r="E6" s="9">
        <f t="shared" ref="E6:E11" si="2">SUM(D6/C6*100)</f>
        <v>40.32473958333334</v>
      </c>
      <c r="F6" s="9">
        <f t="shared" si="1"/>
        <v>-126.03414999999998</v>
      </c>
    </row>
    <row r="7" spans="1:6" ht="31.5">
      <c r="A7" s="3">
        <v>1030000000</v>
      </c>
      <c r="B7" s="13" t="s">
        <v>266</v>
      </c>
      <c r="C7" s="5">
        <f>C8+C10+C9</f>
        <v>830.85</v>
      </c>
      <c r="D7" s="5">
        <f>D8+D10+D9+D11</f>
        <v>430.81002000000001</v>
      </c>
      <c r="E7" s="5">
        <f t="shared" si="2"/>
        <v>51.851720527170961</v>
      </c>
      <c r="F7" s="5">
        <f t="shared" si="1"/>
        <v>-400.03998000000001</v>
      </c>
    </row>
    <row r="8" spans="1:6">
      <c r="A8" s="7">
        <v>1030223001</v>
      </c>
      <c r="B8" s="8" t="s">
        <v>268</v>
      </c>
      <c r="C8" s="9">
        <v>309.91000000000003</v>
      </c>
      <c r="D8" s="10">
        <v>194.81460000000001</v>
      </c>
      <c r="E8" s="9">
        <f t="shared" si="2"/>
        <v>62.861669516956532</v>
      </c>
      <c r="F8" s="9">
        <f t="shared" si="1"/>
        <v>-115.09540000000001</v>
      </c>
    </row>
    <row r="9" spans="1:6">
      <c r="A9" s="7">
        <v>1030224001</v>
      </c>
      <c r="B9" s="8" t="s">
        <v>274</v>
      </c>
      <c r="C9" s="9">
        <v>3.32</v>
      </c>
      <c r="D9" s="10">
        <v>1.4675400000000001</v>
      </c>
      <c r="E9" s="9">
        <f t="shared" si="2"/>
        <v>44.203012048192775</v>
      </c>
      <c r="F9" s="9">
        <f t="shared" si="1"/>
        <v>-1.8524599999999998</v>
      </c>
    </row>
    <row r="10" spans="1:6">
      <c r="A10" s="7">
        <v>1030225001</v>
      </c>
      <c r="B10" s="8" t="s">
        <v>267</v>
      </c>
      <c r="C10" s="9">
        <v>517.62</v>
      </c>
      <c r="D10" s="10">
        <v>270.89136000000002</v>
      </c>
      <c r="E10" s="9">
        <f t="shared" si="2"/>
        <v>52.334021096557329</v>
      </c>
      <c r="F10" s="9">
        <f>SUM(D10-C10)</f>
        <v>-246.72863999999998</v>
      </c>
    </row>
    <row r="11" spans="1:6">
      <c r="A11" s="7">
        <v>1030226001</v>
      </c>
      <c r="B11" s="8" t="s">
        <v>276</v>
      </c>
      <c r="C11" s="9">
        <v>0</v>
      </c>
      <c r="D11" s="10">
        <v>-36.363480000000003</v>
      </c>
      <c r="E11" s="9" t="e">
        <f t="shared" si="2"/>
        <v>#DIV/0!</v>
      </c>
      <c r="F11" s="9">
        <f>SUM(D11-C11)</f>
        <v>-36.363480000000003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8.8872</v>
      </c>
      <c r="E12" s="5">
        <f t="shared" si="0"/>
        <v>44.436</v>
      </c>
      <c r="F12" s="5">
        <f t="shared" si="1"/>
        <v>-11.1128</v>
      </c>
    </row>
    <row r="13" spans="1:6" ht="15.75" customHeight="1">
      <c r="A13" s="7">
        <v>1050300000</v>
      </c>
      <c r="B13" s="11" t="s">
        <v>225</v>
      </c>
      <c r="C13" s="12">
        <v>20</v>
      </c>
      <c r="D13" s="10">
        <v>8.8872</v>
      </c>
      <c r="E13" s="9">
        <f t="shared" si="0"/>
        <v>44.436</v>
      </c>
      <c r="F13" s="9">
        <f t="shared" si="1"/>
        <v>-11.1128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1500</v>
      </c>
      <c r="D14" s="5">
        <f>D15+D16</f>
        <v>208.30046000000002</v>
      </c>
      <c r="E14" s="5">
        <f t="shared" si="0"/>
        <v>13.886697333333334</v>
      </c>
      <c r="F14" s="5">
        <f t="shared" si="1"/>
        <v>-1291.6995400000001</v>
      </c>
    </row>
    <row r="15" spans="1:6" s="6" customFormat="1" ht="15.75" customHeight="1">
      <c r="A15" s="7">
        <v>1060100000</v>
      </c>
      <c r="B15" s="11" t="s">
        <v>8</v>
      </c>
      <c r="C15" s="9">
        <v>300</v>
      </c>
      <c r="D15" s="10">
        <v>19.411740000000002</v>
      </c>
      <c r="E15" s="9">
        <f t="shared" si="0"/>
        <v>6.4705800000000009</v>
      </c>
      <c r="F15" s="9">
        <f>SUM(D15-C15)</f>
        <v>-280.58825999999999</v>
      </c>
    </row>
    <row r="16" spans="1:6" ht="15.75" customHeight="1">
      <c r="A16" s="7">
        <v>1060600000</v>
      </c>
      <c r="B16" s="11" t="s">
        <v>7</v>
      </c>
      <c r="C16" s="9">
        <v>1200</v>
      </c>
      <c r="D16" s="10">
        <v>188.88872000000001</v>
      </c>
      <c r="E16" s="9">
        <f t="shared" si="0"/>
        <v>15.740726666666669</v>
      </c>
      <c r="F16" s="9">
        <f t="shared" si="1"/>
        <v>-1011.11128</v>
      </c>
    </row>
    <row r="17" spans="1:6" s="6" customFormat="1">
      <c r="A17" s="3">
        <v>1080000000</v>
      </c>
      <c r="B17" s="4" t="s">
        <v>10</v>
      </c>
      <c r="C17" s="5">
        <f>C18</f>
        <v>15</v>
      </c>
      <c r="D17" s="5">
        <f>D18</f>
        <v>1.28</v>
      </c>
      <c r="E17" s="5">
        <f t="shared" si="0"/>
        <v>8.5333333333333332</v>
      </c>
      <c r="F17" s="5">
        <f t="shared" si="1"/>
        <v>-13.72</v>
      </c>
    </row>
    <row r="18" spans="1:6" ht="18" customHeight="1">
      <c r="A18" s="7">
        <v>1080400001</v>
      </c>
      <c r="B18" s="8" t="s">
        <v>223</v>
      </c>
      <c r="C18" s="9">
        <v>15</v>
      </c>
      <c r="D18" s="10">
        <v>1.28</v>
      </c>
      <c r="E18" s="9">
        <f t="shared" si="0"/>
        <v>8.5333333333333332</v>
      </c>
      <c r="F18" s="9">
        <f t="shared" si="1"/>
        <v>-13.72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70.7</v>
      </c>
      <c r="D25" s="5">
        <f>D30+D37+D26+D35</f>
        <v>21.51173</v>
      </c>
      <c r="E25" s="5">
        <f t="shared" si="0"/>
        <v>30.426775106082037</v>
      </c>
      <c r="F25" s="5">
        <f t="shared" si="1"/>
        <v>-49.188270000000003</v>
      </c>
    </row>
    <row r="26" spans="1:6" s="6" customFormat="1" ht="33.75" customHeight="1">
      <c r="A26" s="68">
        <v>1110000000</v>
      </c>
      <c r="B26" s="69" t="s">
        <v>126</v>
      </c>
      <c r="C26" s="5">
        <f>C27+C28</f>
        <v>20.7</v>
      </c>
      <c r="D26" s="5">
        <f>D27+D28</f>
        <v>2.0960000000000001</v>
      </c>
      <c r="E26" s="5">
        <f t="shared" si="0"/>
        <v>10.1256038647343</v>
      </c>
      <c r="F26" s="5">
        <f t="shared" si="1"/>
        <v>-18.603999999999999</v>
      </c>
    </row>
    <row r="27" spans="1:6" ht="15" customHeight="1">
      <c r="A27" s="16">
        <v>1110502510</v>
      </c>
      <c r="B27" s="17" t="s">
        <v>221</v>
      </c>
      <c r="C27" s="12">
        <v>20.7</v>
      </c>
      <c r="D27" s="10">
        <v>2.0960000000000001</v>
      </c>
      <c r="E27" s="9">
        <f t="shared" si="0"/>
        <v>10.1256038647343</v>
      </c>
      <c r="F27" s="9">
        <f t="shared" si="1"/>
        <v>-18.603999999999999</v>
      </c>
    </row>
    <row r="28" spans="1:6" ht="15.75" customHeight="1">
      <c r="A28" s="7">
        <v>1110503510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8.75" customHeight="1">
      <c r="A29" s="7">
        <v>1110532510</v>
      </c>
      <c r="B29" s="11" t="s">
        <v>340</v>
      </c>
      <c r="C29" s="12">
        <v>0</v>
      </c>
      <c r="D29" s="179">
        <v>0</v>
      </c>
      <c r="E29" s="9" t="e">
        <f>SUM(D28/C29*100)</f>
        <v>#DIV/0!</v>
      </c>
      <c r="F29" s="9">
        <f>SUM(D28-C29)</f>
        <v>0</v>
      </c>
    </row>
    <row r="30" spans="1:6" s="15" customFormat="1" ht="27" customHeight="1">
      <c r="A30" s="68">
        <v>1130000000</v>
      </c>
      <c r="B30" s="69" t="s">
        <v>128</v>
      </c>
      <c r="C30" s="5">
        <f>C31</f>
        <v>50</v>
      </c>
      <c r="D30" s="5">
        <f>D31</f>
        <v>19.67773</v>
      </c>
      <c r="E30" s="5">
        <f t="shared" si="0"/>
        <v>39.355460000000001</v>
      </c>
      <c r="F30" s="5">
        <f t="shared" si="1"/>
        <v>-30.32227</v>
      </c>
    </row>
    <row r="31" spans="1:6" ht="32.25" customHeight="1">
      <c r="A31" s="7">
        <v>1130206005</v>
      </c>
      <c r="B31" s="8" t="s">
        <v>219</v>
      </c>
      <c r="C31" s="9">
        <v>50</v>
      </c>
      <c r="D31" s="10">
        <v>19.67773</v>
      </c>
      <c r="E31" s="9">
        <f t="shared" si="0"/>
        <v>39.355460000000001</v>
      </c>
      <c r="F31" s="9">
        <f t="shared" si="1"/>
        <v>-30.32227</v>
      </c>
    </row>
    <row r="32" spans="1:6" ht="32.2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27.75" customHeight="1">
      <c r="A33" s="16">
        <v>1140200000</v>
      </c>
      <c r="B33" s="18" t="s">
        <v>217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7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2.5" customHeight="1">
      <c r="A35" s="3">
        <v>1160000000</v>
      </c>
      <c r="B35" s="13" t="s">
        <v>240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21.75" customHeight="1">
      <c r="A36" s="7">
        <v>1163305010</v>
      </c>
      <c r="B36" s="8" t="s">
        <v>255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2.5" customHeight="1">
      <c r="A37" s="3">
        <v>1170000000</v>
      </c>
      <c r="B37" s="13" t="s">
        <v>132</v>
      </c>
      <c r="C37" s="5">
        <f>C38+C39</f>
        <v>0</v>
      </c>
      <c r="D37" s="5">
        <f>D38+D39</f>
        <v>-0.26200000000000001</v>
      </c>
      <c r="E37" s="5" t="e">
        <f t="shared" si="0"/>
        <v>#DIV/0!</v>
      </c>
      <c r="F37" s="5">
        <f t="shared" si="1"/>
        <v>-0.26200000000000001</v>
      </c>
    </row>
    <row r="38" spans="1:7" ht="23.25" customHeight="1">
      <c r="A38" s="7">
        <v>1170105010</v>
      </c>
      <c r="B38" s="8" t="s">
        <v>15</v>
      </c>
      <c r="C38" s="9">
        <v>0</v>
      </c>
      <c r="D38" s="9">
        <v>-0.26200000000000001</v>
      </c>
      <c r="E38" s="9" t="e">
        <f t="shared" si="0"/>
        <v>#DIV/0!</v>
      </c>
      <c r="F38" s="9">
        <f t="shared" si="1"/>
        <v>-0.26200000000000001</v>
      </c>
    </row>
    <row r="39" spans="1:7" ht="21.75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6">
        <f>SUM(C4,C25)</f>
        <v>2647.75</v>
      </c>
      <c r="D40" s="126">
        <f>D4+D25</f>
        <v>755.95525999999995</v>
      </c>
      <c r="E40" s="5">
        <f t="shared" si="0"/>
        <v>28.550854876782171</v>
      </c>
      <c r="F40" s="5">
        <f t="shared" si="1"/>
        <v>-1891.79474</v>
      </c>
    </row>
    <row r="41" spans="1:7" s="6" customFormat="1">
      <c r="A41" s="3">
        <v>2000000000</v>
      </c>
      <c r="B41" s="4" t="s">
        <v>17</v>
      </c>
      <c r="C41" s="5">
        <f>C42+C44+C45+C47+C48+C49+C43+C51</f>
        <v>10138.9861</v>
      </c>
      <c r="D41" s="5">
        <f>D42+D44+D45+D47+D48+D49+D43+D51</f>
        <v>3482.8805399999997</v>
      </c>
      <c r="E41" s="5">
        <f t="shared" si="0"/>
        <v>34.351369117667488</v>
      </c>
      <c r="F41" s="5">
        <f t="shared" si="1"/>
        <v>-6656.10556</v>
      </c>
      <c r="G41" s="19"/>
    </row>
    <row r="42" spans="1:7" ht="17.25" customHeight="1">
      <c r="A42" s="16">
        <v>2021000000</v>
      </c>
      <c r="B42" s="17" t="s">
        <v>18</v>
      </c>
      <c r="C42" s="12">
        <v>3577.8</v>
      </c>
      <c r="D42" s="259">
        <v>1788.912</v>
      </c>
      <c r="E42" s="9">
        <f t="shared" si="0"/>
        <v>50.000335401643468</v>
      </c>
      <c r="F42" s="9">
        <f t="shared" si="1"/>
        <v>-1788.8880000000001</v>
      </c>
    </row>
    <row r="43" spans="1:7" ht="17.25" customHeight="1">
      <c r="A43" s="16">
        <v>2021500200</v>
      </c>
      <c r="B43" s="17" t="s">
        <v>227</v>
      </c>
      <c r="C43" s="260"/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4811.2074000000002</v>
      </c>
      <c r="D44" s="10">
        <v>1359.9029599999999</v>
      </c>
      <c r="E44" s="9">
        <f t="shared" si="0"/>
        <v>28.265315687700344</v>
      </c>
      <c r="F44" s="9">
        <f t="shared" si="1"/>
        <v>-3451.3044400000003</v>
      </c>
    </row>
    <row r="45" spans="1:7" ht="16.5" customHeight="1">
      <c r="A45" s="16">
        <v>2023000000</v>
      </c>
      <c r="B45" s="17" t="s">
        <v>20</v>
      </c>
      <c r="C45" s="12">
        <v>206.767</v>
      </c>
      <c r="D45" s="184">
        <v>103.52907999999999</v>
      </c>
      <c r="E45" s="9">
        <f t="shared" si="0"/>
        <v>50.070407753655076</v>
      </c>
      <c r="F45" s="9">
        <f t="shared" si="1"/>
        <v>-103.23792</v>
      </c>
    </row>
    <row r="46" spans="1:7" ht="19.5" customHeight="1">
      <c r="A46" s="16">
        <v>2070503010</v>
      </c>
      <c r="B46" s="17" t="s">
        <v>256</v>
      </c>
      <c r="C46" s="12">
        <v>0</v>
      </c>
      <c r="D46" s="184">
        <v>0</v>
      </c>
      <c r="E46" s="9" t="e">
        <f t="shared" si="0"/>
        <v>#DIV/0!</v>
      </c>
      <c r="F46" s="9">
        <f t="shared" si="1"/>
        <v>0</v>
      </c>
    </row>
    <row r="47" spans="1:7" ht="19.5" customHeight="1">
      <c r="A47" s="16">
        <v>2020400000</v>
      </c>
      <c r="B47" s="17" t="s">
        <v>21</v>
      </c>
      <c r="C47" s="12">
        <v>1319.384</v>
      </c>
      <c r="D47" s="185"/>
      <c r="E47" s="9">
        <f t="shared" si="0"/>
        <v>0</v>
      </c>
      <c r="F47" s="9">
        <f t="shared" si="1"/>
        <v>-1319.384</v>
      </c>
    </row>
    <row r="48" spans="1:7" ht="19.5" customHeight="1">
      <c r="A48" s="16">
        <v>2020900000</v>
      </c>
      <c r="B48" s="18" t="s">
        <v>22</v>
      </c>
      <c r="C48" s="12"/>
      <c r="D48" s="185"/>
      <c r="E48" s="9" t="e">
        <f t="shared" si="0"/>
        <v>#DIV/0!</v>
      </c>
      <c r="F48" s="9">
        <f t="shared" si="1"/>
        <v>0</v>
      </c>
    </row>
    <row r="49" spans="1:8" ht="17.25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17.25" customHeight="1">
      <c r="A50" s="3">
        <v>3000000000</v>
      </c>
      <c r="B50" s="13" t="s">
        <v>24</v>
      </c>
      <c r="C50" s="121">
        <v>0</v>
      </c>
      <c r="D50" s="120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288</v>
      </c>
      <c r="C51" s="216">
        <v>223.82769999999999</v>
      </c>
      <c r="D51" s="217">
        <v>230.53649999999999</v>
      </c>
      <c r="E51" s="9">
        <f t="shared" si="0"/>
        <v>102.99730551669879</v>
      </c>
      <c r="F51" s="9">
        <f t="shared" si="1"/>
        <v>6.7087999999999965</v>
      </c>
    </row>
    <row r="52" spans="1:8" s="6" customFormat="1">
      <c r="A52" s="3"/>
      <c r="B52" s="4" t="s">
        <v>25</v>
      </c>
      <c r="C52" s="247">
        <f>SUM(C40,C41,C50)</f>
        <v>12786.7361</v>
      </c>
      <c r="D52" s="248">
        <f>D40+D41</f>
        <v>4238.8357999999998</v>
      </c>
      <c r="E52" s="5">
        <f t="shared" si="0"/>
        <v>33.150256381689147</v>
      </c>
      <c r="F52" s="5">
        <f t="shared" si="1"/>
        <v>-8547.9003000000012</v>
      </c>
      <c r="G52" s="94"/>
      <c r="H52" s="197"/>
    </row>
    <row r="53" spans="1:8" s="6" customFormat="1">
      <c r="A53" s="3"/>
      <c r="B53" s="21" t="s">
        <v>306</v>
      </c>
      <c r="C53" s="271">
        <f>C52-C99</f>
        <v>-252.92272999999841</v>
      </c>
      <c r="D53" s="271">
        <f>D52-D99</f>
        <v>51.213069999999789</v>
      </c>
      <c r="E53" s="22"/>
      <c r="F53" s="22"/>
    </row>
    <row r="54" spans="1:8" ht="9" customHeight="1">
      <c r="A54" s="23"/>
      <c r="B54" s="24"/>
      <c r="C54" s="181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405</v>
      </c>
      <c r="D55" s="73" t="s">
        <v>418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8" customHeight="1">
      <c r="A57" s="30" t="s">
        <v>27</v>
      </c>
      <c r="B57" s="31" t="s">
        <v>28</v>
      </c>
      <c r="C57" s="32">
        <f>C58+C59+C60+C61+C62+C64+C63</f>
        <v>1723.0212300000001</v>
      </c>
      <c r="D57" s="33">
        <f>D58+D59+D60+D61+D62+D64+D63</f>
        <v>773.17794000000004</v>
      </c>
      <c r="E57" s="34">
        <f>SUM(D57/C57*100)</f>
        <v>44.873384409778865</v>
      </c>
      <c r="F57" s="34">
        <f>SUM(D57-C57)</f>
        <v>-949.84329000000002</v>
      </c>
    </row>
    <row r="58" spans="1:8" s="6" customFormat="1" ht="15" hidden="1" customHeight="1">
      <c r="A58" s="35" t="s">
        <v>29</v>
      </c>
      <c r="B58" s="36" t="s">
        <v>30</v>
      </c>
      <c r="C58" s="37"/>
      <c r="D58" s="37"/>
      <c r="E58" s="38"/>
      <c r="F58" s="38"/>
    </row>
    <row r="59" spans="1:8" ht="15.75" customHeight="1">
      <c r="A59" s="35" t="s">
        <v>31</v>
      </c>
      <c r="B59" s="39" t="s">
        <v>32</v>
      </c>
      <c r="C59" s="37">
        <v>1601.2</v>
      </c>
      <c r="D59" s="37">
        <v>677.45371</v>
      </c>
      <c r="E59" s="38">
        <f t="shared" ref="E59:E99" si="3">SUM(D59/C59*100)</f>
        <v>42.309125031226579</v>
      </c>
      <c r="F59" s="38">
        <f t="shared" ref="F59:F99" si="4">SUM(D59-C59)</f>
        <v>-923.74629000000004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5" customHeight="1">
      <c r="A62" s="35" t="s">
        <v>37</v>
      </c>
      <c r="B62" s="39" t="s">
        <v>38</v>
      </c>
      <c r="C62" s="37">
        <v>11.02</v>
      </c>
      <c r="D62" s="37">
        <v>0</v>
      </c>
      <c r="E62" s="38">
        <f t="shared" si="3"/>
        <v>0</v>
      </c>
      <c r="F62" s="38">
        <f t="shared" si="4"/>
        <v>-11.02</v>
      </c>
    </row>
    <row r="63" spans="1:8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8" ht="15" customHeight="1">
      <c r="A64" s="35" t="s">
        <v>41</v>
      </c>
      <c r="B64" s="39" t="s">
        <v>42</v>
      </c>
      <c r="C64" s="37">
        <v>100.80123</v>
      </c>
      <c r="D64" s="37">
        <v>95.724230000000006</v>
      </c>
      <c r="E64" s="38">
        <f t="shared" si="3"/>
        <v>94.963355109853325</v>
      </c>
      <c r="F64" s="38">
        <f t="shared" si="4"/>
        <v>-5.0769999999999982</v>
      </c>
    </row>
    <row r="65" spans="1:7" s="6" customFormat="1">
      <c r="A65" s="41" t="s">
        <v>43</v>
      </c>
      <c r="B65" s="42" t="s">
        <v>44</v>
      </c>
      <c r="C65" s="32">
        <f>C66</f>
        <v>206.767</v>
      </c>
      <c r="D65" s="32">
        <f>D66</f>
        <v>88.275919999999999</v>
      </c>
      <c r="E65" s="34">
        <f t="shared" si="3"/>
        <v>42.693427868083397</v>
      </c>
      <c r="F65" s="34">
        <f t="shared" si="4"/>
        <v>-118.49108</v>
      </c>
    </row>
    <row r="66" spans="1:7">
      <c r="A66" s="43" t="s">
        <v>45</v>
      </c>
      <c r="B66" s="44" t="s">
        <v>46</v>
      </c>
      <c r="C66" s="37">
        <v>206.767</v>
      </c>
      <c r="D66" s="37">
        <v>88.275919999999999</v>
      </c>
      <c r="E66" s="38">
        <f t="shared" si="3"/>
        <v>42.693427868083397</v>
      </c>
      <c r="F66" s="38">
        <f t="shared" si="4"/>
        <v>-118.49108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120</v>
      </c>
      <c r="D67" s="32">
        <f>D71+D70+D72</f>
        <v>11.6538</v>
      </c>
      <c r="E67" s="34">
        <f t="shared" si="3"/>
        <v>9.7115000000000009</v>
      </c>
      <c r="F67" s="34">
        <f t="shared" si="4"/>
        <v>-108.3462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>
        <v>3</v>
      </c>
      <c r="D70" s="37">
        <v>2.81148</v>
      </c>
      <c r="E70" s="34">
        <f t="shared" si="3"/>
        <v>93.715999999999994</v>
      </c>
      <c r="F70" s="34">
        <f t="shared" si="4"/>
        <v>-0.18852000000000002</v>
      </c>
    </row>
    <row r="71" spans="1:7" ht="15.75" customHeight="1">
      <c r="A71" s="46" t="s">
        <v>214</v>
      </c>
      <c r="B71" s="47" t="s">
        <v>215</v>
      </c>
      <c r="C71" s="37">
        <v>115</v>
      </c>
      <c r="D71" s="37">
        <v>8.8423200000000008</v>
      </c>
      <c r="E71" s="34">
        <f t="shared" si="3"/>
        <v>7.6889739130434789</v>
      </c>
      <c r="F71" s="34">
        <f t="shared" si="4"/>
        <v>-106.15768</v>
      </c>
    </row>
    <row r="72" spans="1:7" ht="15.75" customHeight="1">
      <c r="A72" s="46" t="s">
        <v>338</v>
      </c>
      <c r="B72" s="47" t="s">
        <v>341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55</v>
      </c>
      <c r="B73" s="31" t="s">
        <v>56</v>
      </c>
      <c r="C73" s="48">
        <f>C74+C75+C76+C77</f>
        <v>4435.5985199999996</v>
      </c>
      <c r="D73" s="48">
        <f>SUM(D74:D77)</f>
        <v>2127.34177</v>
      </c>
      <c r="E73" s="34">
        <f t="shared" si="3"/>
        <v>47.960647484389554</v>
      </c>
      <c r="F73" s="34">
        <f t="shared" si="4"/>
        <v>-2308.2567499999996</v>
      </c>
    </row>
    <row r="74" spans="1:7" ht="16.5" customHeight="1">
      <c r="A74" s="35" t="s">
        <v>57</v>
      </c>
      <c r="B74" s="39" t="s">
        <v>58</v>
      </c>
      <c r="C74" s="49"/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7.25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4072.9117299999998</v>
      </c>
      <c r="D76" s="37">
        <v>2115.5417699999998</v>
      </c>
      <c r="E76" s="38">
        <f t="shared" si="3"/>
        <v>51.941753473748861</v>
      </c>
      <c r="F76" s="38">
        <f t="shared" si="4"/>
        <v>-1957.36996</v>
      </c>
    </row>
    <row r="77" spans="1:7">
      <c r="A77" s="35" t="s">
        <v>63</v>
      </c>
      <c r="B77" s="39" t="s">
        <v>64</v>
      </c>
      <c r="C77" s="49">
        <v>362.68678999999997</v>
      </c>
      <c r="D77" s="37">
        <v>11.8</v>
      </c>
      <c r="E77" s="38">
        <f t="shared" si="3"/>
        <v>3.2534959434282125</v>
      </c>
      <c r="F77" s="38">
        <f t="shared" si="4"/>
        <v>-350.88678999999996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4574.7490799999996</v>
      </c>
      <c r="D78" s="32">
        <f>SUM(D79:D81)</f>
        <v>352.46438999999998</v>
      </c>
      <c r="E78" s="34">
        <f t="shared" si="3"/>
        <v>7.7045622357937065</v>
      </c>
      <c r="F78" s="34">
        <f t="shared" si="4"/>
        <v>-4222.2846899999995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5.75" customHeight="1">
      <c r="A80" s="35" t="s">
        <v>69</v>
      </c>
      <c r="B80" s="51" t="s">
        <v>70</v>
      </c>
      <c r="C80" s="37">
        <v>288</v>
      </c>
      <c r="D80" s="37">
        <v>78.875020000000006</v>
      </c>
      <c r="E80" s="38">
        <f t="shared" si="3"/>
        <v>27.387159722222226</v>
      </c>
      <c r="F80" s="38">
        <f t="shared" si="4"/>
        <v>-209.12497999999999</v>
      </c>
    </row>
    <row r="81" spans="1:6">
      <c r="A81" s="35" t="s">
        <v>71</v>
      </c>
      <c r="B81" s="39" t="s">
        <v>72</v>
      </c>
      <c r="C81" s="37">
        <v>4286.7490799999996</v>
      </c>
      <c r="D81" s="37">
        <v>273.58936999999997</v>
      </c>
      <c r="E81" s="38">
        <f>SUM(D81/C81*100)</f>
        <v>6.3822109690637649</v>
      </c>
      <c r="F81" s="38">
        <f t="shared" si="4"/>
        <v>-4013.1597099999994</v>
      </c>
    </row>
    <row r="82" spans="1:6" s="6" customFormat="1">
      <c r="A82" s="30" t="s">
        <v>83</v>
      </c>
      <c r="B82" s="31" t="s">
        <v>84</v>
      </c>
      <c r="C82" s="32">
        <f>C83</f>
        <v>1967.5229999999999</v>
      </c>
      <c r="D82" s="32">
        <f>SUM(D83)</f>
        <v>822.70890999999995</v>
      </c>
      <c r="E82" s="34">
        <f t="shared" si="3"/>
        <v>41.814449437185743</v>
      </c>
      <c r="F82" s="34">
        <f t="shared" si="4"/>
        <v>-1144.8140899999999</v>
      </c>
    </row>
    <row r="83" spans="1:6" ht="18.75" customHeight="1">
      <c r="A83" s="35" t="s">
        <v>85</v>
      </c>
      <c r="B83" s="39" t="s">
        <v>229</v>
      </c>
      <c r="C83" s="37">
        <v>1967.5229999999999</v>
      </c>
      <c r="D83" s="37">
        <v>822.70890999999995</v>
      </c>
      <c r="E83" s="38">
        <f t="shared" si="3"/>
        <v>41.814449437185743</v>
      </c>
      <c r="F83" s="38">
        <f t="shared" si="4"/>
        <v>-1144.8140899999999</v>
      </c>
    </row>
    <row r="84" spans="1:6" s="6" customFormat="1" ht="0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90</v>
      </c>
      <c r="B88" s="39" t="s">
        <v>91</v>
      </c>
      <c r="C88" s="37"/>
      <c r="D88" s="37"/>
      <c r="E88" s="38"/>
      <c r="F88" s="38">
        <f t="shared" si="4"/>
        <v>0</v>
      </c>
    </row>
    <row r="89" spans="1:6">
      <c r="A89" s="30" t="s">
        <v>92</v>
      </c>
      <c r="B89" s="31" t="s">
        <v>93</v>
      </c>
      <c r="C89" s="32">
        <f>C90+C91+C92+C93+C94</f>
        <v>12</v>
      </c>
      <c r="D89" s="32">
        <f>D90+D91+D92+D93+D94</f>
        <v>12</v>
      </c>
      <c r="E89" s="38">
        <f t="shared" si="3"/>
        <v>100</v>
      </c>
      <c r="F89" s="22">
        <f>F90+F91+F92+F93+F94</f>
        <v>0</v>
      </c>
    </row>
    <row r="90" spans="1:6" ht="17.25" customHeight="1">
      <c r="A90" s="35" t="s">
        <v>94</v>
      </c>
      <c r="B90" s="39" t="s">
        <v>95</v>
      </c>
      <c r="C90" s="37">
        <v>12</v>
      </c>
      <c r="D90" s="37">
        <v>12</v>
      </c>
      <c r="E90" s="38">
        <f t="shared" si="3"/>
        <v>100</v>
      </c>
      <c r="F90" s="38">
        <f>SUM(D90-C90)</f>
        <v>0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116</v>
      </c>
      <c r="C99" s="253">
        <f>C57+C65+C67+C73+C78+C82+C84+C89+C95</f>
        <v>13039.658829999998</v>
      </c>
      <c r="D99" s="253">
        <f>D57+D65+D67+D73+D78+D82+D84+D89+D95</f>
        <v>4187.62273</v>
      </c>
      <c r="E99" s="34">
        <f t="shared" si="3"/>
        <v>32.114511465327965</v>
      </c>
      <c r="F99" s="34">
        <f t="shared" si="4"/>
        <v>-8852.0360999999975</v>
      </c>
      <c r="G99" s="197"/>
      <c r="H99" s="149"/>
    </row>
    <row r="100" spans="1:8" ht="13.5" customHeight="1">
      <c r="C100" s="116"/>
      <c r="D100" s="61"/>
    </row>
    <row r="101" spans="1:8" s="65" customFormat="1" ht="12.75">
      <c r="A101" s="63" t="s">
        <v>117</v>
      </c>
      <c r="B101" s="63"/>
      <c r="C101" s="133"/>
      <c r="D101" s="133"/>
    </row>
    <row r="102" spans="1:8" s="65" customFormat="1" ht="12.75">
      <c r="A102" s="66" t="s">
        <v>118</v>
      </c>
      <c r="B102" s="66"/>
      <c r="C102" s="118" t="s">
        <v>119</v>
      </c>
    </row>
    <row r="104" spans="1:8" ht="5.25" customHeight="1"/>
    <row r="143" hidden="1"/>
  </sheetData>
  <customSheetViews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1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2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3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6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1" orientation="portrait" r:id="rId8"/>
    </customSheetView>
    <customSheetView guid="{61528DAC-5C4C-48F4-ADE2-8A724B05A086}" scale="70" showPageBreaks="1" printArea="1" hiddenRows="1" view="pageBreakPreview" topLeftCell="A34">
      <selection activeCell="C63" sqref="C63"/>
      <pageMargins left="0.70866141732283472" right="0.70866141732283472" top="0.74803149606299213" bottom="0.74803149606299213" header="0.31496062992125984" footer="0.31496062992125984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39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topLeftCell="A43" zoomScale="70" zoomScaleSheetLayoutView="70" workbookViewId="0">
      <selection activeCell="D87" sqref="D87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30" t="s">
        <v>439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47.25" customHeight="1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1909.85</v>
      </c>
      <c r="D4" s="5">
        <f>D5+D12+D14+D17+D7</f>
        <v>466.12873999999999</v>
      </c>
      <c r="E4" s="5">
        <f>SUM(D4/C4*100)</f>
        <v>24.40656281906956</v>
      </c>
      <c r="F4" s="5">
        <f>SUM(D4-C4)</f>
        <v>-1443.7212599999998</v>
      </c>
    </row>
    <row r="5" spans="1:6" s="6" customFormat="1">
      <c r="A5" s="3">
        <v>1010000000</v>
      </c>
      <c r="B5" s="4" t="s">
        <v>5</v>
      </c>
      <c r="C5" s="5">
        <f>C6</f>
        <v>117.6</v>
      </c>
      <c r="D5" s="5">
        <f>D6</f>
        <v>50.231909999999999</v>
      </c>
      <c r="E5" s="5">
        <f t="shared" ref="E5:E49" si="0">SUM(D5/C5*100)</f>
        <v>42.714209183673468</v>
      </c>
      <c r="F5" s="5">
        <f t="shared" ref="F5:F49" si="1">SUM(D5-C5)</f>
        <v>-67.368089999999995</v>
      </c>
    </row>
    <row r="6" spans="1:6">
      <c r="A6" s="7">
        <v>1010200001</v>
      </c>
      <c r="B6" s="8" t="s">
        <v>224</v>
      </c>
      <c r="C6" s="9">
        <v>117.6</v>
      </c>
      <c r="D6" s="10">
        <v>50.231909999999999</v>
      </c>
      <c r="E6" s="9">
        <f t="shared" ref="E6:E11" si="2">SUM(D6/C6*100)</f>
        <v>42.714209183673468</v>
      </c>
      <c r="F6" s="9">
        <f t="shared" si="1"/>
        <v>-67.368089999999995</v>
      </c>
    </row>
    <row r="7" spans="1:6" ht="31.5">
      <c r="A7" s="3">
        <v>1030000000</v>
      </c>
      <c r="B7" s="13" t="s">
        <v>266</v>
      </c>
      <c r="C7" s="5">
        <f>C8+C10+C9</f>
        <v>477.25</v>
      </c>
      <c r="D7" s="5">
        <f>D8+D10+D9+D11</f>
        <v>247.45931999999996</v>
      </c>
      <c r="E7" s="5">
        <f t="shared" si="2"/>
        <v>51.851088528025137</v>
      </c>
      <c r="F7" s="5">
        <f t="shared" si="1"/>
        <v>-229.79068000000004</v>
      </c>
    </row>
    <row r="8" spans="1:6">
      <c r="A8" s="7">
        <v>1030223001</v>
      </c>
      <c r="B8" s="8" t="s">
        <v>268</v>
      </c>
      <c r="C8" s="9">
        <v>178.01</v>
      </c>
      <c r="D8" s="10">
        <v>111.90243</v>
      </c>
      <c r="E8" s="9">
        <f t="shared" si="2"/>
        <v>62.863002078534912</v>
      </c>
      <c r="F8" s="9">
        <f t="shared" si="1"/>
        <v>-66.107569999999996</v>
      </c>
    </row>
    <row r="9" spans="1:6">
      <c r="A9" s="7">
        <v>1030224001</v>
      </c>
      <c r="B9" s="8" t="s">
        <v>274</v>
      </c>
      <c r="C9" s="9">
        <v>1.91</v>
      </c>
      <c r="D9" s="10">
        <v>0.84294999999999998</v>
      </c>
      <c r="E9" s="9">
        <f t="shared" si="2"/>
        <v>44.133507853403145</v>
      </c>
      <c r="F9" s="9">
        <f t="shared" si="1"/>
        <v>-1.0670500000000001</v>
      </c>
    </row>
    <row r="10" spans="1:6">
      <c r="A10" s="7">
        <v>1030225001</v>
      </c>
      <c r="B10" s="8" t="s">
        <v>267</v>
      </c>
      <c r="C10" s="9">
        <v>297.33</v>
      </c>
      <c r="D10" s="10">
        <v>155.60129000000001</v>
      </c>
      <c r="E10" s="9">
        <f t="shared" si="2"/>
        <v>52.332859112770322</v>
      </c>
      <c r="F10" s="9">
        <f t="shared" si="1"/>
        <v>-141.72870999999998</v>
      </c>
    </row>
    <row r="11" spans="1:6">
      <c r="A11" s="7">
        <v>1030226001</v>
      </c>
      <c r="B11" s="8" t="s">
        <v>276</v>
      </c>
      <c r="C11" s="9">
        <v>0</v>
      </c>
      <c r="D11" s="10">
        <v>-20.887350000000001</v>
      </c>
      <c r="E11" s="9" t="e">
        <f t="shared" si="2"/>
        <v>#DIV/0!</v>
      </c>
      <c r="F11" s="9">
        <f t="shared" si="1"/>
        <v>-20.887350000000001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0.26729999999999998</v>
      </c>
      <c r="E12" s="5">
        <f t="shared" si="0"/>
        <v>2.6729999999999996</v>
      </c>
      <c r="F12" s="5">
        <f t="shared" si="1"/>
        <v>-9.7326999999999995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0.26729999999999998</v>
      </c>
      <c r="E13" s="9">
        <f t="shared" si="0"/>
        <v>2.6729999999999996</v>
      </c>
      <c r="F13" s="9">
        <f t="shared" si="1"/>
        <v>-9.7326999999999995</v>
      </c>
    </row>
    <row r="14" spans="1:6" s="6" customFormat="1" ht="15.75" customHeight="1">
      <c r="A14" s="3">
        <v>1060000000</v>
      </c>
      <c r="B14" s="4" t="s">
        <v>133</v>
      </c>
      <c r="C14" s="5">
        <f>C15+C16</f>
        <v>1300</v>
      </c>
      <c r="D14" s="5">
        <f>D15+D16</f>
        <v>166.17021</v>
      </c>
      <c r="E14" s="5">
        <f t="shared" si="0"/>
        <v>12.782323846153846</v>
      </c>
      <c r="F14" s="5">
        <f t="shared" si="1"/>
        <v>-1133.82979</v>
      </c>
    </row>
    <row r="15" spans="1:6" s="6" customFormat="1" ht="15.75" customHeight="1">
      <c r="A15" s="7">
        <v>1060100000</v>
      </c>
      <c r="B15" s="11" t="s">
        <v>8</v>
      </c>
      <c r="C15" s="9">
        <v>380</v>
      </c>
      <c r="D15" s="10">
        <v>50.733719999999998</v>
      </c>
      <c r="E15" s="9">
        <f t="shared" si="0"/>
        <v>13.35097894736842</v>
      </c>
      <c r="F15" s="9">
        <f>SUM(D15-C15)</f>
        <v>-329.26627999999999</v>
      </c>
    </row>
    <row r="16" spans="1:6" ht="15.75" customHeight="1">
      <c r="A16" s="7">
        <v>1060600000</v>
      </c>
      <c r="B16" s="11" t="s">
        <v>7</v>
      </c>
      <c r="C16" s="9">
        <v>920</v>
      </c>
      <c r="D16" s="10">
        <v>115.43649000000001</v>
      </c>
      <c r="E16" s="9">
        <f t="shared" si="0"/>
        <v>12.547444565217392</v>
      </c>
      <c r="F16" s="9">
        <f t="shared" si="1"/>
        <v>-804.56350999999995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2</v>
      </c>
      <c r="E17" s="5">
        <f t="shared" si="0"/>
        <v>40</v>
      </c>
      <c r="F17" s="5">
        <f t="shared" si="1"/>
        <v>-3</v>
      </c>
    </row>
    <row r="18" spans="1:6">
      <c r="A18" s="7">
        <v>1080400001</v>
      </c>
      <c r="B18" s="8" t="s">
        <v>223</v>
      </c>
      <c r="C18" s="9">
        <v>5</v>
      </c>
      <c r="D18" s="10">
        <v>2</v>
      </c>
      <c r="E18" s="9">
        <f t="shared" si="0"/>
        <v>40</v>
      </c>
      <c r="F18" s="9">
        <f t="shared" si="1"/>
        <v>-3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400</v>
      </c>
      <c r="D25" s="5">
        <f>D26+D29+D31+D34+D36</f>
        <v>150.34820999999999</v>
      </c>
      <c r="E25" s="5">
        <f t="shared" si="0"/>
        <v>37.587052499999999</v>
      </c>
      <c r="F25" s="5">
        <f t="shared" si="1"/>
        <v>-249.65179000000001</v>
      </c>
    </row>
    <row r="26" spans="1:6" s="6" customFormat="1" ht="32.25" customHeight="1">
      <c r="A26" s="3">
        <v>1110000000</v>
      </c>
      <c r="B26" s="13" t="s">
        <v>126</v>
      </c>
      <c r="C26" s="5">
        <f>C27+C28</f>
        <v>400</v>
      </c>
      <c r="D26" s="5">
        <f>D27</f>
        <v>150.34820999999999</v>
      </c>
      <c r="E26" s="5">
        <f t="shared" si="0"/>
        <v>37.587052499999999</v>
      </c>
      <c r="F26" s="5">
        <f t="shared" si="1"/>
        <v>-249.65179000000001</v>
      </c>
    </row>
    <row r="27" spans="1:6" ht="15" customHeight="1">
      <c r="A27" s="16">
        <v>1110502510</v>
      </c>
      <c r="B27" s="17" t="s">
        <v>221</v>
      </c>
      <c r="C27" s="12">
        <v>400</v>
      </c>
      <c r="D27" s="10">
        <v>150.34820999999999</v>
      </c>
      <c r="E27" s="5">
        <f t="shared" si="0"/>
        <v>37.587052499999999</v>
      </c>
      <c r="F27" s="9">
        <f t="shared" si="1"/>
        <v>-249.65179000000001</v>
      </c>
    </row>
    <row r="28" spans="1:6" ht="19.5" hidden="1" customHeight="1">
      <c r="A28" s="7">
        <v>1110503505</v>
      </c>
      <c r="B28" s="11" t="s">
        <v>220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 hidden="1">
      <c r="A29" s="3">
        <v>1130000000</v>
      </c>
      <c r="B29" s="13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hidden="1" customHeight="1">
      <c r="A31" s="108">
        <v>1140000000</v>
      </c>
      <c r="B31" s="109" t="s">
        <v>129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3.5" hidden="1" customHeight="1">
      <c r="A33" s="7">
        <v>1140600000</v>
      </c>
      <c r="B33" s="8" t="s">
        <v>218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240</v>
      </c>
      <c r="C34" s="5">
        <f>C35+C36</f>
        <v>0</v>
      </c>
      <c r="D34" s="5"/>
      <c r="E34" s="5" t="e">
        <f t="shared" si="0"/>
        <v>#DIV/0!</v>
      </c>
      <c r="F34" s="5">
        <f t="shared" si="1"/>
        <v>0</v>
      </c>
    </row>
    <row r="35" spans="1:8" ht="18.75" customHeight="1">
      <c r="A35" s="7">
        <v>1163305010</v>
      </c>
      <c r="B35" s="8" t="s">
        <v>255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18" customHeight="1">
      <c r="A36" s="3">
        <v>1170000000</v>
      </c>
      <c r="B36" s="473" t="s">
        <v>216</v>
      </c>
      <c r="C36" s="5">
        <v>0</v>
      </c>
      <c r="D36" s="14">
        <f>SUM(D37)</f>
        <v>0</v>
      </c>
      <c r="E36" s="5" t="e">
        <f t="shared" si="0"/>
        <v>#DIV/0!</v>
      </c>
      <c r="F36" s="5">
        <f t="shared" si="1"/>
        <v>0</v>
      </c>
    </row>
    <row r="37" spans="1:8" ht="18" customHeight="1">
      <c r="A37" s="7">
        <v>1170100000</v>
      </c>
      <c r="B37" s="474" t="s">
        <v>412</v>
      </c>
      <c r="C37" s="9"/>
      <c r="D37" s="10"/>
      <c r="E37" s="9"/>
      <c r="F37" s="9"/>
    </row>
    <row r="38" spans="1:8" s="6" customFormat="1" ht="15" customHeight="1">
      <c r="A38" s="3">
        <v>1000000000</v>
      </c>
      <c r="B38" s="4" t="s">
        <v>16</v>
      </c>
      <c r="C38" s="126">
        <f>SUM(C4,C25)</f>
        <v>2309.85</v>
      </c>
      <c r="D38" s="126">
        <f>D4+D25</f>
        <v>616.47694999999999</v>
      </c>
      <c r="E38" s="5">
        <f t="shared" si="0"/>
        <v>26.689046907807867</v>
      </c>
      <c r="F38" s="5">
        <f t="shared" si="1"/>
        <v>-1693.3730499999999</v>
      </c>
    </row>
    <row r="39" spans="1:8" s="6" customFormat="1">
      <c r="A39" s="3">
        <v>2000000000</v>
      </c>
      <c r="B39" s="4" t="s">
        <v>17</v>
      </c>
      <c r="C39" s="5">
        <f>C40+C42+C43+C45+C46+C47+C41</f>
        <v>2509.9079999999994</v>
      </c>
      <c r="D39" s="231">
        <f>D40+D42+D43+D45+D46+D47+D41</f>
        <v>1116.8939199999998</v>
      </c>
      <c r="E39" s="5">
        <f t="shared" si="0"/>
        <v>44.499396790639338</v>
      </c>
      <c r="F39" s="5">
        <f t="shared" si="1"/>
        <v>-1393.0140799999997</v>
      </c>
      <c r="G39" s="19"/>
    </row>
    <row r="40" spans="1:8">
      <c r="A40" s="16">
        <v>2021000000</v>
      </c>
      <c r="B40" s="17" t="s">
        <v>18</v>
      </c>
      <c r="C40" s="12">
        <v>1658.6</v>
      </c>
      <c r="D40" s="259">
        <v>829.30799999999999</v>
      </c>
      <c r="E40" s="9">
        <f t="shared" si="0"/>
        <v>50.000482334498976</v>
      </c>
      <c r="F40" s="9">
        <f t="shared" si="1"/>
        <v>-829.29199999999992</v>
      </c>
    </row>
    <row r="41" spans="1:8" ht="15.75" customHeight="1">
      <c r="A41" s="16">
        <v>2021500200</v>
      </c>
      <c r="B41" s="17" t="s">
        <v>227</v>
      </c>
      <c r="C41" s="12"/>
      <c r="D41" s="20">
        <v>0</v>
      </c>
      <c r="E41" s="9" t="e">
        <f t="shared" si="0"/>
        <v>#DIV/0!</v>
      </c>
      <c r="F41" s="9">
        <f t="shared" si="1"/>
        <v>0</v>
      </c>
    </row>
    <row r="42" spans="1:8">
      <c r="A42" s="16">
        <v>2022000000</v>
      </c>
      <c r="B42" s="17" t="s">
        <v>19</v>
      </c>
      <c r="C42" s="12">
        <v>637.37</v>
      </c>
      <c r="D42" s="10">
        <v>238.619</v>
      </c>
      <c r="E42" s="9">
        <f t="shared" si="0"/>
        <v>37.438065801653671</v>
      </c>
      <c r="F42" s="9">
        <f t="shared" si="1"/>
        <v>-398.75099999999998</v>
      </c>
    </row>
    <row r="43" spans="1:8" ht="13.5" customHeight="1">
      <c r="A43" s="16">
        <v>2023000000</v>
      </c>
      <c r="B43" s="17" t="s">
        <v>20</v>
      </c>
      <c r="C43" s="12">
        <v>103.383</v>
      </c>
      <c r="D43" s="184">
        <v>51.763800000000003</v>
      </c>
      <c r="E43" s="9">
        <f t="shared" si="0"/>
        <v>50.069934128435044</v>
      </c>
      <c r="F43" s="9">
        <f t="shared" si="1"/>
        <v>-51.619199999999992</v>
      </c>
    </row>
    <row r="44" spans="1:8" hidden="1">
      <c r="A44" s="16">
        <v>2070503010</v>
      </c>
      <c r="B44" s="17" t="s">
        <v>256</v>
      </c>
      <c r="C44" s="12">
        <v>0</v>
      </c>
      <c r="D44" s="184">
        <v>0</v>
      </c>
      <c r="E44" s="9" t="e">
        <f t="shared" si="0"/>
        <v>#DIV/0!</v>
      </c>
      <c r="F44" s="9">
        <f t="shared" si="1"/>
        <v>0</v>
      </c>
    </row>
    <row r="45" spans="1:8" ht="27.75" hidden="1" customHeight="1">
      <c r="A45" s="16">
        <v>2020400000</v>
      </c>
      <c r="B45" s="17" t="s">
        <v>21</v>
      </c>
      <c r="C45" s="12">
        <v>110.55500000000001</v>
      </c>
      <c r="D45" s="185">
        <v>0</v>
      </c>
      <c r="E45" s="9">
        <f t="shared" si="0"/>
        <v>0</v>
      </c>
      <c r="F45" s="9">
        <f t="shared" si="1"/>
        <v>-110.55500000000001</v>
      </c>
    </row>
    <row r="46" spans="1:8" ht="18" customHeight="1">
      <c r="A46" s="16">
        <v>2070000000</v>
      </c>
      <c r="B46" s="18" t="s">
        <v>283</v>
      </c>
      <c r="C46" s="12">
        <v>0</v>
      </c>
      <c r="D46" s="185">
        <v>0</v>
      </c>
      <c r="E46" s="9" t="e">
        <f>SUM(D46/C46*100)</f>
        <v>#DIV/0!</v>
      </c>
      <c r="F46" s="9">
        <f t="shared" si="1"/>
        <v>0</v>
      </c>
      <c r="G46" s="244"/>
      <c r="H46" s="244"/>
    </row>
    <row r="47" spans="1:8" ht="15" customHeight="1">
      <c r="A47" s="7">
        <v>2190500005</v>
      </c>
      <c r="B47" s="11" t="s">
        <v>23</v>
      </c>
      <c r="C47" s="14"/>
      <c r="D47" s="14">
        <v>-2.7968799999999998</v>
      </c>
      <c r="E47" s="5"/>
      <c r="F47" s="5">
        <f>SUM(D47-C47)</f>
        <v>-2.7968799999999998</v>
      </c>
    </row>
    <row r="48" spans="1:8" s="6" customFormat="1" ht="15.75" customHeight="1">
      <c r="A48" s="3">
        <v>3000000000</v>
      </c>
      <c r="B48" s="13" t="s">
        <v>24</v>
      </c>
      <c r="C48" s="188">
        <v>0</v>
      </c>
      <c r="D48" s="14">
        <v>0</v>
      </c>
      <c r="E48" s="5" t="e">
        <f t="shared" si="0"/>
        <v>#DIV/0!</v>
      </c>
      <c r="F48" s="5">
        <f t="shared" si="1"/>
        <v>0</v>
      </c>
    </row>
    <row r="49" spans="1:8" s="6" customFormat="1" ht="15" customHeight="1">
      <c r="A49" s="3"/>
      <c r="B49" s="4" t="s">
        <v>25</v>
      </c>
      <c r="C49" s="436">
        <f>SUM(C38,C39,C48)</f>
        <v>4819.7579999999998</v>
      </c>
      <c r="D49" s="437">
        <f>D38+D39</f>
        <v>1733.3708699999997</v>
      </c>
      <c r="E49" s="5">
        <f t="shared" si="0"/>
        <v>35.963856899039328</v>
      </c>
      <c r="F49" s="5">
        <f t="shared" si="1"/>
        <v>-3086.3871300000001</v>
      </c>
      <c r="G49" s="197"/>
      <c r="H49" s="197"/>
    </row>
    <row r="50" spans="1:8" s="6" customFormat="1">
      <c r="A50" s="3"/>
      <c r="B50" s="21" t="s">
        <v>306</v>
      </c>
      <c r="C50" s="247">
        <f>C49-C96</f>
        <v>-356.43935000000056</v>
      </c>
      <c r="D50" s="247">
        <f>D49-D96</f>
        <v>74.445859999999811</v>
      </c>
      <c r="E50" s="22"/>
      <c r="F50" s="22"/>
    </row>
    <row r="51" spans="1:8" ht="8.25" customHeight="1">
      <c r="A51" s="23"/>
      <c r="B51" s="24"/>
      <c r="C51" s="215"/>
      <c r="D51" s="215"/>
      <c r="E51" s="26"/>
      <c r="F51" s="27"/>
    </row>
    <row r="52" spans="1:8" ht="50.25" customHeight="1">
      <c r="A52" s="28" t="s">
        <v>0</v>
      </c>
      <c r="B52" s="28" t="s">
        <v>26</v>
      </c>
      <c r="C52" s="72" t="s">
        <v>405</v>
      </c>
      <c r="D52" s="73" t="s">
        <v>418</v>
      </c>
      <c r="E52" s="72" t="s">
        <v>2</v>
      </c>
      <c r="F52" s="74" t="s">
        <v>3</v>
      </c>
    </row>
    <row r="53" spans="1:8" ht="18" customHeight="1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>
      <c r="A54" s="30" t="s">
        <v>27</v>
      </c>
      <c r="B54" s="31" t="s">
        <v>28</v>
      </c>
      <c r="C54" s="32">
        <f>C55+C56+C57+C58+C59+C61+C60</f>
        <v>1447.3770000000002</v>
      </c>
      <c r="D54" s="32">
        <f>D55+D56+D57+D58+D59+D61+D60</f>
        <v>613.84607999999992</v>
      </c>
      <c r="E54" s="34">
        <f>SUM(D54/C54*100)</f>
        <v>42.410932327928371</v>
      </c>
      <c r="F54" s="34">
        <f>SUM(D54-C54)</f>
        <v>-833.53092000000026</v>
      </c>
    </row>
    <row r="55" spans="1:8" s="6" customFormat="1" ht="31.5" hidden="1">
      <c r="A55" s="35" t="s">
        <v>29</v>
      </c>
      <c r="B55" s="36" t="s">
        <v>30</v>
      </c>
      <c r="C55" s="37"/>
      <c r="D55" s="37"/>
      <c r="E55" s="38"/>
      <c r="F55" s="38"/>
    </row>
    <row r="56" spans="1:8" ht="17.25" customHeight="1">
      <c r="A56" s="35" t="s">
        <v>31</v>
      </c>
      <c r="B56" s="39" t="s">
        <v>32</v>
      </c>
      <c r="C56" s="37">
        <v>1365.5</v>
      </c>
      <c r="D56" s="37">
        <v>602.04607999999996</v>
      </c>
      <c r="E56" s="38">
        <f t="shared" ref="E56:E96" si="3">SUM(D56/C56*100)</f>
        <v>44.089789820578538</v>
      </c>
      <c r="F56" s="38">
        <f t="shared" ref="F56:F96" si="4">SUM(D56-C56)</f>
        <v>-763.45392000000004</v>
      </c>
    </row>
    <row r="57" spans="1:8" ht="16.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4"/>
        <v>0</v>
      </c>
    </row>
    <row r="58" spans="1:8" ht="31.5" hidden="1" customHeight="1">
      <c r="A58" s="35" t="s">
        <v>35</v>
      </c>
      <c r="B58" s="39" t="s">
        <v>36</v>
      </c>
      <c r="C58" s="37"/>
      <c r="D58" s="37"/>
      <c r="E58" s="38" t="e">
        <f t="shared" si="3"/>
        <v>#DIV/0!</v>
      </c>
      <c r="F58" s="38">
        <f t="shared" si="4"/>
        <v>0</v>
      </c>
    </row>
    <row r="59" spans="1:8" ht="15" customHeight="1">
      <c r="A59" s="35" t="s">
        <v>37</v>
      </c>
      <c r="B59" s="39" t="s">
        <v>38</v>
      </c>
      <c r="C59" s="37">
        <v>8.9</v>
      </c>
      <c r="D59" s="37">
        <v>0</v>
      </c>
      <c r="E59" s="38">
        <f t="shared" si="3"/>
        <v>0</v>
      </c>
      <c r="F59" s="38">
        <f t="shared" si="4"/>
        <v>-8.9</v>
      </c>
    </row>
    <row r="60" spans="1:8" ht="13.5" customHeight="1">
      <c r="A60" s="35" t="s">
        <v>39</v>
      </c>
      <c r="B60" s="39" t="s">
        <v>40</v>
      </c>
      <c r="C60" s="40">
        <v>50</v>
      </c>
      <c r="D60" s="40">
        <v>0</v>
      </c>
      <c r="E60" s="38">
        <f t="shared" si="3"/>
        <v>0</v>
      </c>
      <c r="F60" s="38">
        <f t="shared" si="4"/>
        <v>-50</v>
      </c>
    </row>
    <row r="61" spans="1:8" ht="15.75" customHeight="1">
      <c r="A61" s="35" t="s">
        <v>41</v>
      </c>
      <c r="B61" s="39" t="s">
        <v>42</v>
      </c>
      <c r="C61" s="37">
        <v>22.977</v>
      </c>
      <c r="D61" s="37">
        <v>11.8</v>
      </c>
      <c r="E61" s="38">
        <f t="shared" si="3"/>
        <v>51.355703529616584</v>
      </c>
      <c r="F61" s="38">
        <f t="shared" si="4"/>
        <v>-11.177</v>
      </c>
    </row>
    <row r="62" spans="1:8" s="6" customFormat="1">
      <c r="A62" s="41" t="s">
        <v>43</v>
      </c>
      <c r="B62" s="42" t="s">
        <v>44</v>
      </c>
      <c r="C62" s="32">
        <f>C63</f>
        <v>103.383</v>
      </c>
      <c r="D62" s="32">
        <f>D63</f>
        <v>0</v>
      </c>
      <c r="E62" s="34">
        <f t="shared" si="3"/>
        <v>0</v>
      </c>
      <c r="F62" s="34">
        <f t="shared" si="4"/>
        <v>-103.383</v>
      </c>
    </row>
    <row r="63" spans="1:8">
      <c r="A63" s="43" t="s">
        <v>45</v>
      </c>
      <c r="B63" s="44" t="s">
        <v>46</v>
      </c>
      <c r="C63" s="37">
        <v>103.383</v>
      </c>
      <c r="D63" s="37"/>
      <c r="E63" s="38">
        <f t="shared" si="3"/>
        <v>0</v>
      </c>
      <c r="F63" s="38">
        <f t="shared" si="4"/>
        <v>-103.383</v>
      </c>
    </row>
    <row r="64" spans="1:8" s="6" customFormat="1" ht="16.5" customHeight="1">
      <c r="A64" s="30" t="s">
        <v>47</v>
      </c>
      <c r="B64" s="31" t="s">
        <v>48</v>
      </c>
      <c r="C64" s="32">
        <f>C68+C67+C69</f>
        <v>25</v>
      </c>
      <c r="D64" s="32">
        <f>D68+D67+D69</f>
        <v>5.8114799999999995</v>
      </c>
      <c r="E64" s="34">
        <f t="shared" si="3"/>
        <v>23.245919999999998</v>
      </c>
      <c r="F64" s="34">
        <f t="shared" si="4"/>
        <v>-19.18852</v>
      </c>
    </row>
    <row r="65" spans="1:7" hidden="1">
      <c r="A65" s="35" t="s">
        <v>49</v>
      </c>
      <c r="B65" s="39" t="s">
        <v>50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9.5" hidden="1" customHeight="1">
      <c r="A66" s="45" t="s">
        <v>51</v>
      </c>
      <c r="B66" s="39" t="s">
        <v>52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t="18" customHeight="1">
      <c r="A67" s="46" t="s">
        <v>53</v>
      </c>
      <c r="B67" s="47" t="s">
        <v>54</v>
      </c>
      <c r="C67" s="96">
        <v>13</v>
      </c>
      <c r="D67" s="37">
        <v>2.81148</v>
      </c>
      <c r="E67" s="34">
        <f t="shared" si="3"/>
        <v>21.626769230769231</v>
      </c>
      <c r="F67" s="34">
        <f t="shared" si="4"/>
        <v>-10.18852</v>
      </c>
    </row>
    <row r="68" spans="1:7" ht="15.75" customHeight="1">
      <c r="A68" s="46" t="s">
        <v>214</v>
      </c>
      <c r="B68" s="47" t="s">
        <v>215</v>
      </c>
      <c r="C68" s="37">
        <v>10</v>
      </c>
      <c r="D68" s="37">
        <v>3</v>
      </c>
      <c r="E68" s="34">
        <f t="shared" si="3"/>
        <v>30</v>
      </c>
      <c r="F68" s="34">
        <f t="shared" si="4"/>
        <v>-7</v>
      </c>
    </row>
    <row r="69" spans="1:7" ht="15.75" customHeight="1">
      <c r="A69" s="46" t="s">
        <v>338</v>
      </c>
      <c r="B69" s="47" t="s">
        <v>339</v>
      </c>
      <c r="C69" s="37">
        <v>2</v>
      </c>
      <c r="D69" s="37">
        <v>0</v>
      </c>
      <c r="E69" s="34"/>
      <c r="F69" s="34"/>
    </row>
    <row r="70" spans="1:7" s="6" customFormat="1">
      <c r="A70" s="30" t="s">
        <v>55</v>
      </c>
      <c r="B70" s="31" t="s">
        <v>56</v>
      </c>
      <c r="C70" s="48">
        <f>SUM(C71:C74)</f>
        <v>1481.1593499999999</v>
      </c>
      <c r="D70" s="48">
        <f>SUM(D71:D74)</f>
        <v>394.83209999999997</v>
      </c>
      <c r="E70" s="34">
        <f t="shared" si="3"/>
        <v>26.656963006714975</v>
      </c>
      <c r="F70" s="34">
        <f t="shared" si="4"/>
        <v>-1086.3272499999998</v>
      </c>
    </row>
    <row r="71" spans="1:7" ht="15" customHeight="1">
      <c r="A71" s="35" t="s">
        <v>57</v>
      </c>
      <c r="B71" s="39" t="s">
        <v>58</v>
      </c>
      <c r="C71" s="49"/>
      <c r="D71" s="37">
        <v>0</v>
      </c>
      <c r="E71" s="38" t="e">
        <f t="shared" si="3"/>
        <v>#DIV/0!</v>
      </c>
      <c r="F71" s="38">
        <f t="shared" si="4"/>
        <v>0</v>
      </c>
    </row>
    <row r="72" spans="1:7" s="6" customFormat="1" ht="18" customHeight="1">
      <c r="A72" s="35" t="s">
        <v>59</v>
      </c>
      <c r="B72" s="39" t="s">
        <v>60</v>
      </c>
      <c r="C72" s="49"/>
      <c r="D72" s="37">
        <v>0</v>
      </c>
      <c r="E72" s="38" t="e">
        <f t="shared" si="3"/>
        <v>#DIV/0!</v>
      </c>
      <c r="F72" s="38">
        <f t="shared" si="4"/>
        <v>0</v>
      </c>
      <c r="G72" s="50"/>
    </row>
    <row r="73" spans="1:7">
      <c r="A73" s="35" t="s">
        <v>61</v>
      </c>
      <c r="B73" s="39" t="s">
        <v>62</v>
      </c>
      <c r="C73" s="49">
        <v>1331.1593499999999</v>
      </c>
      <c r="D73" s="37">
        <v>265.13209999999998</v>
      </c>
      <c r="E73" s="38">
        <f t="shared" si="3"/>
        <v>19.917382543269518</v>
      </c>
      <c r="F73" s="38">
        <f t="shared" si="4"/>
        <v>-1066.0272499999999</v>
      </c>
    </row>
    <row r="74" spans="1:7">
      <c r="A74" s="35" t="s">
        <v>63</v>
      </c>
      <c r="B74" s="39" t="s">
        <v>64</v>
      </c>
      <c r="C74" s="49">
        <v>150</v>
      </c>
      <c r="D74" s="37">
        <v>129.69999999999999</v>
      </c>
      <c r="E74" s="38">
        <f t="shared" si="3"/>
        <v>86.466666666666654</v>
      </c>
      <c r="F74" s="38">
        <f t="shared" si="4"/>
        <v>-20.300000000000011</v>
      </c>
    </row>
    <row r="75" spans="1:7" s="6" customFormat="1" ht="16.5" customHeight="1">
      <c r="A75" s="30" t="s">
        <v>65</v>
      </c>
      <c r="B75" s="31" t="s">
        <v>66</v>
      </c>
      <c r="C75" s="32">
        <f>SUM(C76:C78)</f>
        <v>996.97799999999995</v>
      </c>
      <c r="D75" s="32">
        <f>SUM(D77:D78)</f>
        <v>70.235349999999997</v>
      </c>
      <c r="E75" s="34">
        <f t="shared" si="3"/>
        <v>7.0448244595166587</v>
      </c>
      <c r="F75" s="34">
        <f t="shared" si="4"/>
        <v>-926.74264999999991</v>
      </c>
    </row>
    <row r="76" spans="1:7" hidden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3"/>
        <v>#DIV/0!</v>
      </c>
      <c r="F76" s="38">
        <f t="shared" si="4"/>
        <v>0</v>
      </c>
    </row>
    <row r="77" spans="1:7" ht="15" customHeight="1">
      <c r="A77" s="35" t="s">
        <v>69</v>
      </c>
      <c r="B77" s="51" t="s">
        <v>70</v>
      </c>
      <c r="C77" s="37">
        <v>200</v>
      </c>
      <c r="D77" s="37">
        <v>20</v>
      </c>
      <c r="E77" s="38">
        <f t="shared" si="3"/>
        <v>10</v>
      </c>
      <c r="F77" s="38">
        <f t="shared" si="4"/>
        <v>-180</v>
      </c>
    </row>
    <row r="78" spans="1:7">
      <c r="A78" s="35" t="s">
        <v>71</v>
      </c>
      <c r="B78" s="39" t="s">
        <v>72</v>
      </c>
      <c r="C78" s="37">
        <v>796.97799999999995</v>
      </c>
      <c r="D78" s="37">
        <v>50.235349999999997</v>
      </c>
      <c r="E78" s="38">
        <f>SUM(D78/C78*100)</f>
        <v>6.3032291982965658</v>
      </c>
      <c r="F78" s="38">
        <f t="shared" si="4"/>
        <v>-746.74264999999991</v>
      </c>
    </row>
    <row r="79" spans="1:7" s="6" customFormat="1">
      <c r="A79" s="30" t="s">
        <v>83</v>
      </c>
      <c r="B79" s="31" t="s">
        <v>84</v>
      </c>
      <c r="C79" s="32">
        <f>C80</f>
        <v>1092.3</v>
      </c>
      <c r="D79" s="32">
        <f>SUM(D80)</f>
        <v>560.75</v>
      </c>
      <c r="E79" s="34">
        <f t="shared" si="3"/>
        <v>51.336629131191067</v>
      </c>
      <c r="F79" s="34">
        <f t="shared" si="4"/>
        <v>-531.54999999999995</v>
      </c>
    </row>
    <row r="80" spans="1:7" ht="20.25" customHeight="1">
      <c r="A80" s="35" t="s">
        <v>85</v>
      </c>
      <c r="B80" s="39" t="s">
        <v>229</v>
      </c>
      <c r="C80" s="37">
        <v>1092.3</v>
      </c>
      <c r="D80" s="37">
        <v>560.75</v>
      </c>
      <c r="E80" s="38">
        <f t="shared" si="3"/>
        <v>51.336629131191067</v>
      </c>
      <c r="F80" s="38">
        <f t="shared" si="4"/>
        <v>-531.54999999999995</v>
      </c>
    </row>
    <row r="81" spans="1:6" s="6" customFormat="1" ht="0.75" hidden="1" customHeight="1">
      <c r="A81" s="52">
        <v>1000</v>
      </c>
      <c r="B81" s="31" t="s">
        <v>86</v>
      </c>
      <c r="C81" s="32">
        <f>SUM(C82:C85)</f>
        <v>0</v>
      </c>
      <c r="D81" s="32">
        <f>SUM(D82:D85)</f>
        <v>0</v>
      </c>
      <c r="E81" s="34" t="e">
        <f t="shared" si="3"/>
        <v>#DIV/0!</v>
      </c>
      <c r="F81" s="34">
        <f t="shared" si="4"/>
        <v>0</v>
      </c>
    </row>
    <row r="82" spans="1:6" ht="1.5" hidden="1" customHeight="1">
      <c r="A82" s="53">
        <v>1001</v>
      </c>
      <c r="B82" s="54" t="s">
        <v>87</v>
      </c>
      <c r="C82" s="37"/>
      <c r="D82" s="37"/>
      <c r="E82" s="38" t="e">
        <f t="shared" si="3"/>
        <v>#DIV/0!</v>
      </c>
      <c r="F82" s="38">
        <f t="shared" si="4"/>
        <v>0</v>
      </c>
    </row>
    <row r="83" spans="1:6" ht="27" hidden="1" customHeight="1">
      <c r="A83" s="53">
        <v>1003</v>
      </c>
      <c r="B83" s="54" t="s">
        <v>88</v>
      </c>
      <c r="C83" s="37">
        <v>0</v>
      </c>
      <c r="D83" s="37">
        <v>0</v>
      </c>
      <c r="E83" s="38" t="e">
        <f t="shared" si="3"/>
        <v>#DIV/0!</v>
      </c>
      <c r="F83" s="38">
        <f t="shared" si="4"/>
        <v>0</v>
      </c>
    </row>
    <row r="84" spans="1:6" ht="27.75" hidden="1" customHeight="1">
      <c r="A84" s="53">
        <v>1004</v>
      </c>
      <c r="B84" s="54" t="s">
        <v>89</v>
      </c>
      <c r="C84" s="37"/>
      <c r="D84" s="55"/>
      <c r="E84" s="38" t="e">
        <f t="shared" si="3"/>
        <v>#DIV/0!</v>
      </c>
      <c r="F84" s="38">
        <f t="shared" si="4"/>
        <v>0</v>
      </c>
    </row>
    <row r="85" spans="1:6" ht="23.25" hidden="1" customHeight="1">
      <c r="A85" s="35" t="s">
        <v>90</v>
      </c>
      <c r="B85" s="39" t="s">
        <v>91</v>
      </c>
      <c r="C85" s="37">
        <v>0</v>
      </c>
      <c r="D85" s="37">
        <v>0</v>
      </c>
      <c r="E85" s="38"/>
      <c r="F85" s="38">
        <f t="shared" si="4"/>
        <v>0</v>
      </c>
    </row>
    <row r="86" spans="1:6" ht="17.25" customHeight="1">
      <c r="A86" s="30" t="s">
        <v>92</v>
      </c>
      <c r="B86" s="31" t="s">
        <v>93</v>
      </c>
      <c r="C86" s="32">
        <f>C87+C88+C89+C90+C91</f>
        <v>30</v>
      </c>
      <c r="D86" s="32">
        <f>D87+D88+D89+D90+D91</f>
        <v>13.45</v>
      </c>
      <c r="E86" s="38">
        <f t="shared" si="3"/>
        <v>44.833333333333329</v>
      </c>
      <c r="F86" s="22">
        <f>F87+F88+F89+F90+F91</f>
        <v>-16.55</v>
      </c>
    </row>
    <row r="87" spans="1:6" ht="15" customHeight="1">
      <c r="A87" s="35" t="s">
        <v>94</v>
      </c>
      <c r="B87" s="39" t="s">
        <v>95</v>
      </c>
      <c r="C87" s="234">
        <v>30</v>
      </c>
      <c r="D87" s="234">
        <v>13.45</v>
      </c>
      <c r="E87" s="38">
        <f t="shared" si="3"/>
        <v>44.833333333333329</v>
      </c>
      <c r="F87" s="38">
        <f>SUM(D87-C87)</f>
        <v>-16.55</v>
      </c>
    </row>
    <row r="88" spans="1:6" ht="15.75" hidden="1" customHeight="1">
      <c r="A88" s="35" t="s">
        <v>96</v>
      </c>
      <c r="B88" s="39" t="s">
        <v>97</v>
      </c>
      <c r="C88" s="234"/>
      <c r="D88" s="234"/>
      <c r="E88" s="38" t="e">
        <f t="shared" si="3"/>
        <v>#DIV/0!</v>
      </c>
      <c r="F88" s="38">
        <f>SUM(D88-C88)</f>
        <v>0</v>
      </c>
    </row>
    <row r="89" spans="1:6" ht="15.75" hidden="1" customHeight="1">
      <c r="A89" s="35" t="s">
        <v>98</v>
      </c>
      <c r="B89" s="39" t="s">
        <v>99</v>
      </c>
      <c r="C89" s="234"/>
      <c r="D89" s="234"/>
      <c r="E89" s="38" t="e">
        <f t="shared" si="3"/>
        <v>#DIV/0!</v>
      </c>
      <c r="F89" s="38"/>
    </row>
    <row r="90" spans="1:6" ht="15.75" hidden="1" customHeight="1">
      <c r="A90" s="35" t="s">
        <v>100</v>
      </c>
      <c r="B90" s="39" t="s">
        <v>101</v>
      </c>
      <c r="C90" s="234"/>
      <c r="D90" s="234"/>
      <c r="E90" s="38" t="e">
        <f t="shared" si="3"/>
        <v>#DIV/0!</v>
      </c>
      <c r="F90" s="38"/>
    </row>
    <row r="91" spans="1:6" ht="15.75" hidden="1" customHeight="1">
      <c r="A91" s="35" t="s">
        <v>102</v>
      </c>
      <c r="B91" s="39" t="s">
        <v>103</v>
      </c>
      <c r="C91" s="234"/>
      <c r="D91" s="234"/>
      <c r="E91" s="38" t="e">
        <f t="shared" si="3"/>
        <v>#DIV/0!</v>
      </c>
      <c r="F91" s="38"/>
    </row>
    <row r="92" spans="1:6" s="6" customFormat="1" ht="16.5" hidden="1" customHeight="1">
      <c r="A92" s="52">
        <v>1400</v>
      </c>
      <c r="B92" s="56" t="s">
        <v>112</v>
      </c>
      <c r="C92" s="235">
        <f>C93+C94+C95</f>
        <v>0</v>
      </c>
      <c r="D92" s="235">
        <f>SUM(D93:D95)</f>
        <v>0</v>
      </c>
      <c r="E92" s="34" t="e">
        <f t="shared" si="3"/>
        <v>#DIV/0!</v>
      </c>
      <c r="F92" s="34">
        <f t="shared" si="4"/>
        <v>0</v>
      </c>
    </row>
    <row r="93" spans="1:6" ht="23.25" hidden="1" customHeight="1">
      <c r="A93" s="53">
        <v>1401</v>
      </c>
      <c r="B93" s="54" t="s">
        <v>113</v>
      </c>
      <c r="C93" s="236"/>
      <c r="D93" s="234"/>
      <c r="E93" s="38" t="e">
        <f t="shared" si="3"/>
        <v>#DIV/0!</v>
      </c>
      <c r="F93" s="38">
        <f t="shared" si="4"/>
        <v>0</v>
      </c>
    </row>
    <row r="94" spans="1:6" ht="19.5" hidden="1" customHeight="1">
      <c r="A94" s="53">
        <v>1402</v>
      </c>
      <c r="B94" s="54" t="s">
        <v>114</v>
      </c>
      <c r="C94" s="236"/>
      <c r="D94" s="234"/>
      <c r="E94" s="38" t="e">
        <f t="shared" si="3"/>
        <v>#DIV/0!</v>
      </c>
      <c r="F94" s="38">
        <f t="shared" si="4"/>
        <v>0</v>
      </c>
    </row>
    <row r="95" spans="1:6" ht="17.25" hidden="1" customHeight="1">
      <c r="A95" s="53">
        <v>1403</v>
      </c>
      <c r="B95" s="54" t="s">
        <v>115</v>
      </c>
      <c r="C95" s="237">
        <v>0</v>
      </c>
      <c r="D95" s="238">
        <v>0</v>
      </c>
      <c r="E95" s="38" t="e">
        <f t="shared" si="3"/>
        <v>#DIV/0!</v>
      </c>
      <c r="F95" s="38">
        <f t="shared" si="4"/>
        <v>0</v>
      </c>
    </row>
    <row r="96" spans="1:6" s="6" customFormat="1" ht="15.75" customHeight="1">
      <c r="A96" s="52"/>
      <c r="B96" s="57" t="s">
        <v>116</v>
      </c>
      <c r="C96" s="437">
        <f>C54+C62+C64+C70+C75+C79+C86</f>
        <v>5176.1973500000004</v>
      </c>
      <c r="D96" s="437">
        <f>D54+D62+D64+D70+D75+D79+D86</f>
        <v>1658.9250099999999</v>
      </c>
      <c r="E96" s="34">
        <f t="shared" si="3"/>
        <v>32.049106667078675</v>
      </c>
      <c r="F96" s="34">
        <f t="shared" si="4"/>
        <v>-3517.2723400000004</v>
      </c>
    </row>
    <row r="97" spans="1:4" ht="16.5" customHeight="1">
      <c r="C97" s="125"/>
      <c r="D97" s="101"/>
    </row>
    <row r="98" spans="1:4" s="112" customFormat="1" ht="20.25" customHeight="1">
      <c r="A98" s="110" t="s">
        <v>117</v>
      </c>
      <c r="B98" s="110"/>
      <c r="C98" s="128"/>
      <c r="D98" s="111"/>
    </row>
    <row r="99" spans="1:4" s="112" customFormat="1" ht="13.5" customHeight="1">
      <c r="A99" s="113" t="s">
        <v>118</v>
      </c>
      <c r="B99" s="113"/>
      <c r="C99" s="117" t="s">
        <v>119</v>
      </c>
    </row>
    <row r="101" spans="1:4" ht="5.25" customHeight="1"/>
  </sheetData>
  <customSheetViews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1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2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3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4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5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7"/>
    </customSheetView>
    <customSheetView guid="{B30CE22D-C12F-4E12-8BB9-3AAE0A6991CC}" scale="70" showPageBreaks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2" orientation="portrait" r:id="rId8"/>
    </customSheetView>
    <customSheetView guid="{61528DAC-5C4C-48F4-ADE2-8A724B05A086}" scale="70" showPageBreaks="1" hiddenRows="1" view="pageBreakPreview" topLeftCell="A18">
      <selection activeCell="D87" sqref="D87"/>
      <pageMargins left="0.70866141732283472" right="0.70866141732283472" top="0.74803149606299213" bottom="0.74803149606299213" header="0.31496062992125984" footer="0.31496062992125984"/>
      <pageSetup paperSize="9" scale="59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64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N33"/>
  <sheetViews>
    <sheetView view="pageBreakPreview" topLeftCell="A10" zoomScale="75" zoomScaleSheetLayoutView="70" workbookViewId="0">
      <pane xSplit="2" ySplit="4" topLeftCell="C14" activePane="bottomRight" state="frozen"/>
      <selection activeCell="A10" sqref="A10"/>
      <selection pane="topRight" activeCell="C10" sqref="C10"/>
      <selection pane="bottomLeft" activeCell="A14" sqref="A14"/>
      <selection pane="bottomRight" activeCell="BO33" sqref="BO33"/>
    </sheetView>
  </sheetViews>
  <sheetFormatPr defaultRowHeight="15"/>
  <cols>
    <col min="1" max="1" width="6.140625" style="151" customWidth="1"/>
    <col min="2" max="2" width="26.42578125" style="151" customWidth="1"/>
    <col min="3" max="3" width="17" style="151" customWidth="1"/>
    <col min="4" max="4" width="16.5703125" style="152" customWidth="1"/>
    <col min="5" max="5" width="11.42578125" style="151" customWidth="1"/>
    <col min="6" max="6" width="15.42578125" style="151" customWidth="1"/>
    <col min="7" max="7" width="15.5703125" style="151" customWidth="1"/>
    <col min="8" max="8" width="11" style="151" customWidth="1"/>
    <col min="9" max="9" width="15.5703125" style="151" customWidth="1"/>
    <col min="10" max="10" width="17" style="151" customWidth="1"/>
    <col min="11" max="11" width="13" style="151" bestFit="1" customWidth="1"/>
    <col min="12" max="12" width="15.140625" style="151" customWidth="1"/>
    <col min="13" max="13" width="14.42578125" style="151" customWidth="1"/>
    <col min="14" max="14" width="13" style="151" bestFit="1" customWidth="1"/>
    <col min="15" max="15" width="14.140625" style="151" customWidth="1"/>
    <col min="16" max="16" width="15.7109375" style="151" customWidth="1"/>
    <col min="17" max="17" width="10.140625" style="151" customWidth="1"/>
    <col min="18" max="18" width="16.7109375" style="151" bestFit="1" customWidth="1"/>
    <col min="19" max="19" width="17.28515625" style="151" bestFit="1" customWidth="1"/>
    <col min="20" max="20" width="10" style="151" customWidth="1"/>
    <col min="21" max="21" width="13.5703125" style="151" customWidth="1"/>
    <col min="22" max="22" width="14.7109375" style="151" customWidth="1"/>
    <col min="23" max="23" width="12.28515625" style="151" customWidth="1"/>
    <col min="24" max="24" width="15.140625" style="151" customWidth="1"/>
    <col min="25" max="25" width="13.42578125" style="151" customWidth="1"/>
    <col min="26" max="26" width="12.5703125" style="151" customWidth="1"/>
    <col min="27" max="28" width="14.85546875" style="151" customWidth="1"/>
    <col min="29" max="29" width="10.7109375" style="151" customWidth="1"/>
    <col min="30" max="30" width="17" style="151" customWidth="1"/>
    <col min="31" max="31" width="15.7109375" style="151" customWidth="1"/>
    <col min="32" max="32" width="10" style="151" customWidth="1"/>
    <col min="33" max="33" width="13.85546875" style="151" customWidth="1"/>
    <col min="34" max="34" width="12.28515625" style="151" customWidth="1"/>
    <col min="35" max="35" width="11.85546875" style="151" customWidth="1"/>
    <col min="36" max="36" width="11" style="151" customWidth="1"/>
    <col min="37" max="37" width="14.5703125" style="151" customWidth="1"/>
    <col min="38" max="38" width="13.7109375" style="151" customWidth="1"/>
    <col min="39" max="39" width="15.42578125" style="151" customWidth="1"/>
    <col min="40" max="40" width="16" style="151" customWidth="1"/>
    <col min="41" max="41" width="16.28515625" style="151" customWidth="1"/>
    <col min="42" max="42" width="14.28515625" style="151" customWidth="1"/>
    <col min="43" max="43" width="15.28515625" style="151" customWidth="1"/>
    <col min="44" max="44" width="11" style="151" customWidth="1"/>
    <col min="45" max="45" width="14.42578125" style="151" customWidth="1"/>
    <col min="46" max="46" width="14.7109375" style="151" customWidth="1"/>
    <col min="47" max="47" width="12.42578125" style="151" customWidth="1"/>
    <col min="48" max="48" width="9.42578125" style="151" hidden="1" customWidth="1"/>
    <col min="49" max="49" width="9.7109375" style="151" hidden="1" customWidth="1"/>
    <col min="50" max="50" width="11.85546875" style="151" hidden="1" customWidth="1"/>
    <col min="51" max="51" width="13.85546875" style="151" customWidth="1"/>
    <col min="52" max="52" width="12.85546875" style="151" customWidth="1"/>
    <col min="53" max="53" width="11.7109375" style="151" customWidth="1"/>
    <col min="54" max="56" width="9.85546875" style="151" hidden="1" customWidth="1"/>
    <col min="57" max="57" width="11.7109375" style="151" customWidth="1"/>
    <col min="58" max="58" width="14.85546875" style="151" customWidth="1"/>
    <col min="59" max="59" width="16" style="151" customWidth="1"/>
    <col min="60" max="61" width="9.7109375" style="151" hidden="1" customWidth="1"/>
    <col min="62" max="62" width="17.7109375" style="151" hidden="1" customWidth="1"/>
    <col min="63" max="63" width="0.42578125" style="151" hidden="1" customWidth="1"/>
    <col min="64" max="64" width="20.5703125" style="151" hidden="1" customWidth="1"/>
    <col min="65" max="65" width="10.140625" style="151" hidden="1" customWidth="1"/>
    <col min="66" max="66" width="15.28515625" style="151" customWidth="1"/>
    <col min="67" max="67" width="11.140625" style="151" customWidth="1"/>
    <col min="68" max="68" width="13.85546875" style="151" customWidth="1"/>
    <col min="69" max="69" width="15.28515625" style="151" customWidth="1"/>
    <col min="70" max="70" width="15" style="151" customWidth="1"/>
    <col min="71" max="71" width="12.42578125" style="151" customWidth="1"/>
    <col min="72" max="73" width="9.7109375" style="151" hidden="1" customWidth="1"/>
    <col min="74" max="74" width="9.5703125" style="151" hidden="1" customWidth="1"/>
    <col min="75" max="75" width="9.42578125" style="151" hidden="1" customWidth="1"/>
    <col min="76" max="76" width="9.7109375" style="151" hidden="1" customWidth="1"/>
    <col min="77" max="77" width="10.140625" style="151" hidden="1" customWidth="1"/>
    <col min="78" max="78" width="20" style="151" customWidth="1"/>
    <col min="79" max="79" width="17" style="151" customWidth="1"/>
    <col min="80" max="80" width="10" style="151" customWidth="1"/>
    <col min="81" max="81" width="16.42578125" style="151" customWidth="1"/>
    <col min="82" max="82" width="15.7109375" style="151" customWidth="1"/>
    <col min="83" max="83" width="12.140625" style="151" customWidth="1"/>
    <col min="84" max="84" width="20.42578125" style="151" customWidth="1"/>
    <col min="85" max="85" width="21.42578125" style="151" customWidth="1"/>
    <col min="86" max="86" width="18.42578125" style="151" customWidth="1"/>
    <col min="87" max="87" width="17.42578125" style="151" customWidth="1"/>
    <col min="88" max="88" width="16.5703125" style="151" customWidth="1"/>
    <col min="89" max="89" width="10" style="151" customWidth="1"/>
    <col min="90" max="90" width="19.85546875" style="151" customWidth="1"/>
    <col min="91" max="91" width="18" style="151" customWidth="1"/>
    <col min="92" max="92" width="13.28515625" style="151" customWidth="1"/>
    <col min="93" max="93" width="19.85546875" style="151" customWidth="1"/>
    <col min="94" max="94" width="22.28515625" style="151" customWidth="1"/>
    <col min="95" max="95" width="14.85546875" style="151" customWidth="1"/>
    <col min="96" max="96" width="16.7109375" style="151" customWidth="1"/>
    <col min="97" max="97" width="16.85546875" style="151" customWidth="1"/>
    <col min="98" max="98" width="14.42578125" style="151" bestFit="1" customWidth="1"/>
    <col min="99" max="99" width="9.85546875" style="151" bestFit="1" customWidth="1"/>
    <col min="100" max="100" width="14.42578125" style="151" customWidth="1"/>
    <col min="101" max="101" width="14.28515625" style="151" customWidth="1"/>
    <col min="102" max="103" width="9.85546875" style="151" hidden="1" customWidth="1"/>
    <col min="104" max="104" width="14.42578125" style="151" hidden="1" customWidth="1"/>
    <col min="105" max="106" width="9.85546875" style="151" hidden="1" customWidth="1"/>
    <col min="107" max="107" width="14.42578125" style="151" hidden="1" customWidth="1"/>
    <col min="108" max="109" width="9.85546875" style="151" hidden="1" customWidth="1"/>
    <col min="110" max="110" width="14.42578125" style="151" hidden="1" customWidth="1"/>
    <col min="111" max="111" width="17.5703125" style="151" customWidth="1"/>
    <col min="112" max="112" width="20.28515625" style="151" customWidth="1"/>
    <col min="113" max="113" width="13" style="151" bestFit="1" customWidth="1"/>
    <col min="114" max="114" width="18" style="151" bestFit="1" customWidth="1"/>
    <col min="115" max="115" width="20.5703125" style="151" customWidth="1"/>
    <col min="116" max="116" width="13.28515625" style="151" customWidth="1"/>
    <col min="117" max="117" width="16.7109375" style="151" customWidth="1"/>
    <col min="118" max="118" width="16.85546875" style="151" customWidth="1"/>
    <col min="119" max="119" width="12.28515625" style="151" customWidth="1"/>
    <col min="120" max="120" width="15.28515625" style="151" customWidth="1"/>
    <col min="121" max="121" width="14.28515625" style="151" customWidth="1"/>
    <col min="122" max="122" width="13.85546875" style="151" customWidth="1"/>
    <col min="123" max="123" width="18.85546875" style="151" customWidth="1"/>
    <col min="124" max="124" width="13.7109375" style="151" customWidth="1"/>
    <col min="125" max="125" width="10.140625" style="151" customWidth="1"/>
    <col min="126" max="126" width="16" style="151" customWidth="1"/>
    <col min="127" max="127" width="15.42578125" style="151" customWidth="1"/>
    <col min="128" max="128" width="10.140625" style="151" customWidth="1"/>
    <col min="129" max="129" width="15.140625" style="151" customWidth="1"/>
    <col min="130" max="130" width="18.5703125" style="151" customWidth="1"/>
    <col min="131" max="131" width="12.42578125" style="151" customWidth="1"/>
    <col min="132" max="132" width="15.28515625" style="151" customWidth="1"/>
    <col min="133" max="133" width="12.42578125" style="151" customWidth="1"/>
    <col min="134" max="134" width="10.140625" style="151" customWidth="1"/>
    <col min="135" max="135" width="18" style="151" customWidth="1"/>
    <col min="136" max="136" width="14.85546875" style="151" customWidth="1"/>
    <col min="137" max="137" width="10.5703125" style="151" customWidth="1"/>
    <col min="138" max="138" width="16.7109375" style="151" customWidth="1"/>
    <col min="139" max="139" width="15.28515625" style="151" customWidth="1"/>
    <col min="140" max="140" width="8.7109375" style="151" customWidth="1"/>
    <col min="141" max="141" width="15.5703125" style="151" customWidth="1"/>
    <col min="142" max="142" width="16" style="151" customWidth="1"/>
    <col min="143" max="144" width="10.140625" style="151" customWidth="1"/>
    <col min="145" max="145" width="10.85546875" style="151" customWidth="1"/>
    <col min="146" max="146" width="11.42578125" style="151" customWidth="1"/>
    <col min="147" max="147" width="13.5703125" style="151" customWidth="1"/>
    <col min="148" max="148" width="14.85546875" style="151" customWidth="1"/>
    <col min="149" max="149" width="10" style="151" customWidth="1"/>
    <col min="150" max="150" width="9.85546875" style="151" customWidth="1"/>
    <col min="151" max="151" width="11.42578125" style="151" customWidth="1"/>
    <col min="152" max="152" width="11.28515625" style="151" customWidth="1"/>
    <col min="153" max="153" width="17.85546875" style="151" customWidth="1"/>
    <col min="154" max="154" width="16.42578125" style="151" customWidth="1"/>
    <col min="155" max="155" width="12.7109375" style="151" customWidth="1"/>
    <col min="156" max="156" width="14.85546875" style="151" customWidth="1"/>
    <col min="157" max="16384" width="9.140625" style="151"/>
  </cols>
  <sheetData>
    <row r="1" spans="1:159" ht="18" customHeight="1">
      <c r="X1" s="510" t="s">
        <v>134</v>
      </c>
      <c r="Y1" s="510"/>
      <c r="Z1" s="510"/>
      <c r="AA1" s="154"/>
      <c r="AB1" s="154"/>
      <c r="AC1" s="154"/>
      <c r="AD1" s="505"/>
      <c r="AE1" s="505"/>
      <c r="AF1" s="505"/>
      <c r="AG1" s="155"/>
      <c r="AH1" s="155"/>
      <c r="AI1" s="155"/>
      <c r="AJ1" s="155"/>
      <c r="AK1" s="155"/>
      <c r="AL1" s="155"/>
    </row>
    <row r="2" spans="1:159" ht="19.5" customHeight="1">
      <c r="X2" s="155" t="s">
        <v>135</v>
      </c>
      <c r="Y2" s="155"/>
      <c r="Z2" s="155"/>
      <c r="AA2" s="153"/>
      <c r="AB2" s="153"/>
      <c r="AC2" s="153"/>
      <c r="AD2" s="505"/>
      <c r="AE2" s="505"/>
      <c r="AF2" s="505"/>
      <c r="AG2" s="155"/>
      <c r="AH2" s="155"/>
      <c r="AI2" s="155"/>
      <c r="AJ2" s="155"/>
      <c r="AK2" s="155"/>
      <c r="AL2" s="155"/>
    </row>
    <row r="3" spans="1:159" ht="30.75" customHeight="1">
      <c r="A3" s="156"/>
      <c r="B3" s="350"/>
      <c r="C3" s="350"/>
      <c r="D3" s="351"/>
      <c r="E3" s="350"/>
      <c r="F3" s="350"/>
      <c r="G3" s="350"/>
      <c r="H3" s="350"/>
      <c r="I3" s="350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515" t="s">
        <v>136</v>
      </c>
      <c r="Y3" s="515"/>
      <c r="Z3" s="515"/>
      <c r="AA3" s="156"/>
      <c r="AB3" s="156"/>
      <c r="AC3" s="156"/>
      <c r="AD3" s="509"/>
      <c r="AE3" s="509"/>
      <c r="AF3" s="509"/>
      <c r="AG3" s="157"/>
      <c r="AH3" s="157"/>
      <c r="AI3" s="157"/>
      <c r="AJ3" s="157"/>
      <c r="AK3" s="157"/>
      <c r="AL3" s="157"/>
      <c r="AM3" s="156"/>
      <c r="AN3" s="156"/>
      <c r="AO3" s="156"/>
      <c r="AP3" s="156"/>
      <c r="AQ3" s="156"/>
      <c r="AR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</row>
    <row r="4" spans="1:159" ht="24" customHeight="1">
      <c r="B4" s="513" t="s">
        <v>137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158"/>
      <c r="AB4" s="158"/>
      <c r="AC4" s="158"/>
      <c r="AD4" s="158"/>
      <c r="AE4" s="158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</row>
    <row r="5" spans="1:159" ht="20.25" customHeight="1">
      <c r="B5" s="511" t="s">
        <v>413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159"/>
      <c r="AB5" s="159"/>
      <c r="AC5" s="159"/>
      <c r="AD5" s="159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</row>
    <row r="6" spans="1:159" ht="15" customHeight="1">
      <c r="A6" s="156"/>
      <c r="B6" s="353"/>
      <c r="C6" s="354"/>
      <c r="D6" s="355"/>
      <c r="E6" s="353"/>
      <c r="F6" s="353"/>
      <c r="G6" s="356"/>
      <c r="H6" s="356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353"/>
      <c r="Z6" s="3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W6" s="156"/>
      <c r="EX6" s="156"/>
      <c r="EY6" s="156"/>
    </row>
    <row r="7" spans="1:159" s="160" customFormat="1" ht="15" customHeight="1">
      <c r="A7" s="504" t="s">
        <v>138</v>
      </c>
      <c r="B7" s="504" t="s">
        <v>139</v>
      </c>
      <c r="C7" s="495" t="s">
        <v>140</v>
      </c>
      <c r="D7" s="496"/>
      <c r="E7" s="497"/>
      <c r="F7" s="280" t="s">
        <v>141</v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2"/>
      <c r="DD7" s="281"/>
      <c r="DE7" s="281"/>
      <c r="DF7" s="282"/>
      <c r="DG7" s="495" t="s">
        <v>142</v>
      </c>
      <c r="DH7" s="496"/>
      <c r="DI7" s="497"/>
      <c r="DJ7" s="495"/>
      <c r="DK7" s="496"/>
      <c r="DL7" s="496"/>
      <c r="DM7" s="496"/>
      <c r="DN7" s="496"/>
      <c r="DO7" s="496"/>
      <c r="DP7" s="496"/>
      <c r="DQ7" s="496"/>
      <c r="DR7" s="496"/>
      <c r="DS7" s="496"/>
      <c r="DT7" s="496"/>
      <c r="DU7" s="496"/>
      <c r="DV7" s="496"/>
      <c r="DW7" s="496"/>
      <c r="DX7" s="496"/>
      <c r="DY7" s="496"/>
      <c r="DZ7" s="496"/>
      <c r="EA7" s="496"/>
      <c r="EB7" s="496"/>
      <c r="EC7" s="496"/>
      <c r="ED7" s="496"/>
      <c r="EE7" s="496"/>
      <c r="EF7" s="496"/>
      <c r="EG7" s="496"/>
      <c r="EH7" s="496"/>
      <c r="EI7" s="496"/>
      <c r="EJ7" s="496"/>
      <c r="EK7" s="496"/>
      <c r="EL7" s="496"/>
      <c r="EM7" s="496"/>
      <c r="EN7" s="496"/>
      <c r="EO7" s="496"/>
      <c r="EP7" s="496"/>
      <c r="EQ7" s="496"/>
      <c r="ER7" s="496"/>
      <c r="ES7" s="496"/>
      <c r="ET7" s="496"/>
      <c r="EU7" s="496"/>
      <c r="EV7" s="497"/>
      <c r="EW7" s="495" t="s">
        <v>143</v>
      </c>
      <c r="EX7" s="496"/>
      <c r="EY7" s="497"/>
    </row>
    <row r="8" spans="1:159" s="160" customFormat="1" ht="15" customHeight="1">
      <c r="A8" s="504"/>
      <c r="B8" s="504"/>
      <c r="C8" s="498"/>
      <c r="D8" s="499"/>
      <c r="E8" s="500"/>
      <c r="F8" s="498" t="s">
        <v>144</v>
      </c>
      <c r="G8" s="499"/>
      <c r="H8" s="500"/>
      <c r="I8" s="506" t="s">
        <v>145</v>
      </c>
      <c r="J8" s="507"/>
      <c r="K8" s="507"/>
      <c r="L8" s="507"/>
      <c r="M8" s="507"/>
      <c r="N8" s="507"/>
      <c r="O8" s="507"/>
      <c r="P8" s="507"/>
      <c r="Q8" s="507"/>
      <c r="R8" s="507"/>
      <c r="S8" s="507"/>
      <c r="T8" s="507"/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8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4"/>
      <c r="BT8" s="285"/>
      <c r="BU8" s="285"/>
      <c r="BV8" s="285"/>
      <c r="BW8" s="286"/>
      <c r="BX8" s="286"/>
      <c r="BY8" s="286"/>
      <c r="BZ8" s="504" t="s">
        <v>146</v>
      </c>
      <c r="CA8" s="504"/>
      <c r="CB8" s="504"/>
      <c r="CC8" s="501" t="s">
        <v>145</v>
      </c>
      <c r="CD8" s="502"/>
      <c r="CE8" s="502"/>
      <c r="CF8" s="502"/>
      <c r="CG8" s="502"/>
      <c r="CH8" s="502"/>
      <c r="CI8" s="502"/>
      <c r="CJ8" s="502"/>
      <c r="CK8" s="502"/>
      <c r="CL8" s="502"/>
      <c r="CM8" s="502"/>
      <c r="CN8" s="502"/>
      <c r="CO8" s="287"/>
      <c r="CP8" s="287"/>
      <c r="CQ8" s="287"/>
      <c r="CR8" s="287"/>
      <c r="CS8" s="287"/>
      <c r="CT8" s="287"/>
      <c r="CU8" s="288"/>
      <c r="CV8" s="288"/>
      <c r="CW8" s="289"/>
      <c r="CX8" s="498" t="s">
        <v>147</v>
      </c>
      <c r="CY8" s="499"/>
      <c r="CZ8" s="500"/>
      <c r="DA8" s="492"/>
      <c r="DB8" s="493"/>
      <c r="DC8" s="494"/>
      <c r="DD8" s="492"/>
      <c r="DE8" s="493"/>
      <c r="DF8" s="494"/>
      <c r="DG8" s="498"/>
      <c r="DH8" s="499"/>
      <c r="DI8" s="500"/>
      <c r="DJ8" s="498" t="s">
        <v>145</v>
      </c>
      <c r="DK8" s="499"/>
      <c r="DL8" s="499"/>
      <c r="DM8" s="499"/>
      <c r="DN8" s="499"/>
      <c r="DO8" s="499"/>
      <c r="DP8" s="499"/>
      <c r="DQ8" s="499"/>
      <c r="DR8" s="499"/>
      <c r="DS8" s="499"/>
      <c r="DT8" s="499"/>
      <c r="DU8" s="499"/>
      <c r="DV8" s="499"/>
      <c r="DW8" s="499"/>
      <c r="DX8" s="499"/>
      <c r="DY8" s="499"/>
      <c r="DZ8" s="499"/>
      <c r="EA8" s="499"/>
      <c r="EB8" s="499"/>
      <c r="EC8" s="499"/>
      <c r="ED8" s="499"/>
      <c r="EE8" s="499"/>
      <c r="EF8" s="499"/>
      <c r="EG8" s="499"/>
      <c r="EH8" s="499"/>
      <c r="EI8" s="499"/>
      <c r="EJ8" s="499"/>
      <c r="EK8" s="499"/>
      <c r="EL8" s="499"/>
      <c r="EM8" s="499"/>
      <c r="EN8" s="499"/>
      <c r="EO8" s="499"/>
      <c r="EP8" s="499"/>
      <c r="EQ8" s="499"/>
      <c r="ER8" s="499"/>
      <c r="ES8" s="499"/>
      <c r="ET8" s="499"/>
      <c r="EU8" s="499"/>
      <c r="EV8" s="500"/>
      <c r="EW8" s="498"/>
      <c r="EX8" s="499"/>
      <c r="EY8" s="500"/>
    </row>
    <row r="9" spans="1:159" s="160" customFormat="1" ht="15" customHeight="1">
      <c r="A9" s="504"/>
      <c r="B9" s="504"/>
      <c r="C9" s="498"/>
      <c r="D9" s="499"/>
      <c r="E9" s="500"/>
      <c r="F9" s="498"/>
      <c r="G9" s="499"/>
      <c r="H9" s="500"/>
      <c r="I9" s="495" t="s">
        <v>148</v>
      </c>
      <c r="J9" s="496"/>
      <c r="K9" s="497"/>
      <c r="L9" s="495" t="s">
        <v>278</v>
      </c>
      <c r="M9" s="496"/>
      <c r="N9" s="497"/>
      <c r="O9" s="495" t="s">
        <v>281</v>
      </c>
      <c r="P9" s="496"/>
      <c r="Q9" s="497"/>
      <c r="R9" s="495" t="s">
        <v>279</v>
      </c>
      <c r="S9" s="496"/>
      <c r="T9" s="497"/>
      <c r="U9" s="495" t="s">
        <v>280</v>
      </c>
      <c r="V9" s="496"/>
      <c r="W9" s="497"/>
      <c r="X9" s="495" t="s">
        <v>149</v>
      </c>
      <c r="Y9" s="496"/>
      <c r="Z9" s="497"/>
      <c r="AA9" s="495" t="s">
        <v>150</v>
      </c>
      <c r="AB9" s="496"/>
      <c r="AC9" s="497"/>
      <c r="AD9" s="495" t="s">
        <v>151</v>
      </c>
      <c r="AE9" s="496"/>
      <c r="AF9" s="497"/>
      <c r="AG9" s="504" t="s">
        <v>152</v>
      </c>
      <c r="AH9" s="504"/>
      <c r="AI9" s="504"/>
      <c r="AJ9" s="495" t="s">
        <v>243</v>
      </c>
      <c r="AK9" s="496"/>
      <c r="AL9" s="497"/>
      <c r="AM9" s="495" t="s">
        <v>153</v>
      </c>
      <c r="AN9" s="496"/>
      <c r="AO9" s="497"/>
      <c r="AP9" s="495" t="s">
        <v>326</v>
      </c>
      <c r="AQ9" s="496"/>
      <c r="AR9" s="497"/>
      <c r="AS9" s="495" t="s">
        <v>154</v>
      </c>
      <c r="AT9" s="496"/>
      <c r="AU9" s="497"/>
      <c r="AV9" s="495" t="s">
        <v>155</v>
      </c>
      <c r="AW9" s="496"/>
      <c r="AX9" s="497"/>
      <c r="AY9" s="495" t="s">
        <v>245</v>
      </c>
      <c r="AZ9" s="496"/>
      <c r="BA9" s="497"/>
      <c r="BB9" s="495" t="s">
        <v>336</v>
      </c>
      <c r="BC9" s="496"/>
      <c r="BD9" s="497"/>
      <c r="BE9" s="495" t="s">
        <v>400</v>
      </c>
      <c r="BF9" s="496"/>
      <c r="BG9" s="497"/>
      <c r="BH9" s="495" t="s">
        <v>156</v>
      </c>
      <c r="BI9" s="496"/>
      <c r="BJ9" s="497"/>
      <c r="BK9" s="495" t="s">
        <v>271</v>
      </c>
      <c r="BL9" s="496"/>
      <c r="BM9" s="497"/>
      <c r="BN9" s="495" t="s">
        <v>241</v>
      </c>
      <c r="BO9" s="496"/>
      <c r="BP9" s="497"/>
      <c r="BQ9" s="495" t="s">
        <v>157</v>
      </c>
      <c r="BR9" s="496"/>
      <c r="BS9" s="497"/>
      <c r="BT9" s="495" t="s">
        <v>158</v>
      </c>
      <c r="BU9" s="496"/>
      <c r="BV9" s="497"/>
      <c r="BW9" s="498" t="s">
        <v>159</v>
      </c>
      <c r="BX9" s="499"/>
      <c r="BY9" s="499"/>
      <c r="BZ9" s="504"/>
      <c r="CA9" s="504"/>
      <c r="CB9" s="504"/>
      <c r="CC9" s="495" t="s">
        <v>327</v>
      </c>
      <c r="CD9" s="496"/>
      <c r="CE9" s="497"/>
      <c r="CF9" s="495" t="s">
        <v>328</v>
      </c>
      <c r="CG9" s="496"/>
      <c r="CH9" s="497"/>
      <c r="CI9" s="495" t="s">
        <v>160</v>
      </c>
      <c r="CJ9" s="496"/>
      <c r="CK9" s="497"/>
      <c r="CL9" s="495" t="s">
        <v>161</v>
      </c>
      <c r="CM9" s="496"/>
      <c r="CN9" s="497"/>
      <c r="CO9" s="495" t="s">
        <v>21</v>
      </c>
      <c r="CP9" s="496"/>
      <c r="CQ9" s="497"/>
      <c r="CR9" s="495" t="s">
        <v>288</v>
      </c>
      <c r="CS9" s="496"/>
      <c r="CT9" s="497"/>
      <c r="CU9" s="495" t="s">
        <v>329</v>
      </c>
      <c r="CV9" s="496"/>
      <c r="CW9" s="497"/>
      <c r="CX9" s="498"/>
      <c r="CY9" s="499"/>
      <c r="CZ9" s="500"/>
      <c r="DA9" s="495" t="s">
        <v>256</v>
      </c>
      <c r="DB9" s="496"/>
      <c r="DC9" s="497"/>
      <c r="DD9" s="504" t="s">
        <v>162</v>
      </c>
      <c r="DE9" s="504"/>
      <c r="DF9" s="504"/>
      <c r="DG9" s="498"/>
      <c r="DH9" s="499"/>
      <c r="DI9" s="500"/>
      <c r="DJ9" s="524" t="s">
        <v>163</v>
      </c>
      <c r="DK9" s="525"/>
      <c r="DL9" s="526"/>
      <c r="DM9" s="518" t="s">
        <v>141</v>
      </c>
      <c r="DN9" s="519"/>
      <c r="DO9" s="519"/>
      <c r="DP9" s="519"/>
      <c r="DQ9" s="519"/>
      <c r="DR9" s="519"/>
      <c r="DS9" s="519"/>
      <c r="DT9" s="519"/>
      <c r="DU9" s="519"/>
      <c r="DV9" s="519"/>
      <c r="DW9" s="519"/>
      <c r="DX9" s="520"/>
      <c r="DY9" s="524" t="s">
        <v>164</v>
      </c>
      <c r="DZ9" s="525"/>
      <c r="EA9" s="526"/>
      <c r="EB9" s="524" t="s">
        <v>165</v>
      </c>
      <c r="EC9" s="525"/>
      <c r="ED9" s="526"/>
      <c r="EE9" s="524" t="s">
        <v>166</v>
      </c>
      <c r="EF9" s="525"/>
      <c r="EG9" s="526"/>
      <c r="EH9" s="524" t="s">
        <v>167</v>
      </c>
      <c r="EI9" s="525"/>
      <c r="EJ9" s="526"/>
      <c r="EK9" s="495" t="s">
        <v>282</v>
      </c>
      <c r="EL9" s="496"/>
      <c r="EM9" s="497"/>
      <c r="EN9" s="495" t="s">
        <v>168</v>
      </c>
      <c r="EO9" s="496"/>
      <c r="EP9" s="497"/>
      <c r="EQ9" s="495" t="s">
        <v>313</v>
      </c>
      <c r="ER9" s="496"/>
      <c r="ES9" s="497"/>
      <c r="ET9" s="504" t="s">
        <v>284</v>
      </c>
      <c r="EU9" s="504"/>
      <c r="EV9" s="504"/>
      <c r="EW9" s="498"/>
      <c r="EX9" s="499"/>
      <c r="EY9" s="500"/>
    </row>
    <row r="10" spans="1:159" s="160" customFormat="1" ht="62.25" customHeight="1">
      <c r="A10" s="504"/>
      <c r="B10" s="504"/>
      <c r="C10" s="498"/>
      <c r="D10" s="499"/>
      <c r="E10" s="500"/>
      <c r="F10" s="498"/>
      <c r="G10" s="499"/>
      <c r="H10" s="500"/>
      <c r="I10" s="498"/>
      <c r="J10" s="499"/>
      <c r="K10" s="500"/>
      <c r="L10" s="498"/>
      <c r="M10" s="499"/>
      <c r="N10" s="500"/>
      <c r="O10" s="498"/>
      <c r="P10" s="499"/>
      <c r="Q10" s="500"/>
      <c r="R10" s="498"/>
      <c r="S10" s="499"/>
      <c r="T10" s="500"/>
      <c r="U10" s="498"/>
      <c r="V10" s="499"/>
      <c r="W10" s="500"/>
      <c r="X10" s="498"/>
      <c r="Y10" s="499"/>
      <c r="Z10" s="500"/>
      <c r="AA10" s="498"/>
      <c r="AB10" s="499"/>
      <c r="AC10" s="500"/>
      <c r="AD10" s="498"/>
      <c r="AE10" s="499"/>
      <c r="AF10" s="500"/>
      <c r="AG10" s="504"/>
      <c r="AH10" s="504"/>
      <c r="AI10" s="504"/>
      <c r="AJ10" s="498"/>
      <c r="AK10" s="499"/>
      <c r="AL10" s="500"/>
      <c r="AM10" s="498"/>
      <c r="AN10" s="499"/>
      <c r="AO10" s="500"/>
      <c r="AP10" s="498"/>
      <c r="AQ10" s="499"/>
      <c r="AR10" s="500"/>
      <c r="AS10" s="498"/>
      <c r="AT10" s="499"/>
      <c r="AU10" s="500"/>
      <c r="AV10" s="498"/>
      <c r="AW10" s="499"/>
      <c r="AX10" s="500"/>
      <c r="AY10" s="498"/>
      <c r="AZ10" s="499"/>
      <c r="BA10" s="500"/>
      <c r="BB10" s="498"/>
      <c r="BC10" s="499"/>
      <c r="BD10" s="500"/>
      <c r="BE10" s="498"/>
      <c r="BF10" s="499"/>
      <c r="BG10" s="500"/>
      <c r="BH10" s="498"/>
      <c r="BI10" s="499"/>
      <c r="BJ10" s="500"/>
      <c r="BK10" s="498"/>
      <c r="BL10" s="499"/>
      <c r="BM10" s="500"/>
      <c r="BN10" s="498"/>
      <c r="BO10" s="499"/>
      <c r="BP10" s="500"/>
      <c r="BQ10" s="498"/>
      <c r="BR10" s="499"/>
      <c r="BS10" s="500"/>
      <c r="BT10" s="498"/>
      <c r="BU10" s="499"/>
      <c r="BV10" s="500"/>
      <c r="BW10" s="498"/>
      <c r="BX10" s="499"/>
      <c r="BY10" s="499"/>
      <c r="BZ10" s="504"/>
      <c r="CA10" s="504"/>
      <c r="CB10" s="504"/>
      <c r="CC10" s="498"/>
      <c r="CD10" s="499"/>
      <c r="CE10" s="500"/>
      <c r="CF10" s="498"/>
      <c r="CG10" s="499"/>
      <c r="CH10" s="500"/>
      <c r="CI10" s="498"/>
      <c r="CJ10" s="499"/>
      <c r="CK10" s="500"/>
      <c r="CL10" s="498"/>
      <c r="CM10" s="499"/>
      <c r="CN10" s="500"/>
      <c r="CO10" s="498"/>
      <c r="CP10" s="499"/>
      <c r="CQ10" s="500"/>
      <c r="CR10" s="498"/>
      <c r="CS10" s="499"/>
      <c r="CT10" s="500"/>
      <c r="CU10" s="498"/>
      <c r="CV10" s="499"/>
      <c r="CW10" s="500"/>
      <c r="CX10" s="498"/>
      <c r="CY10" s="499"/>
      <c r="CZ10" s="500"/>
      <c r="DA10" s="498"/>
      <c r="DB10" s="499"/>
      <c r="DC10" s="500"/>
      <c r="DD10" s="504"/>
      <c r="DE10" s="504"/>
      <c r="DF10" s="504"/>
      <c r="DG10" s="498"/>
      <c r="DH10" s="499"/>
      <c r="DI10" s="500"/>
      <c r="DJ10" s="527"/>
      <c r="DK10" s="528"/>
      <c r="DL10" s="529"/>
      <c r="DM10" s="290"/>
      <c r="DN10" s="291"/>
      <c r="DO10" s="291"/>
      <c r="DP10" s="292"/>
      <c r="DQ10" s="292"/>
      <c r="DR10" s="292"/>
      <c r="DS10" s="291"/>
      <c r="DT10" s="291"/>
      <c r="DU10" s="291"/>
      <c r="DV10" s="291"/>
      <c r="DW10" s="291"/>
      <c r="DX10" s="293"/>
      <c r="DY10" s="527"/>
      <c r="DZ10" s="528"/>
      <c r="EA10" s="529"/>
      <c r="EB10" s="527"/>
      <c r="EC10" s="528"/>
      <c r="ED10" s="529"/>
      <c r="EE10" s="527"/>
      <c r="EF10" s="528"/>
      <c r="EG10" s="529"/>
      <c r="EH10" s="527"/>
      <c r="EI10" s="528"/>
      <c r="EJ10" s="529"/>
      <c r="EK10" s="498"/>
      <c r="EL10" s="499"/>
      <c r="EM10" s="500"/>
      <c r="EN10" s="498"/>
      <c r="EO10" s="499"/>
      <c r="EP10" s="500"/>
      <c r="EQ10" s="498"/>
      <c r="ER10" s="499"/>
      <c r="ES10" s="500"/>
      <c r="ET10" s="504"/>
      <c r="EU10" s="504"/>
      <c r="EV10" s="504"/>
      <c r="EW10" s="498"/>
      <c r="EX10" s="499"/>
      <c r="EY10" s="500"/>
    </row>
    <row r="11" spans="1:159" s="160" customFormat="1" ht="109.5" customHeight="1">
      <c r="A11" s="504"/>
      <c r="B11" s="504"/>
      <c r="C11" s="501"/>
      <c r="D11" s="502"/>
      <c r="E11" s="514"/>
      <c r="F11" s="501"/>
      <c r="G11" s="502"/>
      <c r="H11" s="503"/>
      <c r="I11" s="501"/>
      <c r="J11" s="502"/>
      <c r="K11" s="503"/>
      <c r="L11" s="501"/>
      <c r="M11" s="502"/>
      <c r="N11" s="503"/>
      <c r="O11" s="501"/>
      <c r="P11" s="502"/>
      <c r="Q11" s="503"/>
      <c r="R11" s="501"/>
      <c r="S11" s="502"/>
      <c r="T11" s="503"/>
      <c r="U11" s="501"/>
      <c r="V11" s="502"/>
      <c r="W11" s="503"/>
      <c r="X11" s="501"/>
      <c r="Y11" s="502"/>
      <c r="Z11" s="503"/>
      <c r="AA11" s="501"/>
      <c r="AB11" s="502"/>
      <c r="AC11" s="503"/>
      <c r="AD11" s="501"/>
      <c r="AE11" s="502"/>
      <c r="AF11" s="503"/>
      <c r="AG11" s="504"/>
      <c r="AH11" s="504"/>
      <c r="AI11" s="504"/>
      <c r="AJ11" s="501"/>
      <c r="AK11" s="502"/>
      <c r="AL11" s="503"/>
      <c r="AM11" s="501"/>
      <c r="AN11" s="502"/>
      <c r="AO11" s="503"/>
      <c r="AP11" s="501"/>
      <c r="AQ11" s="502"/>
      <c r="AR11" s="503"/>
      <c r="AS11" s="501"/>
      <c r="AT11" s="502"/>
      <c r="AU11" s="503"/>
      <c r="AV11" s="501"/>
      <c r="AW11" s="502"/>
      <c r="AX11" s="503"/>
      <c r="AY11" s="501"/>
      <c r="AZ11" s="502"/>
      <c r="BA11" s="503"/>
      <c r="BB11" s="501"/>
      <c r="BC11" s="502"/>
      <c r="BD11" s="503"/>
      <c r="BE11" s="501"/>
      <c r="BF11" s="502"/>
      <c r="BG11" s="503"/>
      <c r="BH11" s="501"/>
      <c r="BI11" s="502"/>
      <c r="BJ11" s="503"/>
      <c r="BK11" s="501"/>
      <c r="BL11" s="502"/>
      <c r="BM11" s="503"/>
      <c r="BN11" s="501"/>
      <c r="BO11" s="502"/>
      <c r="BP11" s="503"/>
      <c r="BQ11" s="501"/>
      <c r="BR11" s="502"/>
      <c r="BS11" s="503"/>
      <c r="BT11" s="501"/>
      <c r="BU11" s="502"/>
      <c r="BV11" s="503"/>
      <c r="BW11" s="501"/>
      <c r="BX11" s="502"/>
      <c r="BY11" s="502"/>
      <c r="BZ11" s="504"/>
      <c r="CA11" s="504"/>
      <c r="CB11" s="504"/>
      <c r="CC11" s="501"/>
      <c r="CD11" s="502"/>
      <c r="CE11" s="503"/>
      <c r="CF11" s="501"/>
      <c r="CG11" s="502"/>
      <c r="CH11" s="503"/>
      <c r="CI11" s="501"/>
      <c r="CJ11" s="502"/>
      <c r="CK11" s="503"/>
      <c r="CL11" s="501"/>
      <c r="CM11" s="502"/>
      <c r="CN11" s="503"/>
      <c r="CO11" s="501"/>
      <c r="CP11" s="502"/>
      <c r="CQ11" s="503"/>
      <c r="CR11" s="501"/>
      <c r="CS11" s="502"/>
      <c r="CT11" s="503"/>
      <c r="CU11" s="501"/>
      <c r="CV11" s="502"/>
      <c r="CW11" s="503"/>
      <c r="CX11" s="501"/>
      <c r="CY11" s="502"/>
      <c r="CZ11" s="503"/>
      <c r="DA11" s="501"/>
      <c r="DB11" s="502"/>
      <c r="DC11" s="503"/>
      <c r="DD11" s="504"/>
      <c r="DE11" s="504"/>
      <c r="DF11" s="504"/>
      <c r="DG11" s="501"/>
      <c r="DH11" s="502"/>
      <c r="DI11" s="503"/>
      <c r="DJ11" s="521"/>
      <c r="DK11" s="522"/>
      <c r="DL11" s="523"/>
      <c r="DM11" s="521" t="s">
        <v>169</v>
      </c>
      <c r="DN11" s="522"/>
      <c r="DO11" s="523"/>
      <c r="DP11" s="518" t="s">
        <v>170</v>
      </c>
      <c r="DQ11" s="519"/>
      <c r="DR11" s="520"/>
      <c r="DS11" s="521" t="s">
        <v>171</v>
      </c>
      <c r="DT11" s="522"/>
      <c r="DU11" s="523"/>
      <c r="DV11" s="521" t="s">
        <v>238</v>
      </c>
      <c r="DW11" s="522"/>
      <c r="DX11" s="523"/>
      <c r="DY11" s="521"/>
      <c r="DZ11" s="522"/>
      <c r="EA11" s="523"/>
      <c r="EB11" s="521"/>
      <c r="EC11" s="522"/>
      <c r="ED11" s="523"/>
      <c r="EE11" s="521"/>
      <c r="EF11" s="522"/>
      <c r="EG11" s="523"/>
      <c r="EH11" s="521"/>
      <c r="EI11" s="522"/>
      <c r="EJ11" s="523"/>
      <c r="EK11" s="501"/>
      <c r="EL11" s="502"/>
      <c r="EM11" s="503"/>
      <c r="EN11" s="501"/>
      <c r="EO11" s="502"/>
      <c r="EP11" s="503"/>
      <c r="EQ11" s="501"/>
      <c r="ER11" s="502"/>
      <c r="ES11" s="503"/>
      <c r="ET11" s="504"/>
      <c r="EU11" s="504"/>
      <c r="EV11" s="504"/>
      <c r="EW11" s="501"/>
      <c r="EX11" s="502"/>
      <c r="EY11" s="503"/>
      <c r="FA11" s="161"/>
      <c r="FB11" s="161"/>
      <c r="FC11" s="161"/>
    </row>
    <row r="12" spans="1:159" s="160" customFormat="1" ht="42.75" customHeight="1">
      <c r="A12" s="504"/>
      <c r="B12" s="504"/>
      <c r="C12" s="294" t="s">
        <v>172</v>
      </c>
      <c r="D12" s="295" t="s">
        <v>173</v>
      </c>
      <c r="E12" s="294" t="s">
        <v>174</v>
      </c>
      <c r="F12" s="294" t="s">
        <v>172</v>
      </c>
      <c r="G12" s="294" t="s">
        <v>173</v>
      </c>
      <c r="H12" s="294" t="s">
        <v>174</v>
      </c>
      <c r="I12" s="294" t="s">
        <v>172</v>
      </c>
      <c r="J12" s="294" t="s">
        <v>173</v>
      </c>
      <c r="K12" s="294" t="s">
        <v>174</v>
      </c>
      <c r="L12" s="294" t="s">
        <v>172</v>
      </c>
      <c r="M12" s="294" t="s">
        <v>173</v>
      </c>
      <c r="N12" s="294" t="s">
        <v>174</v>
      </c>
      <c r="O12" s="294" t="s">
        <v>172</v>
      </c>
      <c r="P12" s="294" t="s">
        <v>173</v>
      </c>
      <c r="Q12" s="294" t="s">
        <v>174</v>
      </c>
      <c r="R12" s="294" t="s">
        <v>172</v>
      </c>
      <c r="S12" s="294" t="s">
        <v>173</v>
      </c>
      <c r="T12" s="294" t="s">
        <v>174</v>
      </c>
      <c r="U12" s="294" t="s">
        <v>172</v>
      </c>
      <c r="V12" s="294" t="s">
        <v>173</v>
      </c>
      <c r="W12" s="294" t="s">
        <v>174</v>
      </c>
      <c r="X12" s="294" t="s">
        <v>172</v>
      </c>
      <c r="Y12" s="294" t="s">
        <v>173</v>
      </c>
      <c r="Z12" s="294" t="s">
        <v>174</v>
      </c>
      <c r="AA12" s="294" t="s">
        <v>172</v>
      </c>
      <c r="AB12" s="294" t="s">
        <v>173</v>
      </c>
      <c r="AC12" s="294" t="s">
        <v>174</v>
      </c>
      <c r="AD12" s="294" t="s">
        <v>172</v>
      </c>
      <c r="AE12" s="294" t="s">
        <v>173</v>
      </c>
      <c r="AF12" s="294" t="s">
        <v>174</v>
      </c>
      <c r="AG12" s="294" t="s">
        <v>172</v>
      </c>
      <c r="AH12" s="294" t="s">
        <v>173</v>
      </c>
      <c r="AI12" s="294" t="s">
        <v>174</v>
      </c>
      <c r="AJ12" s="294" t="s">
        <v>172</v>
      </c>
      <c r="AK12" s="294" t="s">
        <v>173</v>
      </c>
      <c r="AL12" s="294" t="s">
        <v>174</v>
      </c>
      <c r="AM12" s="294" t="s">
        <v>172</v>
      </c>
      <c r="AN12" s="294" t="s">
        <v>173</v>
      </c>
      <c r="AO12" s="294" t="s">
        <v>174</v>
      </c>
      <c r="AP12" s="294" t="s">
        <v>172</v>
      </c>
      <c r="AQ12" s="294" t="s">
        <v>173</v>
      </c>
      <c r="AR12" s="294" t="s">
        <v>174</v>
      </c>
      <c r="AS12" s="294" t="s">
        <v>172</v>
      </c>
      <c r="AT12" s="294" t="s">
        <v>173</v>
      </c>
      <c r="AU12" s="294" t="s">
        <v>174</v>
      </c>
      <c r="AV12" s="294" t="s">
        <v>172</v>
      </c>
      <c r="AW12" s="294" t="s">
        <v>173</v>
      </c>
      <c r="AX12" s="294" t="s">
        <v>174</v>
      </c>
      <c r="AY12" s="294" t="s">
        <v>172</v>
      </c>
      <c r="AZ12" s="294" t="s">
        <v>173</v>
      </c>
      <c r="BA12" s="294" t="s">
        <v>174</v>
      </c>
      <c r="BB12" s="294"/>
      <c r="BC12" s="294"/>
      <c r="BD12" s="294"/>
      <c r="BE12" s="294" t="s">
        <v>175</v>
      </c>
      <c r="BF12" s="294" t="s">
        <v>173</v>
      </c>
      <c r="BG12" s="294" t="s">
        <v>174</v>
      </c>
      <c r="BH12" s="294" t="s">
        <v>172</v>
      </c>
      <c r="BI12" s="294" t="s">
        <v>173</v>
      </c>
      <c r="BJ12" s="294" t="s">
        <v>174</v>
      </c>
      <c r="BK12" s="294" t="s">
        <v>172</v>
      </c>
      <c r="BL12" s="294" t="s">
        <v>173</v>
      </c>
      <c r="BM12" s="294" t="s">
        <v>174</v>
      </c>
      <c r="BN12" s="294" t="s">
        <v>175</v>
      </c>
      <c r="BO12" s="294" t="s">
        <v>173</v>
      </c>
      <c r="BP12" s="294" t="s">
        <v>174</v>
      </c>
      <c r="BQ12" s="294" t="s">
        <v>175</v>
      </c>
      <c r="BR12" s="294" t="s">
        <v>173</v>
      </c>
      <c r="BS12" s="294" t="s">
        <v>174</v>
      </c>
      <c r="BT12" s="294" t="s">
        <v>175</v>
      </c>
      <c r="BU12" s="294" t="s">
        <v>173</v>
      </c>
      <c r="BV12" s="294" t="s">
        <v>174</v>
      </c>
      <c r="BW12" s="294" t="s">
        <v>175</v>
      </c>
      <c r="BX12" s="294" t="s">
        <v>173</v>
      </c>
      <c r="BY12" s="294" t="s">
        <v>174</v>
      </c>
      <c r="BZ12" s="294" t="s">
        <v>172</v>
      </c>
      <c r="CA12" s="294" t="s">
        <v>173</v>
      </c>
      <c r="CB12" s="294" t="s">
        <v>174</v>
      </c>
      <c r="CC12" s="294" t="s">
        <v>172</v>
      </c>
      <c r="CD12" s="294" t="s">
        <v>173</v>
      </c>
      <c r="CE12" s="294" t="s">
        <v>174</v>
      </c>
      <c r="CF12" s="294" t="s">
        <v>172</v>
      </c>
      <c r="CG12" s="294" t="s">
        <v>173</v>
      </c>
      <c r="CH12" s="294" t="s">
        <v>174</v>
      </c>
      <c r="CI12" s="294" t="s">
        <v>172</v>
      </c>
      <c r="CJ12" s="294" t="s">
        <v>173</v>
      </c>
      <c r="CK12" s="294" t="s">
        <v>174</v>
      </c>
      <c r="CL12" s="294" t="s">
        <v>172</v>
      </c>
      <c r="CM12" s="294" t="s">
        <v>173</v>
      </c>
      <c r="CN12" s="294" t="s">
        <v>174</v>
      </c>
      <c r="CO12" s="294" t="s">
        <v>172</v>
      </c>
      <c r="CP12" s="294" t="s">
        <v>173</v>
      </c>
      <c r="CQ12" s="294" t="s">
        <v>174</v>
      </c>
      <c r="CR12" s="294" t="s">
        <v>172</v>
      </c>
      <c r="CS12" s="294" t="s">
        <v>173</v>
      </c>
      <c r="CT12" s="294" t="s">
        <v>174</v>
      </c>
      <c r="CU12" s="294" t="s">
        <v>172</v>
      </c>
      <c r="CV12" s="294" t="s">
        <v>173</v>
      </c>
      <c r="CW12" s="294" t="s">
        <v>174</v>
      </c>
      <c r="CX12" s="294" t="s">
        <v>172</v>
      </c>
      <c r="CY12" s="294" t="s">
        <v>173</v>
      </c>
      <c r="CZ12" s="294" t="s">
        <v>174</v>
      </c>
      <c r="DA12" s="294" t="s">
        <v>172</v>
      </c>
      <c r="DB12" s="294" t="s">
        <v>173</v>
      </c>
      <c r="DC12" s="294" t="s">
        <v>174</v>
      </c>
      <c r="DD12" s="294" t="s">
        <v>172</v>
      </c>
      <c r="DE12" s="294" t="s">
        <v>173</v>
      </c>
      <c r="DF12" s="294" t="s">
        <v>174</v>
      </c>
      <c r="DG12" s="294" t="s">
        <v>172</v>
      </c>
      <c r="DH12" s="294" t="s">
        <v>173</v>
      </c>
      <c r="DI12" s="294" t="s">
        <v>174</v>
      </c>
      <c r="DJ12" s="294" t="s">
        <v>172</v>
      </c>
      <c r="DK12" s="294" t="s">
        <v>173</v>
      </c>
      <c r="DL12" s="294" t="s">
        <v>174</v>
      </c>
      <c r="DM12" s="294" t="s">
        <v>172</v>
      </c>
      <c r="DN12" s="294" t="s">
        <v>173</v>
      </c>
      <c r="DO12" s="294" t="s">
        <v>174</v>
      </c>
      <c r="DP12" s="294" t="s">
        <v>172</v>
      </c>
      <c r="DQ12" s="294" t="s">
        <v>173</v>
      </c>
      <c r="DR12" s="294" t="s">
        <v>174</v>
      </c>
      <c r="DS12" s="294" t="s">
        <v>172</v>
      </c>
      <c r="DT12" s="294" t="s">
        <v>173</v>
      </c>
      <c r="DU12" s="294" t="s">
        <v>174</v>
      </c>
      <c r="DV12" s="294" t="s">
        <v>172</v>
      </c>
      <c r="DW12" s="294" t="s">
        <v>173</v>
      </c>
      <c r="DX12" s="294" t="s">
        <v>174</v>
      </c>
      <c r="DY12" s="294" t="s">
        <v>172</v>
      </c>
      <c r="DZ12" s="294" t="s">
        <v>173</v>
      </c>
      <c r="EA12" s="294" t="s">
        <v>174</v>
      </c>
      <c r="EB12" s="294" t="s">
        <v>172</v>
      </c>
      <c r="EC12" s="294" t="s">
        <v>173</v>
      </c>
      <c r="ED12" s="294" t="s">
        <v>174</v>
      </c>
      <c r="EE12" s="294" t="s">
        <v>172</v>
      </c>
      <c r="EF12" s="294" t="s">
        <v>173</v>
      </c>
      <c r="EG12" s="294" t="s">
        <v>174</v>
      </c>
      <c r="EH12" s="294" t="s">
        <v>172</v>
      </c>
      <c r="EI12" s="294" t="s">
        <v>173</v>
      </c>
      <c r="EJ12" s="294" t="s">
        <v>174</v>
      </c>
      <c r="EK12" s="294" t="s">
        <v>172</v>
      </c>
      <c r="EL12" s="294" t="s">
        <v>173</v>
      </c>
      <c r="EM12" s="294" t="s">
        <v>174</v>
      </c>
      <c r="EN12" s="294" t="s">
        <v>172</v>
      </c>
      <c r="EO12" s="294" t="s">
        <v>173</v>
      </c>
      <c r="EP12" s="294" t="s">
        <v>174</v>
      </c>
      <c r="EQ12" s="294" t="s">
        <v>172</v>
      </c>
      <c r="ER12" s="294" t="s">
        <v>173</v>
      </c>
      <c r="ES12" s="294" t="s">
        <v>174</v>
      </c>
      <c r="ET12" s="294" t="s">
        <v>172</v>
      </c>
      <c r="EU12" s="294" t="s">
        <v>173</v>
      </c>
      <c r="EV12" s="294" t="s">
        <v>174</v>
      </c>
      <c r="EW12" s="294" t="s">
        <v>172</v>
      </c>
      <c r="EX12" s="294" t="s">
        <v>173</v>
      </c>
      <c r="EY12" s="294" t="s">
        <v>174</v>
      </c>
      <c r="FA12" s="161"/>
      <c r="FB12" s="161"/>
      <c r="FC12" s="161"/>
    </row>
    <row r="13" spans="1:159" s="160" customFormat="1" ht="24" customHeight="1">
      <c r="A13" s="296">
        <v>1</v>
      </c>
      <c r="B13" s="294">
        <v>2</v>
      </c>
      <c r="C13" s="296">
        <v>3</v>
      </c>
      <c r="D13" s="295">
        <v>4</v>
      </c>
      <c r="E13" s="296">
        <v>5</v>
      </c>
      <c r="F13" s="294">
        <v>6</v>
      </c>
      <c r="G13" s="296">
        <v>7</v>
      </c>
      <c r="H13" s="294">
        <v>8</v>
      </c>
      <c r="I13" s="296">
        <v>9</v>
      </c>
      <c r="J13" s="294">
        <v>10</v>
      </c>
      <c r="K13" s="296">
        <v>11</v>
      </c>
      <c r="L13" s="296">
        <v>12</v>
      </c>
      <c r="M13" s="296">
        <v>13</v>
      </c>
      <c r="N13" s="296">
        <v>14</v>
      </c>
      <c r="O13" s="296">
        <v>15</v>
      </c>
      <c r="P13" s="296">
        <v>16</v>
      </c>
      <c r="Q13" s="296">
        <v>17</v>
      </c>
      <c r="R13" s="296">
        <v>18</v>
      </c>
      <c r="S13" s="296">
        <v>19</v>
      </c>
      <c r="T13" s="296">
        <v>20</v>
      </c>
      <c r="U13" s="296">
        <v>21</v>
      </c>
      <c r="V13" s="296">
        <v>22</v>
      </c>
      <c r="W13" s="296">
        <v>23</v>
      </c>
      <c r="X13" s="294">
        <v>24</v>
      </c>
      <c r="Y13" s="296">
        <v>25</v>
      </c>
      <c r="Z13" s="294">
        <v>26</v>
      </c>
      <c r="AA13" s="296">
        <v>27</v>
      </c>
      <c r="AB13" s="294">
        <v>28</v>
      </c>
      <c r="AC13" s="296">
        <v>29</v>
      </c>
      <c r="AD13" s="294">
        <v>30</v>
      </c>
      <c r="AE13" s="296">
        <v>31</v>
      </c>
      <c r="AF13" s="294">
        <v>32</v>
      </c>
      <c r="AG13" s="296">
        <v>33</v>
      </c>
      <c r="AH13" s="294">
        <v>34</v>
      </c>
      <c r="AI13" s="296">
        <v>35</v>
      </c>
      <c r="AJ13" s="296">
        <v>36</v>
      </c>
      <c r="AK13" s="296">
        <v>37</v>
      </c>
      <c r="AL13" s="296">
        <v>38</v>
      </c>
      <c r="AM13" s="294">
        <v>39</v>
      </c>
      <c r="AN13" s="296">
        <v>40</v>
      </c>
      <c r="AO13" s="294">
        <v>41</v>
      </c>
      <c r="AP13" s="296">
        <v>42</v>
      </c>
      <c r="AQ13" s="294">
        <v>43</v>
      </c>
      <c r="AR13" s="296">
        <v>44</v>
      </c>
      <c r="AS13" s="296">
        <v>45</v>
      </c>
      <c r="AT13" s="294">
        <v>46</v>
      </c>
      <c r="AU13" s="296">
        <v>47</v>
      </c>
      <c r="AV13" s="296">
        <v>48</v>
      </c>
      <c r="AW13" s="294">
        <v>49</v>
      </c>
      <c r="AX13" s="296">
        <v>50</v>
      </c>
      <c r="AY13" s="296">
        <v>48</v>
      </c>
      <c r="AZ13" s="294">
        <v>49</v>
      </c>
      <c r="BA13" s="296">
        <v>50</v>
      </c>
      <c r="BB13" s="296">
        <v>51</v>
      </c>
      <c r="BC13" s="296">
        <v>52</v>
      </c>
      <c r="BD13" s="296">
        <v>56</v>
      </c>
      <c r="BE13" s="294">
        <v>51</v>
      </c>
      <c r="BF13" s="296">
        <v>52</v>
      </c>
      <c r="BG13" s="294">
        <v>53</v>
      </c>
      <c r="BH13" s="296">
        <v>60</v>
      </c>
      <c r="BI13" s="297">
        <v>61</v>
      </c>
      <c r="BJ13" s="298">
        <v>62</v>
      </c>
      <c r="BK13" s="296">
        <v>63</v>
      </c>
      <c r="BL13" s="296">
        <v>64</v>
      </c>
      <c r="BM13" s="296">
        <v>65</v>
      </c>
      <c r="BN13" s="296">
        <v>66</v>
      </c>
      <c r="BO13" s="296">
        <v>67</v>
      </c>
      <c r="BP13" s="296">
        <v>68</v>
      </c>
      <c r="BQ13" s="294">
        <v>54</v>
      </c>
      <c r="BR13" s="296">
        <v>55</v>
      </c>
      <c r="BS13" s="294">
        <v>56</v>
      </c>
      <c r="BT13" s="296">
        <v>72</v>
      </c>
      <c r="BU13" s="294">
        <v>73</v>
      </c>
      <c r="BV13" s="296">
        <v>74</v>
      </c>
      <c r="BW13" s="294">
        <v>75</v>
      </c>
      <c r="BX13" s="296">
        <v>76</v>
      </c>
      <c r="BY13" s="294">
        <v>77</v>
      </c>
      <c r="BZ13" s="296">
        <v>57</v>
      </c>
      <c r="CA13" s="294">
        <v>58</v>
      </c>
      <c r="CB13" s="296">
        <v>59</v>
      </c>
      <c r="CC13" s="294">
        <v>60</v>
      </c>
      <c r="CD13" s="296">
        <v>61</v>
      </c>
      <c r="CE13" s="294">
        <v>62</v>
      </c>
      <c r="CF13" s="296">
        <v>63</v>
      </c>
      <c r="CG13" s="294">
        <v>64</v>
      </c>
      <c r="CH13" s="296">
        <v>65</v>
      </c>
      <c r="CI13" s="294">
        <v>66</v>
      </c>
      <c r="CJ13" s="296">
        <v>67</v>
      </c>
      <c r="CK13" s="294">
        <v>68</v>
      </c>
      <c r="CL13" s="296">
        <v>69</v>
      </c>
      <c r="CM13" s="294">
        <v>70</v>
      </c>
      <c r="CN13" s="296">
        <v>71</v>
      </c>
      <c r="CO13" s="296">
        <v>72</v>
      </c>
      <c r="CP13" s="296">
        <v>73</v>
      </c>
      <c r="CQ13" s="296">
        <v>74</v>
      </c>
      <c r="CR13" s="296">
        <v>75</v>
      </c>
      <c r="CS13" s="296">
        <v>76</v>
      </c>
      <c r="CT13" s="296">
        <v>77</v>
      </c>
      <c r="CU13" s="296">
        <v>78</v>
      </c>
      <c r="CV13" s="296">
        <v>79</v>
      </c>
      <c r="CW13" s="296">
        <v>80</v>
      </c>
      <c r="CX13" s="294">
        <v>96</v>
      </c>
      <c r="CY13" s="296">
        <v>97</v>
      </c>
      <c r="CZ13" s="294">
        <v>98</v>
      </c>
      <c r="DA13" s="294">
        <v>99</v>
      </c>
      <c r="DB13" s="294">
        <v>100</v>
      </c>
      <c r="DC13" s="294">
        <v>101</v>
      </c>
      <c r="DD13" s="294">
        <v>102</v>
      </c>
      <c r="DE13" s="294">
        <v>103</v>
      </c>
      <c r="DF13" s="294">
        <v>104</v>
      </c>
      <c r="DG13" s="296">
        <v>81</v>
      </c>
      <c r="DH13" s="294">
        <v>82</v>
      </c>
      <c r="DI13" s="296">
        <v>83</v>
      </c>
      <c r="DJ13" s="294">
        <v>84</v>
      </c>
      <c r="DK13" s="296">
        <v>85</v>
      </c>
      <c r="DL13" s="294">
        <v>86</v>
      </c>
      <c r="DM13" s="296">
        <v>87</v>
      </c>
      <c r="DN13" s="294">
        <v>88</v>
      </c>
      <c r="DO13" s="296">
        <v>89</v>
      </c>
      <c r="DP13" s="294">
        <v>90</v>
      </c>
      <c r="DQ13" s="296">
        <v>91</v>
      </c>
      <c r="DR13" s="294">
        <v>92</v>
      </c>
      <c r="DS13" s="296">
        <v>93</v>
      </c>
      <c r="DT13" s="294">
        <v>94</v>
      </c>
      <c r="DU13" s="296">
        <v>95</v>
      </c>
      <c r="DV13" s="294">
        <v>96</v>
      </c>
      <c r="DW13" s="294">
        <v>97</v>
      </c>
      <c r="DX13" s="294">
        <v>98</v>
      </c>
      <c r="DY13" s="296">
        <v>99</v>
      </c>
      <c r="DZ13" s="294">
        <v>100</v>
      </c>
      <c r="EA13" s="296">
        <v>101</v>
      </c>
      <c r="EB13" s="294">
        <v>102</v>
      </c>
      <c r="EC13" s="296">
        <v>103</v>
      </c>
      <c r="ED13" s="294">
        <v>104</v>
      </c>
      <c r="EE13" s="296">
        <v>105</v>
      </c>
      <c r="EF13" s="294">
        <v>106</v>
      </c>
      <c r="EG13" s="296">
        <v>107</v>
      </c>
      <c r="EH13" s="294">
        <v>108</v>
      </c>
      <c r="EI13" s="296">
        <v>109</v>
      </c>
      <c r="EJ13" s="294">
        <v>110</v>
      </c>
      <c r="EK13" s="296">
        <v>111</v>
      </c>
      <c r="EL13" s="294">
        <v>112</v>
      </c>
      <c r="EM13" s="296">
        <v>113</v>
      </c>
      <c r="EN13" s="294">
        <v>114</v>
      </c>
      <c r="EO13" s="296">
        <v>115</v>
      </c>
      <c r="EP13" s="294">
        <v>116</v>
      </c>
      <c r="EQ13" s="296">
        <v>117</v>
      </c>
      <c r="ER13" s="294">
        <v>118</v>
      </c>
      <c r="ES13" s="296">
        <v>119</v>
      </c>
      <c r="ET13" s="294">
        <v>120</v>
      </c>
      <c r="EU13" s="296">
        <v>121</v>
      </c>
      <c r="EV13" s="294">
        <v>122</v>
      </c>
      <c r="EW13" s="296">
        <v>123</v>
      </c>
      <c r="EX13" s="294">
        <v>124</v>
      </c>
      <c r="EY13" s="296">
        <v>125</v>
      </c>
    </row>
    <row r="14" spans="1:159" s="160" customFormat="1" ht="25.5" customHeight="1">
      <c r="A14" s="341">
        <v>1</v>
      </c>
      <c r="B14" s="342" t="s">
        <v>289</v>
      </c>
      <c r="C14" s="299">
        <f>F14+BZ14</f>
        <v>3273.2879999999996</v>
      </c>
      <c r="D14" s="300">
        <f t="shared" ref="D14:D29" si="0">G14+CA14+CY14</f>
        <v>1355.9269699999998</v>
      </c>
      <c r="E14" s="301">
        <f t="shared" ref="E14:E29" si="1">D14/C14*100</f>
        <v>41.42400454833183</v>
      </c>
      <c r="F14" s="302">
        <f t="shared" ref="F14" si="2">I14+X14+AA14+AD14+AG14+AM14+AS14+BE14+BQ14+BN14+AJ14+AY14+L14+R14+O14+U14+AP14</f>
        <v>639.72</v>
      </c>
      <c r="G14" s="302">
        <f t="shared" ref="G14:G29" si="3">J14+Y14+AB14+AE14+AH14+AN14+AT14+BF14+AK14+BR14+BO14+AZ14+M14+S14+P14+V14+AQ14</f>
        <v>203.17516999999998</v>
      </c>
      <c r="H14" s="301">
        <f>G14/F14*100</f>
        <v>31.760015319202147</v>
      </c>
      <c r="I14" s="303">
        <f>Але!C6</f>
        <v>62.67</v>
      </c>
      <c r="J14" s="449">
        <f>Але!D6</f>
        <v>35.235190000000003</v>
      </c>
      <c r="K14" s="301">
        <f>J14/I14*100</f>
        <v>56.223376416148085</v>
      </c>
      <c r="L14" s="301">
        <f>Але!C8</f>
        <v>93.16</v>
      </c>
      <c r="M14" s="301">
        <f>Але!D8</f>
        <v>58.56035</v>
      </c>
      <c r="N14" s="301">
        <f>M14/L14*100</f>
        <v>62.859972091026194</v>
      </c>
      <c r="O14" s="301">
        <f>Але!C9</f>
        <v>1</v>
      </c>
      <c r="P14" s="301">
        <f>Але!D9</f>
        <v>0.44113999999999998</v>
      </c>
      <c r="Q14" s="301">
        <f>P14/O14*100</f>
        <v>44.113999999999997</v>
      </c>
      <c r="R14" s="301">
        <f>Але!C10</f>
        <v>155.59</v>
      </c>
      <c r="S14" s="301">
        <f>Але!D10</f>
        <v>81.428659999999994</v>
      </c>
      <c r="T14" s="301">
        <f>S14/R14*100</f>
        <v>52.335407159843172</v>
      </c>
      <c r="U14" s="301">
        <f>Але!C11</f>
        <v>0</v>
      </c>
      <c r="V14" s="305">
        <f>Але!D11</f>
        <v>-10.93069</v>
      </c>
      <c r="W14" s="301" t="e">
        <f>V14/U14*100</f>
        <v>#DIV/0!</v>
      </c>
      <c r="X14" s="306">
        <f>Але!C13</f>
        <v>25</v>
      </c>
      <c r="Y14" s="448">
        <f>Але!D13</f>
        <v>0</v>
      </c>
      <c r="Z14" s="301">
        <f>Y14/X14*100</f>
        <v>0</v>
      </c>
      <c r="AA14" s="306">
        <f>Але!C15</f>
        <v>50</v>
      </c>
      <c r="AB14" s="307">
        <f>Але!D15</f>
        <v>17.257729999999999</v>
      </c>
      <c r="AC14" s="301">
        <f>AB14/AA14*100</f>
        <v>34.515459999999997</v>
      </c>
      <c r="AD14" s="306">
        <f>Але!C16</f>
        <v>195</v>
      </c>
      <c r="AE14" s="306">
        <f>Але!D16</f>
        <v>20.982790000000001</v>
      </c>
      <c r="AF14" s="301">
        <f t="shared" ref="AF14:AF29" si="4">AE14/AD14*100</f>
        <v>10.760405128205129</v>
      </c>
      <c r="AG14" s="301">
        <f>Але!C18</f>
        <v>3</v>
      </c>
      <c r="AH14" s="301">
        <f>Але!D18</f>
        <v>0.2</v>
      </c>
      <c r="AI14" s="301">
        <f>AH14/AG14*100</f>
        <v>6.666666666666667</v>
      </c>
      <c r="AJ14" s="301"/>
      <c r="AK14" s="301"/>
      <c r="AL14" s="308" t="e">
        <f t="shared" ref="AL14:AL23" si="5">AK14/AJ14*100</f>
        <v>#DIV/0!</v>
      </c>
      <c r="AM14" s="306">
        <v>0</v>
      </c>
      <c r="AN14" s="306">
        <v>0</v>
      </c>
      <c r="AO14" s="308" t="e">
        <f t="shared" ref="AO14:AO29" si="6">AN14/AM14*100</f>
        <v>#DIV/0!</v>
      </c>
      <c r="AP14" s="306">
        <f>Але!C27</f>
        <v>54.3</v>
      </c>
      <c r="AQ14" s="309">
        <f>Але!D27</f>
        <v>0</v>
      </c>
      <c r="AR14" s="301">
        <f>AQ14/AP14*100</f>
        <v>0</v>
      </c>
      <c r="AS14" s="310">
        <f>Але!C28</f>
        <v>0</v>
      </c>
      <c r="AT14" s="309">
        <f>Але!D28</f>
        <v>0</v>
      </c>
      <c r="AU14" s="301" t="e">
        <f>AT14/AS14*100</f>
        <v>#DIV/0!</v>
      </c>
      <c r="AV14" s="306"/>
      <c r="AW14" s="306"/>
      <c r="AX14" s="301" t="e">
        <f>AW14/AV14*100</f>
        <v>#DIV/0!</v>
      </c>
      <c r="AY14" s="301">
        <f>Але!C29</f>
        <v>0</v>
      </c>
      <c r="AZ14" s="311">
        <f>Але!D29</f>
        <v>0</v>
      </c>
      <c r="BA14" s="301" t="e">
        <f>AZ14/AY14*100</f>
        <v>#DIV/0!</v>
      </c>
      <c r="BB14" s="301">
        <f>Але!C30</f>
        <v>0</v>
      </c>
      <c r="BC14" s="301">
        <f>Але!D30</f>
        <v>0</v>
      </c>
      <c r="BD14" s="301" t="e">
        <f>BC14/BB14*100</f>
        <v>#DIV/0!</v>
      </c>
      <c r="BE14" s="301">
        <f>Але!C32</f>
        <v>0</v>
      </c>
      <c r="BF14" s="301">
        <f>Але!D31</f>
        <v>0</v>
      </c>
      <c r="BG14" s="301" t="e">
        <f>BF14/BE14*100</f>
        <v>#DIV/0!</v>
      </c>
      <c r="BH14" s="301"/>
      <c r="BI14" s="301"/>
      <c r="BJ14" s="301" t="e">
        <f>BI14/BH14*100</f>
        <v>#DIV/0!</v>
      </c>
      <c r="BK14" s="301"/>
      <c r="BL14" s="301"/>
      <c r="BM14" s="301"/>
      <c r="BN14" s="301"/>
      <c r="BO14" s="312"/>
      <c r="BP14" s="482" t="e">
        <f>BO14/BN14*100</f>
        <v>#DIV/0!</v>
      </c>
      <c r="BQ14" s="301">
        <f>Але!C34</f>
        <v>0</v>
      </c>
      <c r="BR14" s="301">
        <f>Але!D35</f>
        <v>0</v>
      </c>
      <c r="BS14" s="301" t="e">
        <f>BR14/BQ14*100</f>
        <v>#DIV/0!</v>
      </c>
      <c r="BT14" s="301"/>
      <c r="BU14" s="301"/>
      <c r="BV14" s="313" t="e">
        <f>BT14/BU14*100</f>
        <v>#DIV/0!</v>
      </c>
      <c r="BW14" s="313"/>
      <c r="BX14" s="313"/>
      <c r="BY14" s="313" t="e">
        <f>BW14/BX14*100</f>
        <v>#DIV/0!</v>
      </c>
      <c r="BZ14" s="306">
        <f>CC14+CF14+CI14+CL14+CR14+CO14</f>
        <v>2633.5679999999998</v>
      </c>
      <c r="CA14" s="306">
        <f>CD14+CG14+CJ14+CM14+CS14+CP14+CV14</f>
        <v>1152.7517999999998</v>
      </c>
      <c r="CB14" s="301">
        <f>CA14/BZ14*100</f>
        <v>43.771484161411436</v>
      </c>
      <c r="CC14" s="308">
        <f>Але!C39</f>
        <v>1901.5</v>
      </c>
      <c r="CD14" s="308">
        <f>Але!D39</f>
        <v>950.76</v>
      </c>
      <c r="CE14" s="301">
        <f>CD14/CC14*100</f>
        <v>50.000525900604785</v>
      </c>
      <c r="CF14" s="301">
        <f>Але!C40</f>
        <v>0</v>
      </c>
      <c r="CG14" s="460">
        <f>Але!D40</f>
        <v>0</v>
      </c>
      <c r="CH14" s="301" t="e">
        <f>CG14/CF14*100</f>
        <v>#DIV/0!</v>
      </c>
      <c r="CI14" s="301">
        <f>Але!C41</f>
        <v>366.14</v>
      </c>
      <c r="CJ14" s="301">
        <f>Але!D41</f>
        <v>130.273</v>
      </c>
      <c r="CK14" s="301">
        <f t="shared" ref="CK14:CK29" si="7">CJ14/CI14*100</f>
        <v>35.580105970393838</v>
      </c>
      <c r="CL14" s="301">
        <f>Але!C42</f>
        <v>103.383</v>
      </c>
      <c r="CM14" s="301">
        <f>Але!D42</f>
        <v>51.763800000000003</v>
      </c>
      <c r="CN14" s="301">
        <f t="shared" ref="CN14:CN31" si="8">CM14/CL14*100</f>
        <v>50.069934128435044</v>
      </c>
      <c r="CO14" s="301">
        <f>Але!C44</f>
        <v>262.54500000000002</v>
      </c>
      <c r="CP14" s="301">
        <f>Але!D44</f>
        <v>19.954999999999998</v>
      </c>
      <c r="CQ14" s="301">
        <f>CP14/CO14*100</f>
        <v>7.600601801595916</v>
      </c>
      <c r="CR14" s="305">
        <f>Але!C43</f>
        <v>0</v>
      </c>
      <c r="CS14" s="301">
        <f>Але!D43</f>
        <v>0</v>
      </c>
      <c r="CT14" s="301" t="e">
        <f t="shared" ref="CT14:CT31" si="9">CS14/CR14*100</f>
        <v>#DIV/0!</v>
      </c>
      <c r="CU14" s="301"/>
      <c r="CV14" s="301">
        <f>Але!D45</f>
        <v>0</v>
      </c>
      <c r="CW14" s="301" t="e">
        <f>CV13:CV14/CU14*100</f>
        <v>#DIV/0!</v>
      </c>
      <c r="CX14" s="306"/>
      <c r="CY14" s="306"/>
      <c r="CZ14" s="301" t="e">
        <f>CY14/CX14*100</f>
        <v>#DIV/0!</v>
      </c>
      <c r="DA14" s="301"/>
      <c r="DB14" s="301"/>
      <c r="DC14" s="301"/>
      <c r="DD14" s="301"/>
      <c r="DE14" s="301"/>
      <c r="DF14" s="301"/>
      <c r="DG14" s="310">
        <f>DJ14+DY14+EB14+EE14+EH14+EK14+EN14+EQ14+ET14</f>
        <v>3260.3522000000007</v>
      </c>
      <c r="DH14" s="310">
        <f>DK14+DZ14+EC14+EF14+EI14+EL14+EO14+ER14+EU14</f>
        <v>1102.84646</v>
      </c>
      <c r="DI14" s="301">
        <f>DH14/DG14*100</f>
        <v>33.82599156005292</v>
      </c>
      <c r="DJ14" s="306">
        <f>DM14+DP14+DS14+DV14</f>
        <v>1221.6660000000002</v>
      </c>
      <c r="DK14" s="306">
        <f>DN14+DQ14+DT14+DW14</f>
        <v>586.73122000000001</v>
      </c>
      <c r="DL14" s="301">
        <f>DK14/DJ14*100</f>
        <v>48.027138350416557</v>
      </c>
      <c r="DM14" s="301">
        <f>Але!C54</f>
        <v>1154.4000000000001</v>
      </c>
      <c r="DN14" s="301">
        <f>Але!D54</f>
        <v>572.73122000000001</v>
      </c>
      <c r="DO14" s="301">
        <f>DN14/DM14*100</f>
        <v>49.612891545391541</v>
      </c>
      <c r="DP14" s="301">
        <f>Але!C57</f>
        <v>0</v>
      </c>
      <c r="DQ14" s="301">
        <f>Але!D57</f>
        <v>0</v>
      </c>
      <c r="DR14" s="301" t="e">
        <f>DQ14/DP14*100</f>
        <v>#DIV/0!</v>
      </c>
      <c r="DS14" s="301">
        <f>Але!C58</f>
        <v>50</v>
      </c>
      <c r="DT14" s="301">
        <f>Але!D58</f>
        <v>0</v>
      </c>
      <c r="DU14" s="301">
        <f>DT14/DS14*100</f>
        <v>0</v>
      </c>
      <c r="DV14" s="301">
        <f>Але!C59</f>
        <v>17.265999999999998</v>
      </c>
      <c r="DW14" s="301">
        <f>Але!D59</f>
        <v>14</v>
      </c>
      <c r="DX14" s="301">
        <f>DW14/DV14*100</f>
        <v>81.084211745627258</v>
      </c>
      <c r="DY14" s="301">
        <f>Але!C61</f>
        <v>103.383</v>
      </c>
      <c r="DZ14" s="301">
        <f>Але!D61</f>
        <v>43.63796</v>
      </c>
      <c r="EA14" s="301">
        <f>DZ14/DY14*100</f>
        <v>42.209995840708821</v>
      </c>
      <c r="EB14" s="301">
        <f>Але!C62</f>
        <v>15</v>
      </c>
      <c r="EC14" s="301">
        <f>Але!D62</f>
        <v>2.81148</v>
      </c>
      <c r="ED14" s="301">
        <f>EC14/EB14*100</f>
        <v>18.743199999999998</v>
      </c>
      <c r="EE14" s="306">
        <f>Але!C68</f>
        <v>901.94420000000002</v>
      </c>
      <c r="EF14" s="306">
        <f>Але!D68</f>
        <v>157.74741</v>
      </c>
      <c r="EG14" s="301">
        <f>EF14/EE14*100</f>
        <v>17.489708343376453</v>
      </c>
      <c r="EH14" s="306">
        <f>Але!C73</f>
        <v>654.15499999999997</v>
      </c>
      <c r="EI14" s="306">
        <f>Але!D73</f>
        <v>165.91838999999999</v>
      </c>
      <c r="EJ14" s="301">
        <f>EI14/EH14*100</f>
        <v>25.363773111877151</v>
      </c>
      <c r="EK14" s="306">
        <f>Але!C77</f>
        <v>334.20400000000001</v>
      </c>
      <c r="EL14" s="314">
        <f>Але!D77</f>
        <v>146</v>
      </c>
      <c r="EM14" s="301">
        <f t="shared" ref="EM14:EM29" si="10">EL14/EK14*100</f>
        <v>43.685892448923411</v>
      </c>
      <c r="EN14" s="301">
        <f>Але!C79</f>
        <v>0</v>
      </c>
      <c r="EO14" s="301">
        <f>Але!D79</f>
        <v>0</v>
      </c>
      <c r="EP14" s="301" t="e">
        <f t="shared" ref="EP14:EP29" si="11">EO14/EN14*100</f>
        <v>#DIV/0!</v>
      </c>
      <c r="EQ14" s="302">
        <f>Але!C84</f>
        <v>30</v>
      </c>
      <c r="ER14" s="302">
        <f>Але!D84</f>
        <v>0</v>
      </c>
      <c r="ES14" s="301">
        <f>ER14/EQ14*100</f>
        <v>0</v>
      </c>
      <c r="ET14" s="301">
        <f>Але!C90</f>
        <v>0</v>
      </c>
      <c r="EU14" s="301">
        <f>Але!D90</f>
        <v>0</v>
      </c>
      <c r="EV14" s="301" t="e">
        <f>EU14/ET14*100</f>
        <v>#DIV/0!</v>
      </c>
      <c r="EW14" s="477">
        <f t="shared" ref="EW14:EW29" si="12">SUM(C14-DG14)</f>
        <v>12.935799999998835</v>
      </c>
      <c r="EX14" s="477">
        <f t="shared" ref="EX14:EX29" si="13">SUM(D14-DH14)</f>
        <v>253.08050999999978</v>
      </c>
      <c r="EY14" s="301">
        <f>EX14/EW14*100%</f>
        <v>19.564349325130458</v>
      </c>
      <c r="EZ14" s="162"/>
      <c r="FA14" s="163"/>
      <c r="FC14" s="163"/>
    </row>
    <row r="15" spans="1:159" s="164" customFormat="1" ht="22.5" customHeight="1">
      <c r="A15" s="341">
        <v>2</v>
      </c>
      <c r="B15" s="343" t="s">
        <v>290</v>
      </c>
      <c r="C15" s="299">
        <f t="shared" ref="C15:C29" si="14">F15+BZ15</f>
        <v>17832.976709999999</v>
      </c>
      <c r="D15" s="300">
        <f>G15+CA15+CY15</f>
        <v>6856.0896200000007</v>
      </c>
      <c r="E15" s="308">
        <f t="shared" si="1"/>
        <v>38.446131184343372</v>
      </c>
      <c r="F15" s="302">
        <f t="shared" ref="F15:F29" si="15">I15+X15+AA15+AD15+AG15+AM15+AS15+BE15+BQ15+BN15+AJ15+AY15+L15+R15+O15+U15+AP15</f>
        <v>3675.32</v>
      </c>
      <c r="G15" s="302">
        <f>J15+Y15+AB15+AE15+AH15+AN15+AT15+BF15+AK15+BR15+BO15+AZ15+M15+S15+P15+V15+AQ15</f>
        <v>981.32545000000005</v>
      </c>
      <c r="H15" s="308">
        <f t="shared" ref="H15:H29" si="16">G15/F15*100</f>
        <v>26.700408399812801</v>
      </c>
      <c r="I15" s="315">
        <f>Сун!C6</f>
        <v>350.22</v>
      </c>
      <c r="J15" s="450">
        <f>Сун!D6</f>
        <v>151.59511000000001</v>
      </c>
      <c r="K15" s="308">
        <f t="shared" ref="K15:K29" si="17">J15/I15*100</f>
        <v>43.285680429444348</v>
      </c>
      <c r="L15" s="308">
        <f>Сун!C8</f>
        <v>267.48</v>
      </c>
      <c r="M15" s="308">
        <f>Сун!D8</f>
        <v>168.14356000000001</v>
      </c>
      <c r="N15" s="301">
        <f t="shared" ref="N15:N29" si="18">M15/L15*100</f>
        <v>62.862105577987137</v>
      </c>
      <c r="O15" s="301">
        <f>Сун!C9</f>
        <v>2.87</v>
      </c>
      <c r="P15" s="301">
        <f>Сун!D9</f>
        <v>1.2666299999999999</v>
      </c>
      <c r="Q15" s="301">
        <f t="shared" ref="Q15:Q29" si="19">P15/O15*100</f>
        <v>44.13344947735191</v>
      </c>
      <c r="R15" s="301">
        <f>Сун!C10</f>
        <v>446.75</v>
      </c>
      <c r="S15" s="301">
        <f>Сун!D10</f>
        <v>233.80504999999999</v>
      </c>
      <c r="T15" s="301">
        <f t="shared" ref="T15:T29" si="20">S15/R15*100</f>
        <v>52.334650251818694</v>
      </c>
      <c r="U15" s="301">
        <f>Сун!C11</f>
        <v>0</v>
      </c>
      <c r="V15" s="305">
        <f>Сун!D11</f>
        <v>-31.385149999999999</v>
      </c>
      <c r="W15" s="301" t="e">
        <f t="shared" ref="W15:W29" si="21">V15/U15*100</f>
        <v>#DIV/0!</v>
      </c>
      <c r="X15" s="315">
        <f>Сун!C13</f>
        <v>40</v>
      </c>
      <c r="Y15" s="315">
        <f>Сун!D13</f>
        <v>42.529200000000003</v>
      </c>
      <c r="Z15" s="308">
        <f t="shared" ref="Z15:Z29" si="22">Y15/X15*100</f>
        <v>106.32300000000001</v>
      </c>
      <c r="AA15" s="315">
        <f>Сун!C15</f>
        <v>943</v>
      </c>
      <c r="AB15" s="307">
        <f>Сун!D15</f>
        <v>65.424430000000001</v>
      </c>
      <c r="AC15" s="308">
        <f t="shared" ref="AC15:AC29" si="23">AB15/AA15*100</f>
        <v>6.9379034994697779</v>
      </c>
      <c r="AD15" s="315">
        <f>Сун!C16</f>
        <v>1200</v>
      </c>
      <c r="AE15" s="315">
        <f>Сун!D16</f>
        <v>297.87360000000001</v>
      </c>
      <c r="AF15" s="308">
        <f t="shared" si="4"/>
        <v>24.822800000000001</v>
      </c>
      <c r="AG15" s="308">
        <f>Сун!C18</f>
        <v>10</v>
      </c>
      <c r="AH15" s="308">
        <f>Сун!D18</f>
        <v>1.86</v>
      </c>
      <c r="AI15" s="308">
        <f t="shared" ref="AI15:AI31" si="24">AH15/AG15*100</f>
        <v>18.600000000000001</v>
      </c>
      <c r="AJ15" s="308"/>
      <c r="AK15" s="308"/>
      <c r="AL15" s="308" t="e">
        <f t="shared" si="5"/>
        <v>#DIV/0!</v>
      </c>
      <c r="AM15" s="315">
        <f>Сун!C27</f>
        <v>0</v>
      </c>
      <c r="AN15" s="315">
        <f>Сун!D27</f>
        <v>0</v>
      </c>
      <c r="AO15" s="308" t="e">
        <f t="shared" si="6"/>
        <v>#DIV/0!</v>
      </c>
      <c r="AP15" s="315">
        <f>Сун!C28</f>
        <v>165</v>
      </c>
      <c r="AQ15" s="316">
        <f>Сун!D28</f>
        <v>6</v>
      </c>
      <c r="AR15" s="308">
        <f t="shared" ref="AR15:AR29" si="25">AQ15/AP15*100</f>
        <v>3.6363636363636362</v>
      </c>
      <c r="AS15" s="310">
        <f>Сун!C29</f>
        <v>50</v>
      </c>
      <c r="AT15" s="316">
        <f>Сун!D29</f>
        <v>25.001999999999999</v>
      </c>
      <c r="AU15" s="308">
        <f t="shared" ref="AU15:AU29" si="26">AT15/AS15*100</f>
        <v>50.003999999999991</v>
      </c>
      <c r="AV15" s="315"/>
      <c r="AW15" s="315"/>
      <c r="AX15" s="308" t="e">
        <f t="shared" ref="AX15:AX29" si="27">AW15/AV15*100</f>
        <v>#DIV/0!</v>
      </c>
      <c r="AY15" s="308">
        <f>Сун!C31</f>
        <v>200</v>
      </c>
      <c r="AZ15" s="311">
        <f>Сун!D31</f>
        <v>21.78417</v>
      </c>
      <c r="BA15" s="308">
        <f t="shared" ref="BA15:BA31" si="28">AZ15/AY15*100</f>
        <v>10.892085</v>
      </c>
      <c r="BB15" s="308"/>
      <c r="BC15" s="308"/>
      <c r="BD15" s="308"/>
      <c r="BE15" s="308">
        <f>Сун!C32</f>
        <v>0</v>
      </c>
      <c r="BF15" s="308">
        <f>Сун!D32</f>
        <v>0</v>
      </c>
      <c r="BG15" s="308" t="e">
        <f t="shared" ref="BG15:BG31" si="29">BF15/BE15*100</f>
        <v>#DIV/0!</v>
      </c>
      <c r="BH15" s="308"/>
      <c r="BI15" s="308"/>
      <c r="BJ15" s="308" t="e">
        <f t="shared" ref="BJ15:BJ29" si="30">BI15/BH15*100</f>
        <v>#DIV/0!</v>
      </c>
      <c r="BK15" s="308">
        <f>Сун!C35</f>
        <v>0</v>
      </c>
      <c r="BL15" s="308">
        <f>Сун!D35</f>
        <v>0</v>
      </c>
      <c r="BM15" s="308"/>
      <c r="BN15" s="308">
        <f>Сун!C35</f>
        <v>0</v>
      </c>
      <c r="BO15" s="308">
        <f>Сун!D35</f>
        <v>0</v>
      </c>
      <c r="BP15" s="482" t="e">
        <f t="shared" ref="BP15:BP29" si="31">BO15/BN15*100</f>
        <v>#DIV/0!</v>
      </c>
      <c r="BQ15" s="308">
        <f>Сун!C37</f>
        <v>0</v>
      </c>
      <c r="BR15" s="308">
        <f>Сун!D37</f>
        <v>-2.57315</v>
      </c>
      <c r="BS15" s="308" t="e">
        <f t="shared" ref="BS15:BS29" si="32">BR15/BQ15*100</f>
        <v>#DIV/0!</v>
      </c>
      <c r="BT15" s="308"/>
      <c r="BU15" s="308"/>
      <c r="BV15" s="317" t="e">
        <f t="shared" ref="BV15:BV29" si="33">BT15/BU15*100</f>
        <v>#DIV/0!</v>
      </c>
      <c r="BW15" s="317"/>
      <c r="BX15" s="317"/>
      <c r="BY15" s="317" t="e">
        <f t="shared" ref="BY15:BY29" si="34">BW15/BX15*100</f>
        <v>#DIV/0!</v>
      </c>
      <c r="BZ15" s="306">
        <f t="shared" ref="BZ15:BZ29" si="35">CC15+CF15+CI15+CL15+CR15+CO15</f>
        <v>14157.656709999999</v>
      </c>
      <c r="CA15" s="306">
        <f t="shared" ref="CA15:CA29" si="36">CD15+CG15+CJ15+CM15+CS15+CP15+CV15</f>
        <v>5874.7641700000004</v>
      </c>
      <c r="CB15" s="308">
        <f>CA15/BZ15*100</f>
        <v>41.495314446001998</v>
      </c>
      <c r="CC15" s="308">
        <f>Сун!C42</f>
        <v>6036.4</v>
      </c>
      <c r="CD15" s="308">
        <f>Сун!D42</f>
        <v>3018.2220000000002</v>
      </c>
      <c r="CE15" s="308">
        <f t="shared" ref="CE15:CE29" si="37">CD15/CC15*100</f>
        <v>50.000364455635818</v>
      </c>
      <c r="CF15" s="308">
        <f>Сун!C43</f>
        <v>0</v>
      </c>
      <c r="CG15" s="461">
        <f>Сун!D43</f>
        <v>0</v>
      </c>
      <c r="CH15" s="308" t="e">
        <f t="shared" ref="CH15:CH29" si="38">CG15/CF15*100</f>
        <v>#DIV/0!</v>
      </c>
      <c r="CI15" s="318">
        <f>Сун!C44</f>
        <v>6340.6076700000003</v>
      </c>
      <c r="CJ15" s="308">
        <f>Сун!D44</f>
        <v>2722.4372699999999</v>
      </c>
      <c r="CK15" s="308">
        <f t="shared" si="7"/>
        <v>42.936535608108365</v>
      </c>
      <c r="CL15" s="308">
        <f>Сун!C46</f>
        <v>249.4229</v>
      </c>
      <c r="CM15" s="308">
        <f>Сун!D46</f>
        <v>103.5288</v>
      </c>
      <c r="CN15" s="308">
        <f t="shared" si="8"/>
        <v>41.507335533345177</v>
      </c>
      <c r="CO15" s="308">
        <f>Сун!C47</f>
        <v>1322.807</v>
      </c>
      <c r="CP15" s="308">
        <f>Сун!D47</f>
        <v>0</v>
      </c>
      <c r="CQ15" s="301">
        <f t="shared" ref="CQ15:CQ29" si="39">CP15/CO15*100</f>
        <v>0</v>
      </c>
      <c r="CR15" s="319">
        <f>Сун!C48</f>
        <v>208.41914</v>
      </c>
      <c r="CS15" s="308">
        <f>Сун!D48</f>
        <v>30.5761</v>
      </c>
      <c r="CT15" s="308">
        <f t="shared" si="9"/>
        <v>14.670485637739414</v>
      </c>
      <c r="CU15" s="308"/>
      <c r="CV15" s="308"/>
      <c r="CW15" s="308"/>
      <c r="CX15" s="315"/>
      <c r="CY15" s="315"/>
      <c r="CZ15" s="308" t="e">
        <f t="shared" ref="CZ15:CZ29" si="40">CY15/CX15*100</f>
        <v>#DIV/0!</v>
      </c>
      <c r="DA15" s="308"/>
      <c r="DB15" s="308"/>
      <c r="DC15" s="308"/>
      <c r="DD15" s="308"/>
      <c r="DE15" s="308"/>
      <c r="DF15" s="308"/>
      <c r="DG15" s="310">
        <f>DJ15+DY15+EB15+EE15+EH15+EK15+EN15+EQ15+ET15</f>
        <v>18171.080139999998</v>
      </c>
      <c r="DH15" s="310">
        <f t="shared" ref="DG15:DH29" si="41">DK15+DZ15+EC15+EF15+EI15+EL15+EO15+ER15+EU15</f>
        <v>6228.5964599999998</v>
      </c>
      <c r="DI15" s="308">
        <f t="shared" ref="DI15:DI29" si="42">DH15/DG15*100</f>
        <v>34.277524572075329</v>
      </c>
      <c r="DJ15" s="315">
        <f>DM15+DP15+DS15+DV15</f>
        <v>2064.6990000000001</v>
      </c>
      <c r="DK15" s="315">
        <f t="shared" ref="DJ15:DK29" si="43">DN15+DQ15+DT15+DW15</f>
        <v>846.22745999999995</v>
      </c>
      <c r="DL15" s="308">
        <f t="shared" ref="DL15:DL29" si="44">DK15/DJ15*100</f>
        <v>40.985512173929465</v>
      </c>
      <c r="DM15" s="308">
        <f>Сун!C59</f>
        <v>1939.6</v>
      </c>
      <c r="DN15" s="308">
        <f>Сун!D59</f>
        <v>836.72745999999995</v>
      </c>
      <c r="DO15" s="308">
        <f t="shared" ref="DO15:DO29" si="45">DN15/DM15*100</f>
        <v>43.139176118787375</v>
      </c>
      <c r="DP15" s="308">
        <f>Сун!C62</f>
        <v>10.86</v>
      </c>
      <c r="DQ15" s="308">
        <f>Сун!D62</f>
        <v>0</v>
      </c>
      <c r="DR15" s="308">
        <f t="shared" ref="DR15:DR29" si="46">DQ15/DP15*100</f>
        <v>0</v>
      </c>
      <c r="DS15" s="308">
        <f>Сун!C63</f>
        <v>100</v>
      </c>
      <c r="DT15" s="308">
        <f>Сун!D63</f>
        <v>0</v>
      </c>
      <c r="DU15" s="308">
        <f t="shared" ref="DU15:DU29" si="47">DT15/DS15*100</f>
        <v>0</v>
      </c>
      <c r="DV15" s="308">
        <f>Сун!C64</f>
        <v>14.239000000000001</v>
      </c>
      <c r="DW15" s="308">
        <f>Сун!D64</f>
        <v>9.5</v>
      </c>
      <c r="DX15" s="308">
        <f t="shared" ref="DX15:DX29" si="48">DW15/DV15*100</f>
        <v>66.718168410702987</v>
      </c>
      <c r="DY15" s="308">
        <f>Сун!C66</f>
        <v>206.767</v>
      </c>
      <c r="DZ15" s="308">
        <f>Сун!D66</f>
        <v>72.421310000000005</v>
      </c>
      <c r="EA15" s="308">
        <f t="shared" ref="EA15:EA31" si="49">DZ15/DY15*100</f>
        <v>35.025565007955819</v>
      </c>
      <c r="EB15" s="308">
        <f>Сун!C67</f>
        <v>331</v>
      </c>
      <c r="EC15" s="308">
        <f>Сун!D67</f>
        <v>9.7114799999999999</v>
      </c>
      <c r="ED15" s="308">
        <f t="shared" ref="ED15:ED31" si="50">EC15/EB15*100</f>
        <v>2.9339818731117826</v>
      </c>
      <c r="EE15" s="315">
        <f>Сун!C73</f>
        <v>3419.39633</v>
      </c>
      <c r="EF15" s="315">
        <f>Сун!D73</f>
        <v>382.38191999999998</v>
      </c>
      <c r="EG15" s="308">
        <f t="shared" ref="EG15:EG29" si="51">EF15/EE15*100</f>
        <v>11.182731777687788</v>
      </c>
      <c r="EH15" s="315">
        <f>Сун!C78</f>
        <v>8594.0178099999994</v>
      </c>
      <c r="EI15" s="315">
        <f>Сун!D78</f>
        <v>3190.3260800000003</v>
      </c>
      <c r="EJ15" s="308">
        <f t="shared" ref="EJ15:EJ29" si="52">EI15/EH15*100</f>
        <v>37.12263751987733</v>
      </c>
      <c r="EK15" s="315">
        <f>Сун!C83</f>
        <v>3505.2</v>
      </c>
      <c r="EL15" s="320">
        <f>Сун!D83</f>
        <v>1725.47621</v>
      </c>
      <c r="EM15" s="308">
        <f t="shared" si="10"/>
        <v>49.22618424055689</v>
      </c>
      <c r="EN15" s="308">
        <f>Сун!C86</f>
        <v>0</v>
      </c>
      <c r="EO15" s="308">
        <f>Сун!D86</f>
        <v>0</v>
      </c>
      <c r="EP15" s="308" t="e">
        <f t="shared" si="11"/>
        <v>#DIV/0!</v>
      </c>
      <c r="EQ15" s="321">
        <f>Сун!C91</f>
        <v>50</v>
      </c>
      <c r="ER15" s="321">
        <f>Сун!D91</f>
        <v>2.052</v>
      </c>
      <c r="ES15" s="308">
        <f t="shared" ref="ES15:ES29" si="53">ER15/EQ15*100</f>
        <v>4.1040000000000001</v>
      </c>
      <c r="ET15" s="308">
        <f>Сун!C97</f>
        <v>0</v>
      </c>
      <c r="EU15" s="308">
        <f>Сун!D97</f>
        <v>0</v>
      </c>
      <c r="EV15" s="301" t="e">
        <f>EU15/ET15*100</f>
        <v>#DIV/0!</v>
      </c>
      <c r="EW15" s="477">
        <f t="shared" si="12"/>
        <v>-338.10342999999921</v>
      </c>
      <c r="EX15" s="477">
        <f t="shared" si="13"/>
        <v>627.4931600000009</v>
      </c>
      <c r="EY15" s="301">
        <f>EX15/EW15*100%</f>
        <v>-1.8559207163322844</v>
      </c>
      <c r="EZ15" s="162"/>
      <c r="FA15" s="163"/>
      <c r="FC15" s="163"/>
    </row>
    <row r="16" spans="1:159" s="160" customFormat="1" ht="25.5" customHeight="1">
      <c r="A16" s="341">
        <v>3</v>
      </c>
      <c r="B16" s="343" t="s">
        <v>291</v>
      </c>
      <c r="C16" s="322">
        <f t="shared" si="14"/>
        <v>12815.534640000002</v>
      </c>
      <c r="D16" s="300">
        <f t="shared" si="0"/>
        <v>3643.9151300000003</v>
      </c>
      <c r="E16" s="308">
        <f t="shared" si="1"/>
        <v>28.433578718023739</v>
      </c>
      <c r="F16" s="302">
        <f t="shared" si="15"/>
        <v>2330.79</v>
      </c>
      <c r="G16" s="302">
        <f t="shared" si="3"/>
        <v>985.87062000000003</v>
      </c>
      <c r="H16" s="308">
        <f t="shared" si="16"/>
        <v>42.297702495720337</v>
      </c>
      <c r="I16" s="323">
        <f>Иль!C6</f>
        <v>70.650000000000006</v>
      </c>
      <c r="J16" s="449">
        <f>Иль!D6</f>
        <v>46.858150000000002</v>
      </c>
      <c r="K16" s="308">
        <f t="shared" si="17"/>
        <v>66.324345364472748</v>
      </c>
      <c r="L16" s="308">
        <f>Иль!C8</f>
        <v>252.72</v>
      </c>
      <c r="M16" s="308">
        <f>Иль!D8</f>
        <v>158.86667</v>
      </c>
      <c r="N16" s="301">
        <f t="shared" si="18"/>
        <v>62.862721589110478</v>
      </c>
      <c r="O16" s="301">
        <f>Иль!C9</f>
        <v>2.71</v>
      </c>
      <c r="P16" s="301">
        <f>Иль!D9</f>
        <v>1.1967399999999999</v>
      </c>
      <c r="Q16" s="301">
        <f t="shared" si="19"/>
        <v>44.160147601476012</v>
      </c>
      <c r="R16" s="301">
        <f>Иль!C10</f>
        <v>422.11</v>
      </c>
      <c r="S16" s="301">
        <f>Иль!D10</f>
        <v>220.90546000000001</v>
      </c>
      <c r="T16" s="301">
        <f t="shared" si="20"/>
        <v>52.333623936888486</v>
      </c>
      <c r="U16" s="301">
        <f>Иль!C11</f>
        <v>0</v>
      </c>
      <c r="V16" s="305">
        <f>Иль!D11</f>
        <v>-29.653549999999999</v>
      </c>
      <c r="W16" s="301" t="e">
        <f t="shared" si="21"/>
        <v>#DIV/0!</v>
      </c>
      <c r="X16" s="315">
        <f>Иль!C13</f>
        <v>10</v>
      </c>
      <c r="Y16" s="315">
        <f>Иль!D13</f>
        <v>0.94381000000000004</v>
      </c>
      <c r="Z16" s="308">
        <f t="shared" si="22"/>
        <v>9.4381000000000004</v>
      </c>
      <c r="AA16" s="315">
        <f>Иль!C15</f>
        <v>334</v>
      </c>
      <c r="AB16" s="307">
        <f>Иль!D15</f>
        <v>80.354129999999998</v>
      </c>
      <c r="AC16" s="308">
        <f t="shared" si="23"/>
        <v>24.058122754491016</v>
      </c>
      <c r="AD16" s="315">
        <f>Иль!C16</f>
        <v>750</v>
      </c>
      <c r="AE16" s="315">
        <f>Иль!D16</f>
        <v>136.60622000000001</v>
      </c>
      <c r="AF16" s="308">
        <f t="shared" si="4"/>
        <v>18.214162666666667</v>
      </c>
      <c r="AG16" s="308">
        <f>Иль!C18</f>
        <v>4</v>
      </c>
      <c r="AH16" s="308">
        <f>Иль!D18</f>
        <v>0.7</v>
      </c>
      <c r="AI16" s="308">
        <f t="shared" si="24"/>
        <v>17.5</v>
      </c>
      <c r="AJ16" s="308"/>
      <c r="AK16" s="308"/>
      <c r="AL16" s="308" t="e">
        <f t="shared" si="5"/>
        <v>#DIV/0!</v>
      </c>
      <c r="AM16" s="315">
        <f>Иль!C27</f>
        <v>0</v>
      </c>
      <c r="AN16" s="315">
        <f>Иль!D27</f>
        <v>0</v>
      </c>
      <c r="AO16" s="308" t="e">
        <f t="shared" si="6"/>
        <v>#DIV/0!</v>
      </c>
      <c r="AP16" s="315">
        <f>Иль!C28</f>
        <v>354</v>
      </c>
      <c r="AQ16" s="316">
        <f>Иль!D28</f>
        <v>123.21299999999999</v>
      </c>
      <c r="AR16" s="308">
        <f t="shared" si="25"/>
        <v>34.80593220338983</v>
      </c>
      <c r="AS16" s="310">
        <f>Иль!C29</f>
        <v>30.6</v>
      </c>
      <c r="AT16" s="316">
        <f>Иль!D29</f>
        <v>25.5015</v>
      </c>
      <c r="AU16" s="308">
        <f t="shared" si="26"/>
        <v>83.338235294117652</v>
      </c>
      <c r="AV16" s="315"/>
      <c r="AW16" s="315"/>
      <c r="AX16" s="308" t="e">
        <f t="shared" si="27"/>
        <v>#DIV/0!</v>
      </c>
      <c r="AY16" s="308">
        <f>Иль!C30</f>
        <v>100</v>
      </c>
      <c r="AZ16" s="311">
        <f>Иль!D30</f>
        <v>43.86112</v>
      </c>
      <c r="BA16" s="308">
        <f t="shared" si="28"/>
        <v>43.86112</v>
      </c>
      <c r="BB16" s="308"/>
      <c r="BC16" s="308"/>
      <c r="BD16" s="308"/>
      <c r="BE16" s="308">
        <f>Иль!C34</f>
        <v>0</v>
      </c>
      <c r="BF16" s="308">
        <f>SUM(Иль!D32)</f>
        <v>169.65564000000001</v>
      </c>
      <c r="BG16" s="308" t="e">
        <f t="shared" si="29"/>
        <v>#DIV/0!</v>
      </c>
      <c r="BH16" s="308"/>
      <c r="BI16" s="308"/>
      <c r="BJ16" s="308" t="e">
        <f t="shared" si="30"/>
        <v>#DIV/0!</v>
      </c>
      <c r="BK16" s="308"/>
      <c r="BL16" s="308"/>
      <c r="BM16" s="308"/>
      <c r="BN16" s="308">
        <f>Иль!C35</f>
        <v>0</v>
      </c>
      <c r="BO16" s="308">
        <f>Иль!D35</f>
        <v>6.8617299999999997</v>
      </c>
      <c r="BP16" s="482" t="e">
        <f t="shared" si="31"/>
        <v>#DIV/0!</v>
      </c>
      <c r="BQ16" s="308">
        <v>0</v>
      </c>
      <c r="BR16" s="308">
        <f>Иль!D38</f>
        <v>0</v>
      </c>
      <c r="BS16" s="308" t="e">
        <f t="shared" si="32"/>
        <v>#DIV/0!</v>
      </c>
      <c r="BT16" s="308"/>
      <c r="BU16" s="308"/>
      <c r="BV16" s="317" t="e">
        <f t="shared" si="33"/>
        <v>#DIV/0!</v>
      </c>
      <c r="BW16" s="317"/>
      <c r="BX16" s="317"/>
      <c r="BY16" s="317" t="e">
        <f t="shared" si="34"/>
        <v>#DIV/0!</v>
      </c>
      <c r="BZ16" s="306">
        <f>CC16+CF16+CI16+CL16+CR16+CO16</f>
        <v>10484.744640000001</v>
      </c>
      <c r="CA16" s="306">
        <f t="shared" si="36"/>
        <v>2658.0445100000002</v>
      </c>
      <c r="CB16" s="308">
        <f>CA16/BZ16*100</f>
        <v>25.351542658076603</v>
      </c>
      <c r="CC16" s="308">
        <f>Иль!C43</f>
        <v>3002.3</v>
      </c>
      <c r="CD16" s="308">
        <f>Иль!D43</f>
        <v>1501.164</v>
      </c>
      <c r="CE16" s="308">
        <f t="shared" si="37"/>
        <v>50.000466309162974</v>
      </c>
      <c r="CF16" s="308">
        <f>Иль!C44</f>
        <v>0</v>
      </c>
      <c r="CG16" s="461">
        <f>Иль!D44</f>
        <v>0</v>
      </c>
      <c r="CH16" s="308" t="e">
        <f t="shared" si="38"/>
        <v>#DIV/0!</v>
      </c>
      <c r="CI16" s="301">
        <f>Иль!C45</f>
        <v>3177.58464</v>
      </c>
      <c r="CJ16" s="308">
        <f>Иль!D45</f>
        <v>270.97300000000001</v>
      </c>
      <c r="CK16" s="308">
        <f t="shared" si="7"/>
        <v>8.5276406673466294</v>
      </c>
      <c r="CL16" s="308">
        <f>Иль!C47</f>
        <v>206.767</v>
      </c>
      <c r="CM16" s="308">
        <f>Иль!D47</f>
        <v>103.52878</v>
      </c>
      <c r="CN16" s="308">
        <f t="shared" si="8"/>
        <v>50.070262662804019</v>
      </c>
      <c r="CO16" s="308">
        <f>Иль!C48</f>
        <v>4098.0929999999998</v>
      </c>
      <c r="CP16" s="308">
        <f>Иль!D48</f>
        <v>782.37873000000002</v>
      </c>
      <c r="CQ16" s="301">
        <f t="shared" si="39"/>
        <v>19.091287825825329</v>
      </c>
      <c r="CR16" s="319">
        <f>Иль!C52</f>
        <v>0</v>
      </c>
      <c r="CS16" s="308">
        <f>Иль!D52</f>
        <v>0</v>
      </c>
      <c r="CT16" s="308" t="e">
        <f t="shared" si="9"/>
        <v>#DIV/0!</v>
      </c>
      <c r="CU16" s="308"/>
      <c r="CV16" s="308"/>
      <c r="CW16" s="308"/>
      <c r="CX16" s="315"/>
      <c r="CY16" s="315"/>
      <c r="CZ16" s="308" t="e">
        <f t="shared" si="40"/>
        <v>#DIV/0!</v>
      </c>
      <c r="DA16" s="308"/>
      <c r="DB16" s="308"/>
      <c r="DC16" s="308"/>
      <c r="DD16" s="308"/>
      <c r="DE16" s="308"/>
      <c r="DF16" s="308">
        <v>0</v>
      </c>
      <c r="DG16" s="310">
        <f t="shared" si="41"/>
        <v>13429.000770000001</v>
      </c>
      <c r="DH16" s="310">
        <f t="shared" si="41"/>
        <v>3673.4823299999998</v>
      </c>
      <c r="DI16" s="308">
        <f t="shared" si="42"/>
        <v>27.354844883220597</v>
      </c>
      <c r="DJ16" s="315">
        <f t="shared" si="43"/>
        <v>1633.307</v>
      </c>
      <c r="DK16" s="315">
        <f t="shared" si="43"/>
        <v>790.65291000000002</v>
      </c>
      <c r="DL16" s="308">
        <f t="shared" si="44"/>
        <v>48.408101477554432</v>
      </c>
      <c r="DM16" s="308">
        <f>Иль!C60</f>
        <v>1531.7</v>
      </c>
      <c r="DN16" s="308">
        <f>Иль!D60</f>
        <v>765.65291000000002</v>
      </c>
      <c r="DO16" s="308">
        <f t="shared" si="45"/>
        <v>49.987132597767186</v>
      </c>
      <c r="DP16" s="308">
        <f>Иль!C63</f>
        <v>0</v>
      </c>
      <c r="DQ16" s="308">
        <f>Иль!D63</f>
        <v>0</v>
      </c>
      <c r="DR16" s="308" t="e">
        <f t="shared" si="46"/>
        <v>#DIV/0!</v>
      </c>
      <c r="DS16" s="308">
        <f>Иль!C64</f>
        <v>17</v>
      </c>
      <c r="DT16" s="308">
        <f>Иль!D64</f>
        <v>0</v>
      </c>
      <c r="DU16" s="308">
        <f t="shared" si="47"/>
        <v>0</v>
      </c>
      <c r="DV16" s="308">
        <f>Иль!C65</f>
        <v>84.606999999999999</v>
      </c>
      <c r="DW16" s="308">
        <f>Иль!D65</f>
        <v>25</v>
      </c>
      <c r="DX16" s="308">
        <f t="shared" si="48"/>
        <v>29.548382521540773</v>
      </c>
      <c r="DY16" s="308">
        <f>Иль!C67</f>
        <v>206.767</v>
      </c>
      <c r="DZ16" s="308">
        <f>Иль!D67</f>
        <v>88.275919999999999</v>
      </c>
      <c r="EA16" s="308">
        <f t="shared" si="49"/>
        <v>42.693427868083397</v>
      </c>
      <c r="EB16" s="308">
        <f>Иль!C68</f>
        <v>15</v>
      </c>
      <c r="EC16" s="308">
        <f>Иль!D68</f>
        <v>9.2800000000000011</v>
      </c>
      <c r="ED16" s="308">
        <f t="shared" si="50"/>
        <v>61.866666666666667</v>
      </c>
      <c r="EE16" s="315">
        <f>Иль!C74</f>
        <v>4415.7606700000006</v>
      </c>
      <c r="EF16" s="315">
        <f>Иль!D74</f>
        <v>412.12943000000001</v>
      </c>
      <c r="EG16" s="308">
        <f t="shared" si="51"/>
        <v>9.3331468981084971</v>
      </c>
      <c r="EH16" s="315">
        <f>Иль!C81</f>
        <v>3866.0661</v>
      </c>
      <c r="EI16" s="315">
        <f>Иль!D81</f>
        <v>1048.8005599999999</v>
      </c>
      <c r="EJ16" s="308">
        <f t="shared" si="52"/>
        <v>27.128365963530733</v>
      </c>
      <c r="EK16" s="315">
        <f>Иль!C85</f>
        <v>3282.1</v>
      </c>
      <c r="EL16" s="320">
        <f>Иль!D85</f>
        <v>1324.3435099999999</v>
      </c>
      <c r="EM16" s="308">
        <f t="shared" si="10"/>
        <v>40.350492367691416</v>
      </c>
      <c r="EN16" s="308">
        <f>Иль!C87</f>
        <v>0</v>
      </c>
      <c r="EO16" s="308">
        <f>Иль!D87</f>
        <v>0</v>
      </c>
      <c r="EP16" s="308" t="e">
        <f t="shared" si="11"/>
        <v>#DIV/0!</v>
      </c>
      <c r="EQ16" s="321">
        <f>Иль!C92</f>
        <v>10</v>
      </c>
      <c r="ER16" s="321">
        <f>Иль!D92</f>
        <v>0</v>
      </c>
      <c r="ES16" s="308">
        <f t="shared" si="53"/>
        <v>0</v>
      </c>
      <c r="ET16" s="308">
        <f>Иль!C98</f>
        <v>0</v>
      </c>
      <c r="EU16" s="308">
        <f>Иль!D98</f>
        <v>0</v>
      </c>
      <c r="EV16" s="301" t="e">
        <f t="shared" ref="EV16:EV29" si="54">EU16/ET16*100</f>
        <v>#DIV/0!</v>
      </c>
      <c r="EW16" s="477">
        <f t="shared" si="12"/>
        <v>-613.46612999999888</v>
      </c>
      <c r="EX16" s="477">
        <f t="shared" si="13"/>
        <v>-29.567199999999502</v>
      </c>
      <c r="EY16" s="301">
        <f>EX16/EW16*100</f>
        <v>4.8196955877579679</v>
      </c>
      <c r="EZ16" s="162"/>
      <c r="FA16" s="163"/>
      <c r="FC16" s="163"/>
    </row>
    <row r="17" spans="1:170" s="160" customFormat="1" ht="22.5" customHeight="1">
      <c r="A17" s="341">
        <v>4</v>
      </c>
      <c r="B17" s="343" t="s">
        <v>292</v>
      </c>
      <c r="C17" s="322">
        <f t="shared" si="14"/>
        <v>10540.652399999999</v>
      </c>
      <c r="D17" s="300">
        <f t="shared" si="0"/>
        <v>4194.4898400000002</v>
      </c>
      <c r="E17" s="308">
        <f t="shared" si="1"/>
        <v>39.79345566883508</v>
      </c>
      <c r="F17" s="302">
        <f t="shared" si="15"/>
        <v>4848.53</v>
      </c>
      <c r="G17" s="302">
        <f t="shared" si="3"/>
        <v>1985.7566600000005</v>
      </c>
      <c r="H17" s="308">
        <f t="shared" si="16"/>
        <v>40.955849711149575</v>
      </c>
      <c r="I17" s="315">
        <f>Кад!C6</f>
        <v>486</v>
      </c>
      <c r="J17" s="450">
        <f>Кад!D6</f>
        <v>251.15543</v>
      </c>
      <c r="K17" s="308">
        <f t="shared" si="17"/>
        <v>51.678072016460909</v>
      </c>
      <c r="L17" s="308">
        <f>Кад!C8</f>
        <v>300.69</v>
      </c>
      <c r="M17" s="308">
        <f>Кад!D8</f>
        <v>189.01653999999999</v>
      </c>
      <c r="N17" s="301">
        <f t="shared" si="18"/>
        <v>62.860933187003219</v>
      </c>
      <c r="O17" s="301">
        <f>Кад!C9</f>
        <v>3.22</v>
      </c>
      <c r="P17" s="301">
        <f>Кад!D9</f>
        <v>1.4238599999999999</v>
      </c>
      <c r="Q17" s="301">
        <f t="shared" si="19"/>
        <v>44.21925465838509</v>
      </c>
      <c r="R17" s="301">
        <f>Кад!C10</f>
        <v>502.22</v>
      </c>
      <c r="S17" s="301">
        <f>Кад!D10</f>
        <v>262.82911999999999</v>
      </c>
      <c r="T17" s="301">
        <f t="shared" si="20"/>
        <v>52.333463422404513</v>
      </c>
      <c r="U17" s="301">
        <f>Кад!C11</f>
        <v>0</v>
      </c>
      <c r="V17" s="305">
        <f>Кад!D11</f>
        <v>-35.281230000000001</v>
      </c>
      <c r="W17" s="301" t="e">
        <f t="shared" si="21"/>
        <v>#DIV/0!</v>
      </c>
      <c r="X17" s="315">
        <f>Кад!C13</f>
        <v>95</v>
      </c>
      <c r="Y17" s="315">
        <f>Кад!D13</f>
        <v>55.52955</v>
      </c>
      <c r="Z17" s="308">
        <f t="shared" si="22"/>
        <v>58.452157894736843</v>
      </c>
      <c r="AA17" s="315">
        <f>Кад!C15</f>
        <v>400</v>
      </c>
      <c r="AB17" s="307">
        <f>Кад!D15</f>
        <v>26.75938</v>
      </c>
      <c r="AC17" s="308">
        <f t="shared" si="23"/>
        <v>6.689845</v>
      </c>
      <c r="AD17" s="315">
        <f>Кад!C16</f>
        <v>2950</v>
      </c>
      <c r="AE17" s="315">
        <f>Кад!D16</f>
        <v>701.67376999999999</v>
      </c>
      <c r="AF17" s="308">
        <f t="shared" si="4"/>
        <v>23.785551525423728</v>
      </c>
      <c r="AG17" s="308">
        <f>Кад!C18</f>
        <v>20</v>
      </c>
      <c r="AH17" s="308">
        <f>Кад!D18</f>
        <v>2.2000000000000002</v>
      </c>
      <c r="AI17" s="308">
        <f t="shared" si="24"/>
        <v>11.000000000000002</v>
      </c>
      <c r="AJ17" s="308"/>
      <c r="AK17" s="308"/>
      <c r="AL17" s="308" t="e">
        <f t="shared" si="5"/>
        <v>#DIV/0!</v>
      </c>
      <c r="AM17" s="315">
        <v>0</v>
      </c>
      <c r="AN17" s="315">
        <v>0</v>
      </c>
      <c r="AO17" s="308" t="e">
        <f t="shared" si="6"/>
        <v>#DIV/0!</v>
      </c>
      <c r="AP17" s="315">
        <f>Кад!C27</f>
        <v>79.400000000000006</v>
      </c>
      <c r="AQ17" s="316">
        <f>Кад!D27</f>
        <v>516.67424000000005</v>
      </c>
      <c r="AR17" s="308">
        <f t="shared" si="25"/>
        <v>650.72322418136025</v>
      </c>
      <c r="AS17" s="310">
        <f>Кад!C28</f>
        <v>12</v>
      </c>
      <c r="AT17" s="316">
        <f>Кад!D28</f>
        <v>7.7</v>
      </c>
      <c r="AU17" s="308">
        <f t="shared" si="26"/>
        <v>64.166666666666671</v>
      </c>
      <c r="AV17" s="315"/>
      <c r="AW17" s="315"/>
      <c r="AX17" s="308" t="e">
        <f t="shared" si="27"/>
        <v>#DIV/0!</v>
      </c>
      <c r="AY17" s="308">
        <f>Кад!C30</f>
        <v>0</v>
      </c>
      <c r="AZ17" s="311">
        <f>Кад!D30</f>
        <v>5.9</v>
      </c>
      <c r="BA17" s="308" t="e">
        <f t="shared" si="28"/>
        <v>#DIV/0!</v>
      </c>
      <c r="BB17" s="308"/>
      <c r="BC17" s="308"/>
      <c r="BD17" s="308"/>
      <c r="BE17" s="308">
        <f>Кад!C33</f>
        <v>0</v>
      </c>
      <c r="BF17" s="308">
        <f>Кад!D33</f>
        <v>0</v>
      </c>
      <c r="BG17" s="308" t="e">
        <f t="shared" si="29"/>
        <v>#DIV/0!</v>
      </c>
      <c r="BH17" s="308"/>
      <c r="BI17" s="308"/>
      <c r="BJ17" s="308" t="e">
        <f t="shared" si="30"/>
        <v>#DIV/0!</v>
      </c>
      <c r="BK17" s="308"/>
      <c r="BL17" s="308"/>
      <c r="BM17" s="308"/>
      <c r="BN17" s="308">
        <f>Кад!C34</f>
        <v>0</v>
      </c>
      <c r="BO17" s="308">
        <f>Кад!D34</f>
        <v>0</v>
      </c>
      <c r="BP17" s="482" t="e">
        <f t="shared" si="31"/>
        <v>#DIV/0!</v>
      </c>
      <c r="BQ17" s="308">
        <f>Кад!C36</f>
        <v>0</v>
      </c>
      <c r="BR17" s="308">
        <f>Кад!D36</f>
        <v>0.17599999999999999</v>
      </c>
      <c r="BS17" s="308" t="e">
        <f t="shared" si="32"/>
        <v>#DIV/0!</v>
      </c>
      <c r="BT17" s="308"/>
      <c r="BU17" s="308"/>
      <c r="BV17" s="317" t="e">
        <f t="shared" si="33"/>
        <v>#DIV/0!</v>
      </c>
      <c r="BW17" s="317"/>
      <c r="BX17" s="317"/>
      <c r="BY17" s="317" t="e">
        <f t="shared" si="34"/>
        <v>#DIV/0!</v>
      </c>
      <c r="BZ17" s="306">
        <f t="shared" si="35"/>
        <v>5692.1223999999993</v>
      </c>
      <c r="CA17" s="306">
        <f>CD17+CG17+CJ17+CM17+CS17+CP17+CV17</f>
        <v>2208.7331799999997</v>
      </c>
      <c r="CB17" s="308">
        <f>CA17/BZ17*100</f>
        <v>38.803332479287519</v>
      </c>
      <c r="CC17" s="308">
        <f>Кад!C41</f>
        <v>2916.8</v>
      </c>
      <c r="CD17" s="308">
        <f>Кад!D41</f>
        <v>1458.4079999999999</v>
      </c>
      <c r="CE17" s="308">
        <f t="shared" si="37"/>
        <v>50.000274273176082</v>
      </c>
      <c r="CF17" s="308">
        <f>Кад!C42</f>
        <v>0</v>
      </c>
      <c r="CG17" s="461">
        <f>Кад!D42</f>
        <v>0</v>
      </c>
      <c r="CH17" s="308" t="e">
        <f t="shared" si="38"/>
        <v>#DIV/0!</v>
      </c>
      <c r="CI17" s="301">
        <f>Кад!C43</f>
        <v>2327.723</v>
      </c>
      <c r="CJ17" s="308">
        <f>Кад!D43</f>
        <v>414.16899999999998</v>
      </c>
      <c r="CK17" s="308">
        <f t="shared" si="7"/>
        <v>17.792881713159169</v>
      </c>
      <c r="CL17" s="308">
        <f>Кад!C45</f>
        <v>206.767</v>
      </c>
      <c r="CM17" s="308">
        <f>Кад!D45</f>
        <v>103.52878</v>
      </c>
      <c r="CN17" s="308">
        <f t="shared" si="8"/>
        <v>50.070262662804019</v>
      </c>
      <c r="CO17" s="308">
        <f>Кад!C46</f>
        <v>62.905000000000001</v>
      </c>
      <c r="CP17" s="308">
        <f>Кад!D46</f>
        <v>54.7</v>
      </c>
      <c r="CQ17" s="301">
        <f t="shared" si="39"/>
        <v>86.956521739130437</v>
      </c>
      <c r="CR17" s="319">
        <f>Кад!C47</f>
        <v>177.92740000000001</v>
      </c>
      <c r="CS17" s="308">
        <f>Кад!D47</f>
        <v>177.92740000000001</v>
      </c>
      <c r="CT17" s="308">
        <f t="shared" si="9"/>
        <v>100</v>
      </c>
      <c r="CU17" s="308"/>
      <c r="CV17" s="308"/>
      <c r="CW17" s="308"/>
      <c r="CX17" s="315"/>
      <c r="CY17" s="315"/>
      <c r="CZ17" s="308" t="e">
        <f t="shared" si="40"/>
        <v>#DIV/0!</v>
      </c>
      <c r="DA17" s="308"/>
      <c r="DB17" s="308"/>
      <c r="DC17" s="308"/>
      <c r="DD17" s="308"/>
      <c r="DE17" s="308"/>
      <c r="DF17" s="308"/>
      <c r="DG17" s="310">
        <f t="shared" si="41"/>
        <v>11343.547149999999</v>
      </c>
      <c r="DH17" s="310">
        <f t="shared" si="41"/>
        <v>3509.7131300000001</v>
      </c>
      <c r="DI17" s="308">
        <f t="shared" si="42"/>
        <v>30.940173153862201</v>
      </c>
      <c r="DJ17" s="315">
        <f t="shared" si="43"/>
        <v>1979.9490000000001</v>
      </c>
      <c r="DK17" s="315">
        <f t="shared" si="43"/>
        <v>814.57479999999998</v>
      </c>
      <c r="DL17" s="308">
        <f t="shared" si="44"/>
        <v>41.141201111745808</v>
      </c>
      <c r="DM17" s="308">
        <f>Кад!C57</f>
        <v>1768.4</v>
      </c>
      <c r="DN17" s="308">
        <f>Кад!D57</f>
        <v>757.07479999999998</v>
      </c>
      <c r="DO17" s="308">
        <f t="shared" si="45"/>
        <v>42.811287039131415</v>
      </c>
      <c r="DP17" s="308">
        <f>Кад!C60</f>
        <v>13.68</v>
      </c>
      <c r="DQ17" s="308">
        <f>Кад!D60</f>
        <v>0</v>
      </c>
      <c r="DR17" s="308">
        <f t="shared" si="46"/>
        <v>0</v>
      </c>
      <c r="DS17" s="308">
        <f>Кад!C61</f>
        <v>100</v>
      </c>
      <c r="DT17" s="308">
        <f>Кад!D61</f>
        <v>0</v>
      </c>
      <c r="DU17" s="308">
        <f t="shared" si="47"/>
        <v>0</v>
      </c>
      <c r="DV17" s="308">
        <f>Кад!C62</f>
        <v>97.869</v>
      </c>
      <c r="DW17" s="308">
        <f>Кад!D62</f>
        <v>57.5</v>
      </c>
      <c r="DX17" s="308">
        <f t="shared" si="48"/>
        <v>58.752005231482897</v>
      </c>
      <c r="DY17" s="308">
        <f>Кад!C64</f>
        <v>206.767</v>
      </c>
      <c r="DZ17" s="308">
        <f>Кад!D64</f>
        <v>88.275919999999999</v>
      </c>
      <c r="EA17" s="308">
        <f t="shared" si="49"/>
        <v>42.693427868083397</v>
      </c>
      <c r="EB17" s="308">
        <f>Кад!C65</f>
        <v>15</v>
      </c>
      <c r="EC17" s="308">
        <f>Кад!D65</f>
        <v>4.0114799999999997</v>
      </c>
      <c r="ED17" s="308">
        <f t="shared" si="50"/>
        <v>26.743200000000002</v>
      </c>
      <c r="EE17" s="315">
        <f>Кад!C71</f>
        <v>3678.1931500000001</v>
      </c>
      <c r="EF17" s="315">
        <f>Кад!D71</f>
        <v>769.35564999999997</v>
      </c>
      <c r="EG17" s="308">
        <f t="shared" si="51"/>
        <v>20.916673448755674</v>
      </c>
      <c r="EH17" s="315">
        <f>Кад!C76</f>
        <v>3296.4380000000001</v>
      </c>
      <c r="EI17" s="315">
        <f>Кад!D76</f>
        <v>790.89328</v>
      </c>
      <c r="EJ17" s="308">
        <f t="shared" si="52"/>
        <v>23.992360238536261</v>
      </c>
      <c r="EK17" s="315">
        <f>Кад!C80</f>
        <v>2117.1999999999998</v>
      </c>
      <c r="EL17" s="320">
        <f>Кад!D80</f>
        <v>1042.6020000000001</v>
      </c>
      <c r="EM17" s="308">
        <f t="shared" si="10"/>
        <v>49.244379368977903</v>
      </c>
      <c r="EN17" s="308">
        <f>Кад!C82</f>
        <v>0</v>
      </c>
      <c r="EO17" s="308">
        <f>Кад!D82</f>
        <v>0</v>
      </c>
      <c r="EP17" s="308" t="e">
        <f t="shared" si="11"/>
        <v>#DIV/0!</v>
      </c>
      <c r="EQ17" s="321">
        <f>Кад!C87</f>
        <v>50</v>
      </c>
      <c r="ER17" s="321">
        <f>Кад!D87</f>
        <v>0</v>
      </c>
      <c r="ES17" s="308">
        <f t="shared" si="53"/>
        <v>0</v>
      </c>
      <c r="ET17" s="308">
        <f>Кад!C93</f>
        <v>0</v>
      </c>
      <c r="EU17" s="308">
        <f>Кад!D93</f>
        <v>0</v>
      </c>
      <c r="EV17" s="301" t="e">
        <f t="shared" si="54"/>
        <v>#DIV/0!</v>
      </c>
      <c r="EW17" s="477">
        <f t="shared" si="12"/>
        <v>-802.89474999999948</v>
      </c>
      <c r="EX17" s="477">
        <f t="shared" si="13"/>
        <v>684.77671000000009</v>
      </c>
      <c r="EY17" s="301">
        <f>EX17/EW17*100</f>
        <v>-85.288477723886047</v>
      </c>
      <c r="EZ17" s="162"/>
      <c r="FA17" s="163"/>
      <c r="FC17" s="163"/>
    </row>
    <row r="18" spans="1:170" s="172" customFormat="1" ht="20.25" customHeight="1">
      <c r="A18" s="344">
        <v>5</v>
      </c>
      <c r="B18" s="345" t="s">
        <v>293</v>
      </c>
      <c r="C18" s="324">
        <f t="shared" si="14"/>
        <v>25553.916429999997</v>
      </c>
      <c r="D18" s="325">
        <f t="shared" si="0"/>
        <v>9384.7450799999988</v>
      </c>
      <c r="E18" s="311">
        <f t="shared" si="1"/>
        <v>36.72527107814448</v>
      </c>
      <c r="F18" s="302">
        <f t="shared" si="15"/>
        <v>5006.5199999999995</v>
      </c>
      <c r="G18" s="326">
        <f t="shared" si="3"/>
        <v>1893.78232</v>
      </c>
      <c r="H18" s="311">
        <f t="shared" si="16"/>
        <v>37.826320877575647</v>
      </c>
      <c r="I18" s="304">
        <f>Мор!C6</f>
        <v>1988.4</v>
      </c>
      <c r="J18" s="449">
        <f>Мор!D6</f>
        <v>935.90695000000005</v>
      </c>
      <c r="K18" s="311">
        <f t="shared" si="17"/>
        <v>47.068343894588615</v>
      </c>
      <c r="L18" s="311">
        <f>Мор!C8</f>
        <v>148.5</v>
      </c>
      <c r="M18" s="311">
        <f>Мор!D8</f>
        <v>93.34863</v>
      </c>
      <c r="N18" s="311">
        <f t="shared" si="18"/>
        <v>62.861030303030304</v>
      </c>
      <c r="O18" s="311">
        <f>Мор!C9</f>
        <v>1.59</v>
      </c>
      <c r="P18" s="311">
        <f>Мор!D9</f>
        <v>0.70320000000000005</v>
      </c>
      <c r="Q18" s="311">
        <f t="shared" si="19"/>
        <v>44.226415094339622</v>
      </c>
      <c r="R18" s="311">
        <f>Мор!C10</f>
        <v>248.03</v>
      </c>
      <c r="S18" s="311">
        <f>Мор!D10</f>
        <v>129.80212</v>
      </c>
      <c r="T18" s="311">
        <f t="shared" si="20"/>
        <v>52.333233882998023</v>
      </c>
      <c r="U18" s="311">
        <f>Мор!C11</f>
        <v>0</v>
      </c>
      <c r="V18" s="327">
        <f>Мор!D11</f>
        <v>-17.424160000000001</v>
      </c>
      <c r="W18" s="311" t="e">
        <f t="shared" si="21"/>
        <v>#DIV/0!</v>
      </c>
      <c r="X18" s="310">
        <f>Мор!C13</f>
        <v>70</v>
      </c>
      <c r="Y18" s="310">
        <f>Мор!D13</f>
        <v>68.771150000000006</v>
      </c>
      <c r="Z18" s="311">
        <f t="shared" si="22"/>
        <v>98.244500000000016</v>
      </c>
      <c r="AA18" s="310">
        <f>Мор!C15</f>
        <v>1000</v>
      </c>
      <c r="AB18" s="307">
        <f>Мор!D15</f>
        <v>98.697569999999999</v>
      </c>
      <c r="AC18" s="311">
        <f t="shared" si="23"/>
        <v>9.8697569999999999</v>
      </c>
      <c r="AD18" s="310">
        <f>Мор!C16</f>
        <v>1550</v>
      </c>
      <c r="AE18" s="310">
        <f>Мор!D16</f>
        <v>568.39207999999996</v>
      </c>
      <c r="AF18" s="311">
        <f t="shared" si="4"/>
        <v>36.670456774193546</v>
      </c>
      <c r="AG18" s="311">
        <f>Мор!C18</f>
        <v>0</v>
      </c>
      <c r="AH18" s="311">
        <f>Мор!D18</f>
        <v>0</v>
      </c>
      <c r="AI18" s="311" t="e">
        <f t="shared" si="24"/>
        <v>#DIV/0!</v>
      </c>
      <c r="AJ18" s="311">
        <f>Мор!C22</f>
        <v>0</v>
      </c>
      <c r="AK18" s="311">
        <f>Мор!D22</f>
        <v>0</v>
      </c>
      <c r="AL18" s="311" t="e">
        <f t="shared" si="5"/>
        <v>#DIV/0!</v>
      </c>
      <c r="AM18" s="310">
        <v>0</v>
      </c>
      <c r="AN18" s="310"/>
      <c r="AO18" s="311" t="e">
        <f t="shared" si="6"/>
        <v>#DIV/0!</v>
      </c>
      <c r="AP18" s="310">
        <f>Мор!C27</f>
        <v>0</v>
      </c>
      <c r="AQ18" s="316">
        <f>Мор!D27</f>
        <v>0</v>
      </c>
      <c r="AR18" s="311" t="e">
        <f t="shared" si="25"/>
        <v>#DIV/0!</v>
      </c>
      <c r="AS18" s="310">
        <f>Мор!C28</f>
        <v>0</v>
      </c>
      <c r="AT18" s="307">
        <f>Мор!D28</f>
        <v>0</v>
      </c>
      <c r="AU18" s="311" t="e">
        <f t="shared" si="26"/>
        <v>#DIV/0!</v>
      </c>
      <c r="AV18" s="310"/>
      <c r="AW18" s="310"/>
      <c r="AX18" s="311" t="e">
        <f t="shared" si="27"/>
        <v>#DIV/0!</v>
      </c>
      <c r="AY18" s="311">
        <f>Мор!C29</f>
        <v>0</v>
      </c>
      <c r="AZ18" s="311">
        <f>Мор!D29</f>
        <v>0</v>
      </c>
      <c r="BA18" s="311" t="e">
        <f t="shared" si="28"/>
        <v>#DIV/0!</v>
      </c>
      <c r="BB18" s="311"/>
      <c r="BC18" s="311"/>
      <c r="BD18" s="311"/>
      <c r="BE18" s="311">
        <f>Мор!C33</f>
        <v>0</v>
      </c>
      <c r="BF18" s="311">
        <f>SUM(Мор!D31)</f>
        <v>5.8322000000000003</v>
      </c>
      <c r="BG18" s="311" t="e">
        <f>Мор!E33</f>
        <v>#DIV/0!</v>
      </c>
      <c r="BH18" s="311">
        <f>Мор!F33</f>
        <v>0</v>
      </c>
      <c r="BI18" s="311">
        <f>Мор!G33</f>
        <v>0</v>
      </c>
      <c r="BJ18" s="311">
        <f>Мор!H33</f>
        <v>0</v>
      </c>
      <c r="BK18" s="311">
        <f>Мор!I33</f>
        <v>0</v>
      </c>
      <c r="BL18" s="311">
        <f>Мор!J33</f>
        <v>0</v>
      </c>
      <c r="BM18" s="311">
        <f>Мор!K33</f>
        <v>0</v>
      </c>
      <c r="BN18" s="311">
        <f>Мор!C34</f>
        <v>0</v>
      </c>
      <c r="BO18" s="311">
        <f>Мор!D34</f>
        <v>8.5452100000000009</v>
      </c>
      <c r="BP18" s="482" t="e">
        <f t="shared" si="31"/>
        <v>#DIV/0!</v>
      </c>
      <c r="BQ18" s="311">
        <f>Мор!C36</f>
        <v>0</v>
      </c>
      <c r="BR18" s="311">
        <f>Мор!D36</f>
        <v>1.2073700000000001</v>
      </c>
      <c r="BS18" s="311" t="e">
        <f t="shared" si="32"/>
        <v>#DIV/0!</v>
      </c>
      <c r="BT18" s="311"/>
      <c r="BU18" s="311"/>
      <c r="BV18" s="328" t="e">
        <f t="shared" si="33"/>
        <v>#DIV/0!</v>
      </c>
      <c r="BW18" s="328"/>
      <c r="BX18" s="328"/>
      <c r="BY18" s="328" t="e">
        <f t="shared" si="34"/>
        <v>#DIV/0!</v>
      </c>
      <c r="BZ18" s="310">
        <f t="shared" si="35"/>
        <v>20547.396429999997</v>
      </c>
      <c r="CA18" s="306">
        <f t="shared" si="36"/>
        <v>7490.9627599999994</v>
      </c>
      <c r="CB18" s="311">
        <f t="shared" ref="CB18:CB31" si="55">CA18/BZ18*100</f>
        <v>36.45699242490354</v>
      </c>
      <c r="CC18" s="311">
        <f>Мор!C41</f>
        <v>8831.9</v>
      </c>
      <c r="CD18" s="311">
        <f>Мор!D41</f>
        <v>4415.982</v>
      </c>
      <c r="CE18" s="311">
        <f t="shared" si="37"/>
        <v>50.000362322942969</v>
      </c>
      <c r="CF18" s="311">
        <f>Мор!C42</f>
        <v>0</v>
      </c>
      <c r="CG18" s="462">
        <f>Мор!D42</f>
        <v>0</v>
      </c>
      <c r="CH18" s="311" t="e">
        <f t="shared" si="38"/>
        <v>#DIV/0!</v>
      </c>
      <c r="CI18" s="311">
        <f>Мор!C43</f>
        <v>10073.38623</v>
      </c>
      <c r="CJ18" s="311">
        <f>Мор!D43</f>
        <v>3425.1448799999998</v>
      </c>
      <c r="CK18" s="311">
        <f t="shared" si="7"/>
        <v>34.001921516713253</v>
      </c>
      <c r="CL18" s="311">
        <f>Мор!C45</f>
        <v>67.0441</v>
      </c>
      <c r="CM18" s="311">
        <f>Мор!D45</f>
        <v>0</v>
      </c>
      <c r="CN18" s="311">
        <f t="shared" si="8"/>
        <v>0</v>
      </c>
      <c r="CO18" s="462">
        <f>Мор!C46</f>
        <v>1521.4349999999999</v>
      </c>
      <c r="CP18" s="462">
        <f>Мор!D46</f>
        <v>64</v>
      </c>
      <c r="CQ18" s="301">
        <f t="shared" si="39"/>
        <v>4.2065549957770134</v>
      </c>
      <c r="CR18" s="327">
        <f>Мор!C48</f>
        <v>53.631100000000004</v>
      </c>
      <c r="CS18" s="311">
        <f>Мор!D48</f>
        <v>53.631100000000004</v>
      </c>
      <c r="CT18" s="311">
        <f t="shared" si="9"/>
        <v>100</v>
      </c>
      <c r="CU18" s="311"/>
      <c r="CV18" s="311">
        <f>SUM(Мор!D49)</f>
        <v>-467.79521999999997</v>
      </c>
      <c r="CW18" s="311"/>
      <c r="CX18" s="310"/>
      <c r="CY18" s="310"/>
      <c r="CZ18" s="311" t="e">
        <f t="shared" si="40"/>
        <v>#DIV/0!</v>
      </c>
      <c r="DA18" s="311"/>
      <c r="DB18" s="311"/>
      <c r="DC18" s="311"/>
      <c r="DD18" s="311"/>
      <c r="DE18" s="311"/>
      <c r="DF18" s="311"/>
      <c r="DG18" s="310">
        <f t="shared" si="41"/>
        <v>25852.414659999999</v>
      </c>
      <c r="DH18" s="310">
        <f t="shared" si="41"/>
        <v>9986.5248800000008</v>
      </c>
      <c r="DI18" s="311">
        <f t="shared" si="42"/>
        <v>38.628983061499454</v>
      </c>
      <c r="DJ18" s="310">
        <f t="shared" si="43"/>
        <v>2536.1539999999995</v>
      </c>
      <c r="DK18" s="310">
        <f t="shared" si="43"/>
        <v>1230.3577399999999</v>
      </c>
      <c r="DL18" s="311">
        <f t="shared" si="44"/>
        <v>48.512737791159374</v>
      </c>
      <c r="DM18" s="311">
        <f>Мор!C58</f>
        <v>2153.6999999999998</v>
      </c>
      <c r="DN18" s="311">
        <f>Мор!D58</f>
        <v>1077.3577399999999</v>
      </c>
      <c r="DO18" s="311">
        <f t="shared" si="45"/>
        <v>50.023575242605745</v>
      </c>
      <c r="DP18" s="311">
        <f>Мор!C61</f>
        <v>30.56</v>
      </c>
      <c r="DQ18" s="311">
        <f>Мор!D61</f>
        <v>0</v>
      </c>
      <c r="DR18" s="311">
        <f t="shared" si="46"/>
        <v>0</v>
      </c>
      <c r="DS18" s="311">
        <f>Мор!C62</f>
        <v>100</v>
      </c>
      <c r="DT18" s="311">
        <f>Мор!D62</f>
        <v>0</v>
      </c>
      <c r="DU18" s="311">
        <f t="shared" si="47"/>
        <v>0</v>
      </c>
      <c r="DV18" s="311">
        <f>Мор!C63</f>
        <v>251.89400000000001</v>
      </c>
      <c r="DW18" s="311">
        <f>Мор!D63</f>
        <v>153</v>
      </c>
      <c r="DX18" s="311">
        <f t="shared" si="48"/>
        <v>60.739835009964501</v>
      </c>
      <c r="DY18" s="311">
        <f>Мор!C64</f>
        <v>0</v>
      </c>
      <c r="DZ18" s="311">
        <f>Мор!D64</f>
        <v>0</v>
      </c>
      <c r="EA18" s="311" t="e">
        <f t="shared" si="49"/>
        <v>#DIV/0!</v>
      </c>
      <c r="EB18" s="311">
        <f>Мор!C66</f>
        <v>105</v>
      </c>
      <c r="EC18" s="311">
        <f>Мор!D66</f>
        <v>7.55</v>
      </c>
      <c r="ED18" s="311">
        <f t="shared" si="50"/>
        <v>7.1904761904761898</v>
      </c>
      <c r="EE18" s="310">
        <f>Мор!C72</f>
        <v>1347.33233</v>
      </c>
      <c r="EF18" s="310">
        <f>Мор!D72</f>
        <v>359.82299999999998</v>
      </c>
      <c r="EG18" s="311">
        <f t="shared" si="51"/>
        <v>26.706328645732118</v>
      </c>
      <c r="EH18" s="310">
        <f>Мор!C77</f>
        <v>15628.12833</v>
      </c>
      <c r="EI18" s="310">
        <f>Мор!D77</f>
        <v>5945.8941400000003</v>
      </c>
      <c r="EJ18" s="311">
        <f t="shared" si="52"/>
        <v>38.046105166580752</v>
      </c>
      <c r="EK18" s="310">
        <f>Мор!C81</f>
        <v>6185.8</v>
      </c>
      <c r="EL18" s="329">
        <f>Мор!D81</f>
        <v>2442.9</v>
      </c>
      <c r="EM18" s="311">
        <f t="shared" si="10"/>
        <v>39.492062465647123</v>
      </c>
      <c r="EN18" s="311">
        <f>Мор!C84</f>
        <v>0</v>
      </c>
      <c r="EO18" s="311">
        <f>Мор!D84</f>
        <v>0</v>
      </c>
      <c r="EP18" s="311" t="e">
        <f t="shared" si="11"/>
        <v>#DIV/0!</v>
      </c>
      <c r="EQ18" s="326">
        <f>Мор!C89</f>
        <v>50</v>
      </c>
      <c r="ER18" s="326">
        <f>Мор!D89</f>
        <v>0</v>
      </c>
      <c r="ES18" s="311">
        <f t="shared" si="53"/>
        <v>0</v>
      </c>
      <c r="ET18" s="311">
        <f>Мор!C95</f>
        <v>0</v>
      </c>
      <c r="EU18" s="311">
        <f>Мор!D95</f>
        <v>0</v>
      </c>
      <c r="EV18" s="311" t="e">
        <f t="shared" si="54"/>
        <v>#DIV/0!</v>
      </c>
      <c r="EW18" s="478">
        <f t="shared" si="12"/>
        <v>-298.49823000000106</v>
      </c>
      <c r="EX18" s="478">
        <f t="shared" si="13"/>
        <v>-601.77980000000207</v>
      </c>
      <c r="EY18" s="311">
        <f t="shared" ref="EY18:EY30" si="56">EX18/EW18*100</f>
        <v>201.60246846354832</v>
      </c>
      <c r="EZ18" s="170"/>
      <c r="FA18" s="171"/>
      <c r="FC18" s="171"/>
    </row>
    <row r="19" spans="1:170" s="257" customFormat="1" ht="27.75" customHeight="1">
      <c r="A19" s="346">
        <v>6</v>
      </c>
      <c r="B19" s="343" t="s">
        <v>294</v>
      </c>
      <c r="C19" s="322">
        <f t="shared" si="14"/>
        <v>21034.41588</v>
      </c>
      <c r="D19" s="300">
        <f t="shared" si="0"/>
        <v>3823.8769599999996</v>
      </c>
      <c r="E19" s="308">
        <f t="shared" si="1"/>
        <v>18.179144987029701</v>
      </c>
      <c r="F19" s="302">
        <f t="shared" si="15"/>
        <v>5874.35</v>
      </c>
      <c r="G19" s="321">
        <f t="shared" si="3"/>
        <v>2031.5521799999999</v>
      </c>
      <c r="H19" s="308">
        <f t="shared" si="16"/>
        <v>34.583437827163856</v>
      </c>
      <c r="I19" s="315">
        <f>Мос!C6</f>
        <v>1697.1</v>
      </c>
      <c r="J19" s="450">
        <f>Мос!D6</f>
        <v>795.86864000000003</v>
      </c>
      <c r="K19" s="308">
        <f t="shared" si="17"/>
        <v>46.895801072417662</v>
      </c>
      <c r="L19" s="308">
        <f>Мос!C8</f>
        <v>279.47000000000003</v>
      </c>
      <c r="M19" s="308">
        <f>Мос!D8</f>
        <v>175.68100999999999</v>
      </c>
      <c r="N19" s="308">
        <f t="shared" si="18"/>
        <v>62.862207034744323</v>
      </c>
      <c r="O19" s="308">
        <f>Мос!C9</f>
        <v>3</v>
      </c>
      <c r="P19" s="308">
        <f>Мос!D9</f>
        <v>1.32341</v>
      </c>
      <c r="Q19" s="308">
        <f t="shared" si="19"/>
        <v>44.113666666666667</v>
      </c>
      <c r="R19" s="308">
        <f>Мос!C10</f>
        <v>466.78</v>
      </c>
      <c r="S19" s="308">
        <f>Мос!D10</f>
        <v>244.28596999999999</v>
      </c>
      <c r="T19" s="308">
        <f t="shared" si="20"/>
        <v>52.334283816787355</v>
      </c>
      <c r="U19" s="308">
        <f>Мос!C11</f>
        <v>0</v>
      </c>
      <c r="V19" s="319">
        <f>Мос!D11</f>
        <v>-32.792059999999999</v>
      </c>
      <c r="W19" s="308" t="e">
        <f t="shared" si="21"/>
        <v>#DIV/0!</v>
      </c>
      <c r="X19" s="315">
        <f>Мос!C13</f>
        <v>20</v>
      </c>
      <c r="Y19" s="315">
        <f>Мос!D13</f>
        <v>45.021599999999999</v>
      </c>
      <c r="Z19" s="308">
        <f t="shared" si="22"/>
        <v>225.108</v>
      </c>
      <c r="AA19" s="315">
        <f>Мос!C15</f>
        <v>1200</v>
      </c>
      <c r="AB19" s="307">
        <f>Мос!D15</f>
        <v>118.3852</v>
      </c>
      <c r="AC19" s="308">
        <f t="shared" si="23"/>
        <v>9.8654333333333337</v>
      </c>
      <c r="AD19" s="315">
        <f>Мос!C16</f>
        <v>2200</v>
      </c>
      <c r="AE19" s="315">
        <f>Мос!D16</f>
        <v>682.17840999999999</v>
      </c>
      <c r="AF19" s="308">
        <f t="shared" si="4"/>
        <v>31.008109545454545</v>
      </c>
      <c r="AG19" s="308">
        <f>Мос!C18</f>
        <v>8</v>
      </c>
      <c r="AH19" s="308">
        <f>Мос!D18</f>
        <v>1.6</v>
      </c>
      <c r="AI19" s="308">
        <f t="shared" si="24"/>
        <v>20</v>
      </c>
      <c r="AJ19" s="308"/>
      <c r="AK19" s="308"/>
      <c r="AL19" s="308" t="e">
        <f t="shared" si="5"/>
        <v>#DIV/0!</v>
      </c>
      <c r="AM19" s="315">
        <f>Мос!C27</f>
        <v>0</v>
      </c>
      <c r="AN19" s="315">
        <v>0</v>
      </c>
      <c r="AO19" s="308" t="e">
        <f t="shared" si="6"/>
        <v>#DIV/0!</v>
      </c>
      <c r="AP19" s="315">
        <v>0</v>
      </c>
      <c r="AQ19" s="316">
        <f>Мос!D27</f>
        <v>0</v>
      </c>
      <c r="AR19" s="308" t="e">
        <f t="shared" si="25"/>
        <v>#DIV/0!</v>
      </c>
      <c r="AS19" s="315">
        <f>Мос!C26</f>
        <v>0</v>
      </c>
      <c r="AT19" s="316">
        <f>Мос!D28</f>
        <v>0</v>
      </c>
      <c r="AU19" s="308" t="e">
        <f t="shared" si="26"/>
        <v>#DIV/0!</v>
      </c>
      <c r="AV19" s="315"/>
      <c r="AW19" s="315"/>
      <c r="AX19" s="308" t="e">
        <f t="shared" si="27"/>
        <v>#DIV/0!</v>
      </c>
      <c r="AY19" s="308">
        <f>Мос!C30</f>
        <v>0</v>
      </c>
      <c r="AZ19" s="311">
        <f>Мос!D30</f>
        <v>0</v>
      </c>
      <c r="BA19" s="308" t="e">
        <f t="shared" si="28"/>
        <v>#DIV/0!</v>
      </c>
      <c r="BB19" s="308"/>
      <c r="BC19" s="308"/>
      <c r="BD19" s="308"/>
      <c r="BE19" s="308">
        <f>Мос!C33</f>
        <v>0</v>
      </c>
      <c r="BF19" s="308">
        <f>Мос!D33</f>
        <v>0</v>
      </c>
      <c r="BG19" s="308" t="e">
        <f t="shared" si="29"/>
        <v>#DIV/0!</v>
      </c>
      <c r="BH19" s="308"/>
      <c r="BI19" s="308"/>
      <c r="BJ19" s="308" t="e">
        <f t="shared" si="30"/>
        <v>#DIV/0!</v>
      </c>
      <c r="BK19" s="308"/>
      <c r="BL19" s="308"/>
      <c r="BM19" s="308"/>
      <c r="BN19" s="308">
        <f>Мос!C34</f>
        <v>0</v>
      </c>
      <c r="BO19" s="308">
        <f>Мос!D35</f>
        <v>0</v>
      </c>
      <c r="BP19" s="482" t="e">
        <f t="shared" si="31"/>
        <v>#DIV/0!</v>
      </c>
      <c r="BQ19" s="308">
        <f>Мос!C36</f>
        <v>0</v>
      </c>
      <c r="BR19" s="308">
        <f>Мос!D36</f>
        <v>0</v>
      </c>
      <c r="BS19" s="308" t="e">
        <f t="shared" si="32"/>
        <v>#DIV/0!</v>
      </c>
      <c r="BT19" s="308"/>
      <c r="BU19" s="308"/>
      <c r="BV19" s="317" t="e">
        <f t="shared" si="33"/>
        <v>#DIV/0!</v>
      </c>
      <c r="BW19" s="317"/>
      <c r="BX19" s="317"/>
      <c r="BY19" s="317" t="e">
        <f t="shared" si="34"/>
        <v>#DIV/0!</v>
      </c>
      <c r="BZ19" s="315">
        <f t="shared" si="35"/>
        <v>15160.06588</v>
      </c>
      <c r="CA19" s="315">
        <f t="shared" si="36"/>
        <v>1792.3247799999999</v>
      </c>
      <c r="CB19" s="308">
        <f t="shared" si="55"/>
        <v>11.82267144606894</v>
      </c>
      <c r="CC19" s="308">
        <f>SUM(Мос!C41)</f>
        <v>942.5</v>
      </c>
      <c r="CD19" s="308">
        <f>SUM(Мос!D41)</f>
        <v>471.25200000000001</v>
      </c>
      <c r="CE19" s="308">
        <f>CD19/CC19*100</f>
        <v>50.000212201591509</v>
      </c>
      <c r="CF19" s="308">
        <f>Мос!C42</f>
        <v>0</v>
      </c>
      <c r="CG19" s="461">
        <f>Мос!D42</f>
        <v>0</v>
      </c>
      <c r="CH19" s="308" t="e">
        <f t="shared" si="38"/>
        <v>#DIV/0!</v>
      </c>
      <c r="CI19" s="308">
        <f>Мос!C43</f>
        <v>7667.6139400000002</v>
      </c>
      <c r="CJ19" s="308">
        <f>Мос!D43</f>
        <v>287.54399999999998</v>
      </c>
      <c r="CK19" s="308">
        <f t="shared" si="7"/>
        <v>3.7501105591656847</v>
      </c>
      <c r="CL19" s="308">
        <f>Мос!C45</f>
        <v>3578.473</v>
      </c>
      <c r="CM19" s="308">
        <f>Мос!D45</f>
        <v>103.52878</v>
      </c>
      <c r="CN19" s="308">
        <f t="shared" si="8"/>
        <v>2.8930993750686396</v>
      </c>
      <c r="CO19" s="308">
        <f>Мос!C46</f>
        <v>2043.154</v>
      </c>
      <c r="CP19" s="308">
        <f>Мос!D46</f>
        <v>0</v>
      </c>
      <c r="CQ19" s="301">
        <f t="shared" si="39"/>
        <v>0</v>
      </c>
      <c r="CR19" s="319">
        <f>SUM(Мос!C51)</f>
        <v>928.32493999999997</v>
      </c>
      <c r="CS19" s="308">
        <f>Мос!D51</f>
        <v>930</v>
      </c>
      <c r="CT19" s="308">
        <f t="shared" si="9"/>
        <v>100.18043897431002</v>
      </c>
      <c r="CU19" s="308"/>
      <c r="CV19" s="308"/>
      <c r="CW19" s="308"/>
      <c r="CX19" s="315"/>
      <c r="CY19" s="315"/>
      <c r="CZ19" s="308" t="e">
        <f t="shared" si="40"/>
        <v>#DIV/0!</v>
      </c>
      <c r="DA19" s="308"/>
      <c r="DB19" s="308"/>
      <c r="DC19" s="308"/>
      <c r="DD19" s="308"/>
      <c r="DE19" s="308"/>
      <c r="DF19" s="308"/>
      <c r="DG19" s="310">
        <f t="shared" si="41"/>
        <v>21270.83311</v>
      </c>
      <c r="DH19" s="310">
        <f t="shared" si="41"/>
        <v>2082.5091600000005</v>
      </c>
      <c r="DI19" s="308">
        <f t="shared" si="42"/>
        <v>9.790444733549041</v>
      </c>
      <c r="DJ19" s="315">
        <f t="shared" si="43"/>
        <v>2320.1669999999999</v>
      </c>
      <c r="DK19" s="315">
        <f t="shared" si="43"/>
        <v>995.48548000000005</v>
      </c>
      <c r="DL19" s="308">
        <f t="shared" si="44"/>
        <v>42.905768420980046</v>
      </c>
      <c r="DM19" s="308">
        <f>Мос!C59</f>
        <v>2279.6669999999999</v>
      </c>
      <c r="DN19" s="308">
        <f>Мос!D59</f>
        <v>959.98548000000005</v>
      </c>
      <c r="DO19" s="308">
        <f t="shared" si="45"/>
        <v>42.110776705545156</v>
      </c>
      <c r="DP19" s="308">
        <f>Мос!C62</f>
        <v>0</v>
      </c>
      <c r="DQ19" s="308">
        <f>Мос!D62</f>
        <v>0</v>
      </c>
      <c r="DR19" s="308" t="e">
        <f t="shared" si="46"/>
        <v>#DIV/0!</v>
      </c>
      <c r="DS19" s="308">
        <f>Мос!C63</f>
        <v>5</v>
      </c>
      <c r="DT19" s="308">
        <f>Мос!D63</f>
        <v>0</v>
      </c>
      <c r="DU19" s="308">
        <f t="shared" si="47"/>
        <v>0</v>
      </c>
      <c r="DV19" s="308">
        <f>Мос!C64</f>
        <v>35.5</v>
      </c>
      <c r="DW19" s="308">
        <f>Мос!D64</f>
        <v>35.5</v>
      </c>
      <c r="DX19" s="308">
        <f t="shared" si="48"/>
        <v>100</v>
      </c>
      <c r="DY19" s="308">
        <f>Мос!C66</f>
        <v>206.767</v>
      </c>
      <c r="DZ19" s="308">
        <f>Мос!D66</f>
        <v>89.364329999999995</v>
      </c>
      <c r="EA19" s="308">
        <f t="shared" si="49"/>
        <v>43.219822312071074</v>
      </c>
      <c r="EB19" s="308">
        <f>Мос!C67</f>
        <v>7</v>
      </c>
      <c r="EC19" s="308">
        <f>Мос!D67</f>
        <v>1.2</v>
      </c>
      <c r="ED19" s="308">
        <f t="shared" si="50"/>
        <v>17.142857142857142</v>
      </c>
      <c r="EE19" s="315">
        <f>Мос!C73</f>
        <v>3156.7591600000001</v>
      </c>
      <c r="EF19" s="315">
        <f>Мос!D73</f>
        <v>343.49340000000001</v>
      </c>
      <c r="EG19" s="308">
        <f t="shared" si="51"/>
        <v>10.881203873658832</v>
      </c>
      <c r="EH19" s="315">
        <f>Мос!C78</f>
        <v>14322.707880000002</v>
      </c>
      <c r="EI19" s="315">
        <f>Мос!D78</f>
        <v>533.02490999999998</v>
      </c>
      <c r="EJ19" s="308">
        <f t="shared" si="52"/>
        <v>3.7215372572410512</v>
      </c>
      <c r="EK19" s="315">
        <f>Мос!C83</f>
        <v>1222.4320700000001</v>
      </c>
      <c r="EL19" s="320">
        <f>Мос!D83</f>
        <v>104.94104</v>
      </c>
      <c r="EM19" s="308">
        <f t="shared" si="10"/>
        <v>8.584611167800924</v>
      </c>
      <c r="EN19" s="308">
        <f>Мос!C91</f>
        <v>0</v>
      </c>
      <c r="EO19" s="308">
        <f>Мос!D91</f>
        <v>0</v>
      </c>
      <c r="EP19" s="308" t="e">
        <f t="shared" si="11"/>
        <v>#DIV/0!</v>
      </c>
      <c r="EQ19" s="321">
        <f>Мос!C93</f>
        <v>35</v>
      </c>
      <c r="ER19" s="321">
        <f>Мос!D93</f>
        <v>15</v>
      </c>
      <c r="ES19" s="308">
        <f t="shared" si="53"/>
        <v>42.857142857142854</v>
      </c>
      <c r="ET19" s="308">
        <f>Мос!C99</f>
        <v>0</v>
      </c>
      <c r="EU19" s="308">
        <f>Мос!D99</f>
        <v>0</v>
      </c>
      <c r="EV19" s="308" t="e">
        <f t="shared" si="54"/>
        <v>#DIV/0!</v>
      </c>
      <c r="EW19" s="479">
        <f t="shared" si="12"/>
        <v>-236.41722999999911</v>
      </c>
      <c r="EX19" s="479">
        <f t="shared" si="13"/>
        <v>1741.3677999999991</v>
      </c>
      <c r="EY19" s="308">
        <f t="shared" si="56"/>
        <v>-736.56552020341564</v>
      </c>
      <c r="EZ19" s="255"/>
      <c r="FA19" s="256"/>
      <c r="FC19" s="256"/>
    </row>
    <row r="20" spans="1:170" s="160" customFormat="1" ht="24.75" customHeight="1">
      <c r="A20" s="341">
        <v>7</v>
      </c>
      <c r="B20" s="343" t="s">
        <v>295</v>
      </c>
      <c r="C20" s="299">
        <f t="shared" si="14"/>
        <v>16565.930500000002</v>
      </c>
      <c r="D20" s="300">
        <f t="shared" si="0"/>
        <v>2852.2732000000001</v>
      </c>
      <c r="E20" s="308">
        <f t="shared" si="1"/>
        <v>17.217705941721775</v>
      </c>
      <c r="F20" s="302">
        <f t="shared" si="15"/>
        <v>2774.1200000000003</v>
      </c>
      <c r="G20" s="302">
        <f t="shared" si="3"/>
        <v>611.91942000000006</v>
      </c>
      <c r="H20" s="308">
        <f t="shared" si="16"/>
        <v>22.058145285712225</v>
      </c>
      <c r="I20" s="323">
        <f>Ори!C6</f>
        <v>227.4</v>
      </c>
      <c r="J20" s="449">
        <f>Ори!D6</f>
        <v>115.92375</v>
      </c>
      <c r="K20" s="308">
        <f t="shared" si="17"/>
        <v>50.97790237467018</v>
      </c>
      <c r="L20" s="308">
        <f>Ори!C8</f>
        <v>178.94</v>
      </c>
      <c r="M20" s="308">
        <f>Ори!D8</f>
        <v>112.48224</v>
      </c>
      <c r="N20" s="301">
        <f t="shared" si="18"/>
        <v>62.860310718676658</v>
      </c>
      <c r="O20" s="301">
        <f>Ори!C9</f>
        <v>1.92</v>
      </c>
      <c r="P20" s="301">
        <f>Ори!D9</f>
        <v>0.84733000000000003</v>
      </c>
      <c r="Q20" s="301">
        <f t="shared" si="19"/>
        <v>44.131770833333341</v>
      </c>
      <c r="R20" s="301">
        <f>Ори!C10</f>
        <v>298.86</v>
      </c>
      <c r="S20" s="301">
        <f>Ори!D10</f>
        <v>156.40752000000001</v>
      </c>
      <c r="T20" s="301">
        <f t="shared" si="20"/>
        <v>52.334711905239907</v>
      </c>
      <c r="U20" s="301">
        <f>Ори!C11</f>
        <v>0</v>
      </c>
      <c r="V20" s="305">
        <f>Ори!D11</f>
        <v>-20.99558</v>
      </c>
      <c r="W20" s="301" t="e">
        <f t="shared" si="21"/>
        <v>#DIV/0!</v>
      </c>
      <c r="X20" s="315">
        <f>Ори!C13</f>
        <v>15</v>
      </c>
      <c r="Y20" s="315">
        <f>Ори!D13</f>
        <v>5.8292999999999999</v>
      </c>
      <c r="Z20" s="308">
        <f t="shared" si="22"/>
        <v>38.862000000000002</v>
      </c>
      <c r="AA20" s="315">
        <f>Ори!C15</f>
        <v>350</v>
      </c>
      <c r="AB20" s="307">
        <f>Ори!D15</f>
        <v>32.096939999999996</v>
      </c>
      <c r="AC20" s="308">
        <f t="shared" si="23"/>
        <v>9.1705542857142852</v>
      </c>
      <c r="AD20" s="315">
        <f>Ори!C16</f>
        <v>1370</v>
      </c>
      <c r="AE20" s="315">
        <f>Ори!D16</f>
        <v>182.62051</v>
      </c>
      <c r="AF20" s="308">
        <f t="shared" si="4"/>
        <v>13.329964233576641</v>
      </c>
      <c r="AG20" s="308">
        <f>Ори!C18</f>
        <v>8</v>
      </c>
      <c r="AH20" s="308">
        <f>Ори!D18</f>
        <v>1.7</v>
      </c>
      <c r="AI20" s="308">
        <f t="shared" si="24"/>
        <v>21.25</v>
      </c>
      <c r="AJ20" s="308"/>
      <c r="AK20" s="308"/>
      <c r="AL20" s="308" t="e">
        <f t="shared" si="5"/>
        <v>#DIV/0!</v>
      </c>
      <c r="AM20" s="315">
        <v>0</v>
      </c>
      <c r="AN20" s="315">
        <v>0</v>
      </c>
      <c r="AO20" s="308" t="e">
        <f t="shared" si="6"/>
        <v>#DIV/0!</v>
      </c>
      <c r="AP20" s="315">
        <f>Ори!C27</f>
        <v>270</v>
      </c>
      <c r="AQ20" s="316">
        <f>Ори!D27</f>
        <v>0.46579999999999999</v>
      </c>
      <c r="AR20" s="308">
        <f t="shared" si="25"/>
        <v>0.17251851851851852</v>
      </c>
      <c r="AS20" s="310">
        <f>Ори!C28</f>
        <v>54</v>
      </c>
      <c r="AT20" s="316">
        <f>Ори!D28</f>
        <v>13.5</v>
      </c>
      <c r="AU20" s="308">
        <f t="shared" si="26"/>
        <v>25</v>
      </c>
      <c r="AV20" s="315"/>
      <c r="AW20" s="315"/>
      <c r="AX20" s="308" t="e">
        <f t="shared" si="27"/>
        <v>#DIV/0!</v>
      </c>
      <c r="AY20" s="308">
        <f>Ори!C30</f>
        <v>0</v>
      </c>
      <c r="AZ20" s="311">
        <f>Ори!D30</f>
        <v>15.691610000000001</v>
      </c>
      <c r="BA20" s="308" t="e">
        <f t="shared" si="28"/>
        <v>#DIV/0!</v>
      </c>
      <c r="BB20" s="308"/>
      <c r="BC20" s="308"/>
      <c r="BD20" s="308"/>
      <c r="BE20" s="308">
        <f>Ори!C33</f>
        <v>0</v>
      </c>
      <c r="BF20" s="308">
        <f>Ори!D33</f>
        <v>0</v>
      </c>
      <c r="BG20" s="308" t="e">
        <f t="shared" si="29"/>
        <v>#DIV/0!</v>
      </c>
      <c r="BH20" s="308"/>
      <c r="BI20" s="308"/>
      <c r="BJ20" s="308" t="e">
        <f t="shared" si="30"/>
        <v>#DIV/0!</v>
      </c>
      <c r="BK20" s="308"/>
      <c r="BL20" s="308"/>
      <c r="BM20" s="308"/>
      <c r="BN20" s="308">
        <f>Ори!C35</f>
        <v>0</v>
      </c>
      <c r="BO20" s="308">
        <f>Ори!D34</f>
        <v>0</v>
      </c>
      <c r="BP20" s="482" t="e">
        <f t="shared" si="31"/>
        <v>#DIV/0!</v>
      </c>
      <c r="BQ20" s="308">
        <f>Ори!C36</f>
        <v>0</v>
      </c>
      <c r="BR20" s="308">
        <f>Ори!D36</f>
        <v>-4.6500000000000004</v>
      </c>
      <c r="BS20" s="308" t="e">
        <f t="shared" si="32"/>
        <v>#DIV/0!</v>
      </c>
      <c r="BT20" s="308"/>
      <c r="BU20" s="308"/>
      <c r="BV20" s="317" t="e">
        <f t="shared" si="33"/>
        <v>#DIV/0!</v>
      </c>
      <c r="BW20" s="317"/>
      <c r="BX20" s="317"/>
      <c r="BY20" s="317" t="e">
        <f t="shared" si="34"/>
        <v>#DIV/0!</v>
      </c>
      <c r="BZ20" s="306">
        <f t="shared" si="35"/>
        <v>13791.810500000001</v>
      </c>
      <c r="CA20" s="306">
        <f t="shared" si="36"/>
        <v>2240.3537799999999</v>
      </c>
      <c r="CB20" s="308">
        <f t="shared" si="55"/>
        <v>16.244087605467026</v>
      </c>
      <c r="CC20" s="308">
        <f>Ори!C41</f>
        <v>3226.8</v>
      </c>
      <c r="CD20" s="308">
        <f>Ори!D41</f>
        <v>1613.412</v>
      </c>
      <c r="CE20" s="308">
        <f t="shared" si="37"/>
        <v>50.000371885459273</v>
      </c>
      <c r="CF20" s="308">
        <f>Ори!C42</f>
        <v>0</v>
      </c>
      <c r="CG20" s="461">
        <f>Ори!D42</f>
        <v>0</v>
      </c>
      <c r="CH20" s="308" t="e">
        <f t="shared" si="38"/>
        <v>#DIV/0!</v>
      </c>
      <c r="CI20" s="308">
        <f>Ори!C43</f>
        <v>9804.6694000000007</v>
      </c>
      <c r="CJ20" s="308">
        <f>Ори!D43</f>
        <v>209.81299999999999</v>
      </c>
      <c r="CK20" s="308">
        <f t="shared" si="7"/>
        <v>2.1399293687556664</v>
      </c>
      <c r="CL20" s="308">
        <f>Ори!C45</f>
        <v>206.767</v>
      </c>
      <c r="CM20" s="308">
        <f>Ори!D45</f>
        <v>103.52878</v>
      </c>
      <c r="CN20" s="308">
        <f t="shared" si="8"/>
        <v>50.070262662804019</v>
      </c>
      <c r="CO20" s="308">
        <f>Ори!C46</f>
        <v>162.905</v>
      </c>
      <c r="CP20" s="308">
        <f>Ори!D46</f>
        <v>0</v>
      </c>
      <c r="CQ20" s="301">
        <f t="shared" si="39"/>
        <v>0</v>
      </c>
      <c r="CR20" s="319">
        <f>Ори!C47</f>
        <v>390.66910000000001</v>
      </c>
      <c r="CS20" s="308">
        <f>Ори!D47</f>
        <v>313.60000000000002</v>
      </c>
      <c r="CT20" s="308">
        <f t="shared" si="9"/>
        <v>80.272537551600578</v>
      </c>
      <c r="CU20" s="308"/>
      <c r="CV20" s="308"/>
      <c r="CW20" s="308"/>
      <c r="CX20" s="315"/>
      <c r="CY20" s="315"/>
      <c r="CZ20" s="308" t="e">
        <f t="shared" si="40"/>
        <v>#DIV/0!</v>
      </c>
      <c r="DA20" s="308"/>
      <c r="DB20" s="308"/>
      <c r="DC20" s="308"/>
      <c r="DD20" s="308"/>
      <c r="DE20" s="308"/>
      <c r="DF20" s="308"/>
      <c r="DG20" s="310">
        <f t="shared" si="41"/>
        <v>17277.278599999998</v>
      </c>
      <c r="DH20" s="310">
        <f t="shared" si="41"/>
        <v>2897.5318299999994</v>
      </c>
      <c r="DI20" s="308">
        <f t="shared" si="42"/>
        <v>16.770765217619399</v>
      </c>
      <c r="DJ20" s="315">
        <f t="shared" si="43"/>
        <v>1721.0220000000002</v>
      </c>
      <c r="DK20" s="315">
        <f t="shared" si="43"/>
        <v>807.03041000000007</v>
      </c>
      <c r="DL20" s="308">
        <f t="shared" si="44"/>
        <v>46.892509799409886</v>
      </c>
      <c r="DM20" s="308">
        <f>Ори!C58</f>
        <v>1594.8320000000001</v>
      </c>
      <c r="DN20" s="308">
        <f>Ори!D58</f>
        <v>784.83041000000003</v>
      </c>
      <c r="DO20" s="308">
        <f t="shared" si="45"/>
        <v>49.210851675913197</v>
      </c>
      <c r="DP20" s="308">
        <f>Ори!C61</f>
        <v>0</v>
      </c>
      <c r="DQ20" s="308">
        <f>Ори!D61</f>
        <v>0</v>
      </c>
      <c r="DR20" s="308" t="e">
        <f t="shared" si="46"/>
        <v>#DIV/0!</v>
      </c>
      <c r="DS20" s="308">
        <f>Ори!C62</f>
        <v>100</v>
      </c>
      <c r="DT20" s="308">
        <f>Ори!D62</f>
        <v>0</v>
      </c>
      <c r="DU20" s="308">
        <f t="shared" si="47"/>
        <v>0</v>
      </c>
      <c r="DV20" s="308">
        <f>Ори!C63</f>
        <v>26.19</v>
      </c>
      <c r="DW20" s="308">
        <f>Ори!D63</f>
        <v>22.2</v>
      </c>
      <c r="DX20" s="308">
        <f t="shared" si="48"/>
        <v>84.765177548682701</v>
      </c>
      <c r="DY20" s="308">
        <f>Ори!C65</f>
        <v>206.767</v>
      </c>
      <c r="DZ20" s="308">
        <f>Ори!D65</f>
        <v>72.265619999999998</v>
      </c>
      <c r="EA20" s="308">
        <f t="shared" si="49"/>
        <v>34.950267692620194</v>
      </c>
      <c r="EB20" s="308">
        <f>Ори!C66</f>
        <v>15</v>
      </c>
      <c r="EC20" s="308">
        <f>Ори!D66</f>
        <v>7.8182299999999998</v>
      </c>
      <c r="ED20" s="308">
        <f t="shared" si="50"/>
        <v>52.121533333333339</v>
      </c>
      <c r="EE20" s="315">
        <f>Ори!C72</f>
        <v>3061.4881</v>
      </c>
      <c r="EF20" s="315">
        <f>Ори!D72</f>
        <v>398.15899999999999</v>
      </c>
      <c r="EG20" s="308">
        <f t="shared" si="51"/>
        <v>13.005407403020772</v>
      </c>
      <c r="EH20" s="315">
        <f>Ори!C77</f>
        <v>10039.2415</v>
      </c>
      <c r="EI20" s="315">
        <f>Ори!D77</f>
        <v>483.03957000000003</v>
      </c>
      <c r="EJ20" s="308">
        <f t="shared" si="52"/>
        <v>4.8115145950020226</v>
      </c>
      <c r="EK20" s="315">
        <f>Ори!C82</f>
        <v>2183.7600000000002</v>
      </c>
      <c r="EL20" s="320">
        <f>Ори!D82</f>
        <v>1116.789</v>
      </c>
      <c r="EM20" s="308">
        <f t="shared" si="10"/>
        <v>51.140647323881737</v>
      </c>
      <c r="EN20" s="308">
        <f>Ори!C84</f>
        <v>0</v>
      </c>
      <c r="EO20" s="308">
        <f>Ори!D84</f>
        <v>0</v>
      </c>
      <c r="EP20" s="308" t="e">
        <f t="shared" si="11"/>
        <v>#DIV/0!</v>
      </c>
      <c r="EQ20" s="321">
        <f>Ори!C89</f>
        <v>50</v>
      </c>
      <c r="ER20" s="321">
        <f>Ори!D89</f>
        <v>12.43</v>
      </c>
      <c r="ES20" s="308">
        <f t="shared" si="53"/>
        <v>24.86</v>
      </c>
      <c r="ET20" s="308">
        <f>Ори!C95</f>
        <v>0</v>
      </c>
      <c r="EU20" s="308">
        <f>Ори!D95</f>
        <v>0</v>
      </c>
      <c r="EV20" s="301" t="e">
        <f t="shared" si="54"/>
        <v>#DIV/0!</v>
      </c>
      <c r="EW20" s="477">
        <f t="shared" si="12"/>
        <v>-711.34809999999561</v>
      </c>
      <c r="EX20" s="477">
        <f t="shared" si="13"/>
        <v>-45.258629999999357</v>
      </c>
      <c r="EY20" s="301">
        <f t="shared" si="56"/>
        <v>6.3623744830413731</v>
      </c>
      <c r="EZ20" s="162"/>
      <c r="FA20" s="163"/>
      <c r="FC20" s="163"/>
      <c r="FF20" s="165"/>
      <c r="FG20" s="165"/>
      <c r="FH20" s="165"/>
      <c r="FI20" s="165"/>
      <c r="FJ20" s="165"/>
      <c r="FK20" s="165"/>
      <c r="FL20" s="165"/>
      <c r="FM20" s="165"/>
      <c r="FN20" s="165"/>
    </row>
    <row r="21" spans="1:170" s="160" customFormat="1" ht="24.75" customHeight="1">
      <c r="A21" s="341">
        <v>8</v>
      </c>
      <c r="B21" s="343" t="s">
        <v>296</v>
      </c>
      <c r="C21" s="299">
        <f t="shared" si="14"/>
        <v>14292.375089999998</v>
      </c>
      <c r="D21" s="300">
        <f t="shared" si="0"/>
        <v>4388.3567999999996</v>
      </c>
      <c r="E21" s="308">
        <f t="shared" si="1"/>
        <v>30.704181581901096</v>
      </c>
      <c r="F21" s="302">
        <f t="shared" si="15"/>
        <v>2171.15</v>
      </c>
      <c r="G21" s="302">
        <f t="shared" si="3"/>
        <v>709.01740999999993</v>
      </c>
      <c r="H21" s="308">
        <f t="shared" si="16"/>
        <v>32.656307026230337</v>
      </c>
      <c r="I21" s="315">
        <f>Сят!C6</f>
        <v>127.65</v>
      </c>
      <c r="J21" s="450">
        <f>Сят!D6</f>
        <v>70.224289999999996</v>
      </c>
      <c r="K21" s="308">
        <f t="shared" si="17"/>
        <v>55.013153153153148</v>
      </c>
      <c r="L21" s="308">
        <f>Сят!C8</f>
        <v>220.44</v>
      </c>
      <c r="M21" s="308">
        <f>Сят!D8</f>
        <v>138.57346999999999</v>
      </c>
      <c r="N21" s="301">
        <f t="shared" si="18"/>
        <v>62.86221647613862</v>
      </c>
      <c r="O21" s="301">
        <f>Сят!C9</f>
        <v>2.36</v>
      </c>
      <c r="P21" s="301">
        <f>Сят!D9</f>
        <v>1.0438700000000001</v>
      </c>
      <c r="Q21" s="301">
        <f t="shared" si="19"/>
        <v>44.231779661016958</v>
      </c>
      <c r="R21" s="301">
        <f>Сят!C10</f>
        <v>368.2</v>
      </c>
      <c r="S21" s="301">
        <f>Сят!D10</f>
        <v>192.68761000000001</v>
      </c>
      <c r="T21" s="301">
        <f t="shared" si="20"/>
        <v>52.332322107550247</v>
      </c>
      <c r="U21" s="301">
        <f>Сят!C11</f>
        <v>0</v>
      </c>
      <c r="V21" s="305">
        <f>Сят!D11</f>
        <v>-25.865690000000001</v>
      </c>
      <c r="W21" s="301" t="e">
        <f t="shared" si="21"/>
        <v>#DIV/0!</v>
      </c>
      <c r="X21" s="315">
        <f>Сят!C13</f>
        <v>90</v>
      </c>
      <c r="Y21" s="315">
        <f>Сят!D13</f>
        <v>19.3629</v>
      </c>
      <c r="Z21" s="308">
        <f t="shared" si="22"/>
        <v>21.514333333333333</v>
      </c>
      <c r="AA21" s="315">
        <f>Сят!C15</f>
        <v>180</v>
      </c>
      <c r="AB21" s="307">
        <f>Сят!D15</f>
        <v>17.275880000000001</v>
      </c>
      <c r="AC21" s="308">
        <f t="shared" si="23"/>
        <v>9.5977111111111117</v>
      </c>
      <c r="AD21" s="315">
        <f>Сят!C16</f>
        <v>919</v>
      </c>
      <c r="AE21" s="315">
        <f>Сят!D16</f>
        <v>93.014589999999998</v>
      </c>
      <c r="AF21" s="308">
        <f t="shared" si="4"/>
        <v>10.121282916213275</v>
      </c>
      <c r="AG21" s="308">
        <f>Сят!C18</f>
        <v>4</v>
      </c>
      <c r="AH21" s="308">
        <f>Сят!D18</f>
        <v>2.65</v>
      </c>
      <c r="AI21" s="308">
        <f t="shared" si="24"/>
        <v>66.25</v>
      </c>
      <c r="AJ21" s="308">
        <f>Сят!C22</f>
        <v>0</v>
      </c>
      <c r="AK21" s="308">
        <f>Сят!D20</f>
        <v>0</v>
      </c>
      <c r="AL21" s="308" t="e">
        <f t="shared" si="5"/>
        <v>#DIV/0!</v>
      </c>
      <c r="AM21" s="315">
        <v>0</v>
      </c>
      <c r="AN21" s="315">
        <v>0</v>
      </c>
      <c r="AO21" s="308" t="e">
        <f t="shared" si="6"/>
        <v>#DIV/0!</v>
      </c>
      <c r="AP21" s="315">
        <f>Сят!C27</f>
        <v>242.8</v>
      </c>
      <c r="AQ21" s="316">
        <f>Сят!D27</f>
        <v>171.56</v>
      </c>
      <c r="AR21" s="308">
        <f t="shared" si="25"/>
        <v>70.658978583196046</v>
      </c>
      <c r="AS21" s="310">
        <f>Сят!C28</f>
        <v>6.7</v>
      </c>
      <c r="AT21" s="316">
        <f>Сят!D28</f>
        <v>3.3868800000000001</v>
      </c>
      <c r="AU21" s="308">
        <f t="shared" si="26"/>
        <v>50.550447761194029</v>
      </c>
      <c r="AV21" s="315"/>
      <c r="AW21" s="315"/>
      <c r="AX21" s="308" t="e">
        <f t="shared" si="27"/>
        <v>#DIV/0!</v>
      </c>
      <c r="AY21" s="308">
        <f>Сят!C30</f>
        <v>10</v>
      </c>
      <c r="AZ21" s="311">
        <f>Сят!D30</f>
        <v>3.0454300000000001</v>
      </c>
      <c r="BA21" s="308">
        <f t="shared" si="28"/>
        <v>30.4543</v>
      </c>
      <c r="BB21" s="308"/>
      <c r="BC21" s="308"/>
      <c r="BD21" s="308"/>
      <c r="BE21" s="308">
        <f>Сят!C33</f>
        <v>0</v>
      </c>
      <c r="BF21" s="308">
        <f>Сят!D33</f>
        <v>0</v>
      </c>
      <c r="BG21" s="308" t="e">
        <f t="shared" si="29"/>
        <v>#DIV/0!</v>
      </c>
      <c r="BH21" s="308"/>
      <c r="BI21" s="308"/>
      <c r="BJ21" s="308" t="e">
        <f t="shared" si="30"/>
        <v>#DIV/0!</v>
      </c>
      <c r="BK21" s="308"/>
      <c r="BL21" s="308"/>
      <c r="BM21" s="308"/>
      <c r="BN21" s="308">
        <f>Сят!C34</f>
        <v>0</v>
      </c>
      <c r="BO21" s="308">
        <f>Сят!D34</f>
        <v>22.05818</v>
      </c>
      <c r="BP21" s="482" t="e">
        <f t="shared" si="31"/>
        <v>#DIV/0!</v>
      </c>
      <c r="BQ21" s="308">
        <f>Сят!C36</f>
        <v>0</v>
      </c>
      <c r="BR21" s="308">
        <f>Сят!D36</f>
        <v>0</v>
      </c>
      <c r="BS21" s="308" t="e">
        <f t="shared" si="32"/>
        <v>#DIV/0!</v>
      </c>
      <c r="BT21" s="308"/>
      <c r="BU21" s="308"/>
      <c r="BV21" s="317" t="e">
        <f t="shared" si="33"/>
        <v>#DIV/0!</v>
      </c>
      <c r="BW21" s="317"/>
      <c r="BX21" s="317"/>
      <c r="BY21" s="317" t="e">
        <f t="shared" si="34"/>
        <v>#DIV/0!</v>
      </c>
      <c r="BZ21" s="306">
        <f t="shared" si="35"/>
        <v>12121.225089999998</v>
      </c>
      <c r="CA21" s="306">
        <f t="shared" si="36"/>
        <v>3679.3393900000001</v>
      </c>
      <c r="CB21" s="308">
        <f t="shared" si="55"/>
        <v>30.354517490442877</v>
      </c>
      <c r="CC21" s="308">
        <f>Сят!C41</f>
        <v>4637.7</v>
      </c>
      <c r="CD21" s="308">
        <f>Сят!D41</f>
        <v>2318.8679999999999</v>
      </c>
      <c r="CE21" s="308">
        <f t="shared" si="37"/>
        <v>50.000388123423242</v>
      </c>
      <c r="CF21" s="308">
        <f>Сят!C42</f>
        <v>0</v>
      </c>
      <c r="CG21" s="461">
        <f>Сят!D42</f>
        <v>0</v>
      </c>
      <c r="CH21" s="308" t="e">
        <f t="shared" si="38"/>
        <v>#DIV/0!</v>
      </c>
      <c r="CI21" s="308">
        <f>Сят!C43</f>
        <v>6215.3341899999996</v>
      </c>
      <c r="CJ21" s="308">
        <f>Сят!D43</f>
        <v>1051.45261</v>
      </c>
      <c r="CK21" s="308">
        <f t="shared" si="7"/>
        <v>16.917072805058613</v>
      </c>
      <c r="CL21" s="308">
        <f>Сят!C44</f>
        <v>206.767</v>
      </c>
      <c r="CM21" s="308">
        <f>Сят!D44</f>
        <v>103.52878</v>
      </c>
      <c r="CN21" s="308">
        <f t="shared" si="8"/>
        <v>50.070262662804019</v>
      </c>
      <c r="CO21" s="308">
        <f>Сят!C48</f>
        <v>854.65</v>
      </c>
      <c r="CP21" s="308">
        <f>Сят!D48</f>
        <v>0</v>
      </c>
      <c r="CQ21" s="301">
        <f t="shared" si="39"/>
        <v>0</v>
      </c>
      <c r="CR21" s="319">
        <f>Сят!C49</f>
        <v>206.7739</v>
      </c>
      <c r="CS21" s="308">
        <f>Сят!D49</f>
        <v>205.49</v>
      </c>
      <c r="CT21" s="308">
        <f t="shared" si="9"/>
        <v>99.379080241751979</v>
      </c>
      <c r="CU21" s="308"/>
      <c r="CV21" s="308">
        <f>Сят!D50</f>
        <v>0</v>
      </c>
      <c r="CW21" s="308"/>
      <c r="CX21" s="315"/>
      <c r="CY21" s="315"/>
      <c r="CZ21" s="308" t="e">
        <f t="shared" si="40"/>
        <v>#DIV/0!</v>
      </c>
      <c r="DA21" s="308"/>
      <c r="DB21" s="308"/>
      <c r="DC21" s="308"/>
      <c r="DD21" s="308"/>
      <c r="DE21" s="308"/>
      <c r="DF21" s="308"/>
      <c r="DG21" s="310">
        <f t="shared" si="41"/>
        <v>14160.572500000002</v>
      </c>
      <c r="DH21" s="310">
        <f t="shared" si="41"/>
        <v>3745.0892199999998</v>
      </c>
      <c r="DI21" s="308">
        <f t="shared" si="42"/>
        <v>26.447300912445449</v>
      </c>
      <c r="DJ21" s="315">
        <f t="shared" si="43"/>
        <v>1626.8869999999999</v>
      </c>
      <c r="DK21" s="315">
        <f>Сят!D56</f>
        <v>741.46004000000005</v>
      </c>
      <c r="DL21" s="308">
        <f t="shared" si="44"/>
        <v>45.575386612592027</v>
      </c>
      <c r="DM21" s="308">
        <f>Сят!C58</f>
        <v>1506.5</v>
      </c>
      <c r="DN21" s="308">
        <f>Сят!D58</f>
        <v>730.46004000000005</v>
      </c>
      <c r="DO21" s="308">
        <f t="shared" si="45"/>
        <v>48.487224692997017</v>
      </c>
      <c r="DP21" s="308">
        <f>Сят!C61</f>
        <v>0</v>
      </c>
      <c r="DQ21" s="308">
        <f>Сят!D61</f>
        <v>0</v>
      </c>
      <c r="DR21" s="308" t="e">
        <f t="shared" si="46"/>
        <v>#DIV/0!</v>
      </c>
      <c r="DS21" s="308">
        <f>Сят!C62</f>
        <v>100</v>
      </c>
      <c r="DT21" s="308">
        <f>Сят!D62</f>
        <v>0</v>
      </c>
      <c r="DU21" s="308">
        <f t="shared" si="47"/>
        <v>0</v>
      </c>
      <c r="DV21" s="308">
        <f>Сят!C63</f>
        <v>20.387</v>
      </c>
      <c r="DW21" s="308">
        <f>Сят!D63</f>
        <v>11</v>
      </c>
      <c r="DX21" s="308">
        <f t="shared" si="48"/>
        <v>53.955952322558488</v>
      </c>
      <c r="DY21" s="308">
        <f>Сят!C65</f>
        <v>206.767</v>
      </c>
      <c r="DZ21" s="308">
        <f>Сят!D65</f>
        <v>59.60913</v>
      </c>
      <c r="EA21" s="308">
        <f t="shared" si="49"/>
        <v>28.829131341074739</v>
      </c>
      <c r="EB21" s="308">
        <f>Сят!C66</f>
        <v>115</v>
      </c>
      <c r="EC21" s="308">
        <f>Сят!D66</f>
        <v>76.811480000000003</v>
      </c>
      <c r="ED21" s="308">
        <f t="shared" si="50"/>
        <v>66.792591304347823</v>
      </c>
      <c r="EE21" s="315">
        <f>Сят!C72</f>
        <v>5189.7880100000002</v>
      </c>
      <c r="EF21" s="315">
        <f>Сят!D72</f>
        <v>1166.5644</v>
      </c>
      <c r="EG21" s="308">
        <f t="shared" si="51"/>
        <v>22.478074205578196</v>
      </c>
      <c r="EH21" s="315">
        <f>Сят!C77</f>
        <v>4424.5574900000001</v>
      </c>
      <c r="EI21" s="315">
        <f>Сят!D77</f>
        <v>586.01289999999995</v>
      </c>
      <c r="EJ21" s="308">
        <f t="shared" si="52"/>
        <v>13.244553863848651</v>
      </c>
      <c r="EK21" s="315">
        <f>Сят!C81</f>
        <v>2547.5729999999999</v>
      </c>
      <c r="EL21" s="320">
        <f>Сят!D81</f>
        <v>1083.54627</v>
      </c>
      <c r="EM21" s="308">
        <f t="shared" si="10"/>
        <v>42.532491512510148</v>
      </c>
      <c r="EN21" s="308">
        <f>Сят!C83</f>
        <v>0</v>
      </c>
      <c r="EO21" s="308">
        <f>Сят!D83</f>
        <v>0</v>
      </c>
      <c r="EP21" s="308" t="e">
        <f t="shared" si="11"/>
        <v>#DIV/0!</v>
      </c>
      <c r="EQ21" s="321">
        <f>Сят!C88</f>
        <v>50</v>
      </c>
      <c r="ER21" s="321">
        <f>Сят!D88</f>
        <v>31.085000000000001</v>
      </c>
      <c r="ES21" s="308">
        <f t="shared" si="53"/>
        <v>62.17</v>
      </c>
      <c r="ET21" s="308">
        <f>Сят!C94</f>
        <v>0</v>
      </c>
      <c r="EU21" s="308">
        <f>Сят!D94</f>
        <v>0</v>
      </c>
      <c r="EV21" s="301" t="e">
        <f t="shared" si="54"/>
        <v>#DIV/0!</v>
      </c>
      <c r="EW21" s="477">
        <f t="shared" si="12"/>
        <v>131.80258999999569</v>
      </c>
      <c r="EX21" s="477">
        <f t="shared" si="13"/>
        <v>643.26757999999973</v>
      </c>
      <c r="EY21" s="301">
        <f t="shared" si="56"/>
        <v>488.05382352503148</v>
      </c>
      <c r="EZ21" s="162"/>
      <c r="FA21" s="163"/>
      <c r="FB21" s="165"/>
      <c r="FC21" s="163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</row>
    <row r="22" spans="1:170" s="172" customFormat="1" ht="22.5" customHeight="1">
      <c r="A22" s="344">
        <v>9</v>
      </c>
      <c r="B22" s="345" t="s">
        <v>297</v>
      </c>
      <c r="C22" s="324">
        <f>F22+BZ22</f>
        <v>7710.807499999999</v>
      </c>
      <c r="D22" s="325">
        <f t="shared" si="0"/>
        <v>3148.8929900000003</v>
      </c>
      <c r="E22" s="311">
        <f t="shared" si="1"/>
        <v>40.837395953666338</v>
      </c>
      <c r="F22" s="302">
        <f t="shared" si="15"/>
        <v>2103.44</v>
      </c>
      <c r="G22" s="326">
        <f t="shared" si="3"/>
        <v>1126.55215</v>
      </c>
      <c r="H22" s="311">
        <f t="shared" si="16"/>
        <v>53.557608013539728</v>
      </c>
      <c r="I22" s="310">
        <f>Тор!C6</f>
        <v>112.95</v>
      </c>
      <c r="J22" s="450">
        <f>Тор!D6</f>
        <v>64.729129999999998</v>
      </c>
      <c r="K22" s="311">
        <f t="shared" si="17"/>
        <v>57.307773351040282</v>
      </c>
      <c r="L22" s="311">
        <f>Тор!C8</f>
        <v>305.3</v>
      </c>
      <c r="M22" s="311">
        <f>Тор!D8</f>
        <v>191.91556</v>
      </c>
      <c r="N22" s="311">
        <f t="shared" si="18"/>
        <v>62.861303635768095</v>
      </c>
      <c r="O22" s="311">
        <f>Тор!C9</f>
        <v>3.27</v>
      </c>
      <c r="P22" s="311">
        <f>Тор!D9</f>
        <v>1.4457</v>
      </c>
      <c r="Q22" s="311">
        <f t="shared" si="19"/>
        <v>44.211009174311926</v>
      </c>
      <c r="R22" s="311">
        <f>Тор!C10</f>
        <v>509.92</v>
      </c>
      <c r="S22" s="311">
        <f>Тор!D10</f>
        <v>266.86023999999998</v>
      </c>
      <c r="T22" s="311">
        <f t="shared" si="20"/>
        <v>52.333746470034505</v>
      </c>
      <c r="U22" s="311">
        <f>Тор!C11</f>
        <v>0</v>
      </c>
      <c r="V22" s="327">
        <f>Тор!D11</f>
        <v>-35.82235</v>
      </c>
      <c r="W22" s="311" t="e">
        <f t="shared" si="21"/>
        <v>#DIV/0!</v>
      </c>
      <c r="X22" s="310">
        <f>Тор!C13</f>
        <v>35</v>
      </c>
      <c r="Y22" s="310">
        <f>Тор!D13</f>
        <v>6.2859400000000001</v>
      </c>
      <c r="Z22" s="311">
        <f t="shared" si="22"/>
        <v>17.95982857142857</v>
      </c>
      <c r="AA22" s="310">
        <f>Тор!C15</f>
        <v>160</v>
      </c>
      <c r="AB22" s="307">
        <f>Тор!D15</f>
        <v>87.830870000000004</v>
      </c>
      <c r="AC22" s="311">
        <f t="shared" si="23"/>
        <v>54.894293750000003</v>
      </c>
      <c r="AD22" s="310">
        <f>Тор!C16</f>
        <v>382</v>
      </c>
      <c r="AE22" s="310">
        <f>Тор!D16</f>
        <v>74.953779999999995</v>
      </c>
      <c r="AF22" s="311">
        <f t="shared" si="4"/>
        <v>19.621408376963352</v>
      </c>
      <c r="AG22" s="311">
        <f>Тор!C18</f>
        <v>8</v>
      </c>
      <c r="AH22" s="311">
        <f>Тор!D18</f>
        <v>1.9</v>
      </c>
      <c r="AI22" s="311">
        <f t="shared" si="24"/>
        <v>23.75</v>
      </c>
      <c r="AJ22" s="311"/>
      <c r="AK22" s="311">
        <f>Тор!D20</f>
        <v>0</v>
      </c>
      <c r="AL22" s="311" t="e">
        <f t="shared" si="5"/>
        <v>#DIV/0!</v>
      </c>
      <c r="AM22" s="310">
        <v>0</v>
      </c>
      <c r="AN22" s="310">
        <v>0</v>
      </c>
      <c r="AO22" s="311" t="e">
        <f t="shared" si="6"/>
        <v>#DIV/0!</v>
      </c>
      <c r="AP22" s="310">
        <f>Тор!C27</f>
        <v>450</v>
      </c>
      <c r="AQ22" s="307">
        <f>Тор!D27</f>
        <v>384.43779999999998</v>
      </c>
      <c r="AR22" s="311">
        <f t="shared" si="25"/>
        <v>85.430622222222212</v>
      </c>
      <c r="AS22" s="310">
        <f>Тор!C28</f>
        <v>77</v>
      </c>
      <c r="AT22" s="307">
        <f>Тор!D28</f>
        <v>38.51952</v>
      </c>
      <c r="AU22" s="311">
        <f t="shared" si="26"/>
        <v>50.025350649350656</v>
      </c>
      <c r="AV22" s="310"/>
      <c r="AW22" s="310"/>
      <c r="AX22" s="311" t="e">
        <f t="shared" si="27"/>
        <v>#DIV/0!</v>
      </c>
      <c r="AY22" s="311">
        <f>Тор!C29</f>
        <v>60</v>
      </c>
      <c r="AZ22" s="311">
        <f>Тор!D29</f>
        <v>43.495959999999997</v>
      </c>
      <c r="BA22" s="311">
        <f t="shared" si="28"/>
        <v>72.493266666666656</v>
      </c>
      <c r="BB22" s="311"/>
      <c r="BC22" s="311"/>
      <c r="BD22" s="311"/>
      <c r="BE22" s="311">
        <f>Тор!C34+Тор!C33</f>
        <v>0</v>
      </c>
      <c r="BF22" s="311">
        <f>Тор!D32</f>
        <v>0</v>
      </c>
      <c r="BG22" s="311" t="e">
        <f t="shared" si="29"/>
        <v>#DIV/0!</v>
      </c>
      <c r="BH22" s="311"/>
      <c r="BI22" s="311"/>
      <c r="BJ22" s="311" t="e">
        <f t="shared" si="30"/>
        <v>#DIV/0!</v>
      </c>
      <c r="BK22" s="311"/>
      <c r="BL22" s="311"/>
      <c r="BM22" s="311"/>
      <c r="BN22" s="311">
        <f>Тор!C35</f>
        <v>0</v>
      </c>
      <c r="BO22" s="311">
        <f>Тор!D35</f>
        <v>0</v>
      </c>
      <c r="BP22" s="482" t="e">
        <f t="shared" si="31"/>
        <v>#DIV/0!</v>
      </c>
      <c r="BQ22" s="311">
        <f>Тор!C37</f>
        <v>0</v>
      </c>
      <c r="BR22" s="311">
        <f>Тор!D37</f>
        <v>0</v>
      </c>
      <c r="BS22" s="311" t="e">
        <f t="shared" si="32"/>
        <v>#DIV/0!</v>
      </c>
      <c r="BT22" s="311"/>
      <c r="BU22" s="311"/>
      <c r="BV22" s="328" t="e">
        <f t="shared" si="33"/>
        <v>#DIV/0!</v>
      </c>
      <c r="BW22" s="328"/>
      <c r="BX22" s="328"/>
      <c r="BY22" s="328" t="e">
        <f t="shared" si="34"/>
        <v>#DIV/0!</v>
      </c>
      <c r="BZ22" s="310">
        <f t="shared" si="35"/>
        <v>5607.3674999999994</v>
      </c>
      <c r="CA22" s="306">
        <f t="shared" si="36"/>
        <v>2022.3408400000001</v>
      </c>
      <c r="CB22" s="311">
        <f t="shared" si="55"/>
        <v>36.06578024358133</v>
      </c>
      <c r="CC22" s="311">
        <f>Тор!C42</f>
        <v>2494.1999999999998</v>
      </c>
      <c r="CD22" s="311">
        <f>Тор!D42</f>
        <v>1247.106</v>
      </c>
      <c r="CE22" s="311">
        <f t="shared" si="37"/>
        <v>50.000240558094788</v>
      </c>
      <c r="CF22" s="311">
        <f>Тор!C43</f>
        <v>0</v>
      </c>
      <c r="CG22" s="462">
        <f>Тор!D43</f>
        <v>0</v>
      </c>
      <c r="CH22" s="311" t="e">
        <f t="shared" si="38"/>
        <v>#DIV/0!</v>
      </c>
      <c r="CI22" s="311">
        <f>Тор!C44</f>
        <v>2598.317</v>
      </c>
      <c r="CJ22" s="311">
        <f>Тор!D44</f>
        <v>416.48200000000003</v>
      </c>
      <c r="CK22" s="311">
        <f t="shared" si="7"/>
        <v>16.028914100935339</v>
      </c>
      <c r="CL22" s="311">
        <f>Тор!C45</f>
        <v>110.166</v>
      </c>
      <c r="CM22" s="311">
        <f>Тор!D45</f>
        <v>69.585840000000005</v>
      </c>
      <c r="CN22" s="311">
        <f t="shared" si="8"/>
        <v>63.164533522139322</v>
      </c>
      <c r="CO22" s="311">
        <f>Тор!C46</f>
        <v>176.19499999999999</v>
      </c>
      <c r="CP22" s="311">
        <f>Тор!D46</f>
        <v>60.716999999999999</v>
      </c>
      <c r="CQ22" s="301">
        <f t="shared" si="39"/>
        <v>34.460115213258042</v>
      </c>
      <c r="CR22" s="327">
        <f>Тор!C48</f>
        <v>228.48949999999999</v>
      </c>
      <c r="CS22" s="311">
        <f>Тор!D48</f>
        <v>228.45</v>
      </c>
      <c r="CT22" s="311">
        <f t="shared" si="9"/>
        <v>99.982712553530902</v>
      </c>
      <c r="CU22" s="311"/>
      <c r="CV22" s="311">
        <f>Тор!D49</f>
        <v>0</v>
      </c>
      <c r="CW22" s="311"/>
      <c r="CX22" s="310"/>
      <c r="CY22" s="310"/>
      <c r="CZ22" s="311" t="e">
        <f t="shared" si="40"/>
        <v>#DIV/0!</v>
      </c>
      <c r="DA22" s="311"/>
      <c r="DB22" s="311"/>
      <c r="DC22" s="311"/>
      <c r="DD22" s="311"/>
      <c r="DE22" s="311"/>
      <c r="DF22" s="311"/>
      <c r="DG22" s="310">
        <f t="shared" si="41"/>
        <v>8100.2871200000009</v>
      </c>
      <c r="DH22" s="310">
        <f t="shared" si="41"/>
        <v>1910.7179799999999</v>
      </c>
      <c r="DI22" s="311">
        <f t="shared" si="42"/>
        <v>23.588274732661571</v>
      </c>
      <c r="DJ22" s="310">
        <f t="shared" si="43"/>
        <v>1334.8610000000001</v>
      </c>
      <c r="DK22" s="310">
        <f t="shared" si="43"/>
        <v>566.01556000000005</v>
      </c>
      <c r="DL22" s="311">
        <f t="shared" si="44"/>
        <v>42.402584239108045</v>
      </c>
      <c r="DM22" s="311">
        <f>Тор!C58</f>
        <v>1205.7</v>
      </c>
      <c r="DN22" s="311">
        <f>Тор!D58</f>
        <v>551.01556000000005</v>
      </c>
      <c r="DO22" s="311">
        <f t="shared" si="45"/>
        <v>45.700884133698267</v>
      </c>
      <c r="DP22" s="311">
        <f>Тор!C61</f>
        <v>8.9</v>
      </c>
      <c r="DQ22" s="311">
        <f>Тор!D61</f>
        <v>0</v>
      </c>
      <c r="DR22" s="311">
        <f t="shared" si="46"/>
        <v>0</v>
      </c>
      <c r="DS22" s="311">
        <f>Тор!C62</f>
        <v>100</v>
      </c>
      <c r="DT22" s="311">
        <f>Тор!D62</f>
        <v>0</v>
      </c>
      <c r="DU22" s="311">
        <f t="shared" si="47"/>
        <v>0</v>
      </c>
      <c r="DV22" s="311">
        <f>Тор!C63</f>
        <v>20.260999999999999</v>
      </c>
      <c r="DW22" s="311">
        <f>Тор!D63</f>
        <v>15</v>
      </c>
      <c r="DX22" s="311">
        <f t="shared" si="48"/>
        <v>74.033858151127788</v>
      </c>
      <c r="DY22" s="311">
        <f>Тор!C65</f>
        <v>110.166</v>
      </c>
      <c r="DZ22" s="311">
        <f>+Тор!D64</f>
        <v>61.748109999999997</v>
      </c>
      <c r="EA22" s="311">
        <f t="shared" si="49"/>
        <v>56.050060817312051</v>
      </c>
      <c r="EB22" s="311">
        <f>Тор!C66</f>
        <v>25.6</v>
      </c>
      <c r="EC22" s="311">
        <f>Тор!D66</f>
        <v>13.56148</v>
      </c>
      <c r="ED22" s="311">
        <f t="shared" si="50"/>
        <v>52.974531249999991</v>
      </c>
      <c r="EE22" s="310">
        <f>Тор!C72</f>
        <v>4387.0414000000001</v>
      </c>
      <c r="EF22" s="310">
        <f>Тор!D72</f>
        <v>525.226</v>
      </c>
      <c r="EG22" s="311">
        <f t="shared" si="51"/>
        <v>11.972214349287883</v>
      </c>
      <c r="EH22" s="310">
        <f>Тор!C78</f>
        <v>894.51872000000003</v>
      </c>
      <c r="EI22" s="310">
        <f>Тор!D78</f>
        <v>278.04183</v>
      </c>
      <c r="EJ22" s="311">
        <f t="shared" si="52"/>
        <v>31.082840837584708</v>
      </c>
      <c r="EK22" s="310">
        <f>Тор!C82</f>
        <v>1328.1</v>
      </c>
      <c r="EL22" s="329">
        <f>Тор!D82</f>
        <v>466.125</v>
      </c>
      <c r="EM22" s="311">
        <f t="shared" si="10"/>
        <v>35.097131240117463</v>
      </c>
      <c r="EN22" s="311">
        <f>Тор!C84</f>
        <v>0</v>
      </c>
      <c r="EO22" s="311">
        <f>Тор!D84</f>
        <v>0</v>
      </c>
      <c r="EP22" s="311" t="e">
        <f t="shared" si="11"/>
        <v>#DIV/0!</v>
      </c>
      <c r="EQ22" s="326">
        <f>Тор!C96</f>
        <v>20</v>
      </c>
      <c r="ER22" s="326">
        <f>Тор!D96</f>
        <v>0</v>
      </c>
      <c r="ES22" s="311">
        <f t="shared" si="53"/>
        <v>0</v>
      </c>
      <c r="ET22" s="311">
        <f>Тор!C94</f>
        <v>0</v>
      </c>
      <c r="EU22" s="311">
        <f>Тор!D94</f>
        <v>0</v>
      </c>
      <c r="EV22" s="311" t="e">
        <f t="shared" si="54"/>
        <v>#DIV/0!</v>
      </c>
      <c r="EW22" s="478">
        <f t="shared" si="12"/>
        <v>-389.47962000000189</v>
      </c>
      <c r="EX22" s="478">
        <f t="shared" si="13"/>
        <v>1238.1750100000004</v>
      </c>
      <c r="EY22" s="311">
        <f t="shared" si="56"/>
        <v>-317.90495482151141</v>
      </c>
      <c r="EZ22" s="170"/>
      <c r="FA22" s="171"/>
      <c r="FC22" s="171"/>
      <c r="FF22" s="214"/>
      <c r="FG22" s="214"/>
      <c r="FH22" s="214"/>
      <c r="FI22" s="214"/>
      <c r="FJ22" s="214"/>
      <c r="FK22" s="214"/>
      <c r="FL22" s="214"/>
      <c r="FM22" s="214"/>
      <c r="FN22" s="214"/>
    </row>
    <row r="23" spans="1:170" s="160" customFormat="1" ht="23.25" customHeight="1">
      <c r="A23" s="341">
        <v>10</v>
      </c>
      <c r="B23" s="343" t="s">
        <v>298</v>
      </c>
      <c r="C23" s="299">
        <f t="shared" si="14"/>
        <v>5753.8189999999995</v>
      </c>
      <c r="D23" s="300">
        <f t="shared" si="0"/>
        <v>2170.7316599999999</v>
      </c>
      <c r="E23" s="308">
        <f t="shared" si="1"/>
        <v>37.726797801599254</v>
      </c>
      <c r="F23" s="302">
        <f t="shared" si="15"/>
        <v>1117.8600000000001</v>
      </c>
      <c r="G23" s="302">
        <f t="shared" si="3"/>
        <v>358.44120999999996</v>
      </c>
      <c r="H23" s="308">
        <f t="shared" si="16"/>
        <v>32.064946415472413</v>
      </c>
      <c r="I23" s="315">
        <f>Хор!C6</f>
        <v>55.5</v>
      </c>
      <c r="J23" s="450">
        <f>Хор!D6</f>
        <v>60.614229999999999</v>
      </c>
      <c r="K23" s="308">
        <f t="shared" si="17"/>
        <v>109.21482882882883</v>
      </c>
      <c r="L23" s="308">
        <f>Хор!C8</f>
        <v>140.19999999999999</v>
      </c>
      <c r="M23" s="308">
        <f>Хор!D8</f>
        <v>88.130409999999998</v>
      </c>
      <c r="N23" s="301">
        <f t="shared" si="18"/>
        <v>62.860492154065625</v>
      </c>
      <c r="O23" s="301">
        <f>Хор!C9</f>
        <v>1.5</v>
      </c>
      <c r="P23" s="301">
        <f>Хор!D9</f>
        <v>0.66388000000000003</v>
      </c>
      <c r="Q23" s="301">
        <f t="shared" si="19"/>
        <v>44.25866666666667</v>
      </c>
      <c r="R23" s="301">
        <f>Хор!C10</f>
        <v>234.16</v>
      </c>
      <c r="S23" s="301">
        <f>Хор!D10</f>
        <v>122.5461</v>
      </c>
      <c r="T23" s="301">
        <f t="shared" si="20"/>
        <v>52.334344038264433</v>
      </c>
      <c r="U23" s="301">
        <f>Хор!C11</f>
        <v>0</v>
      </c>
      <c r="V23" s="305">
        <f>Хор!D11</f>
        <v>-16.450150000000001</v>
      </c>
      <c r="W23" s="301" t="e">
        <f t="shared" si="21"/>
        <v>#DIV/0!</v>
      </c>
      <c r="X23" s="315">
        <f>Хор!C13</f>
        <v>10</v>
      </c>
      <c r="Y23" s="315">
        <f>Хор!D13</f>
        <v>9.1700700000000008</v>
      </c>
      <c r="Z23" s="308">
        <f t="shared" si="22"/>
        <v>91.700700000000012</v>
      </c>
      <c r="AA23" s="315">
        <f>Хор!C15</f>
        <v>230</v>
      </c>
      <c r="AB23" s="307">
        <f>Хор!D15</f>
        <v>19.40681</v>
      </c>
      <c r="AC23" s="308">
        <f t="shared" si="23"/>
        <v>8.4377434782608702</v>
      </c>
      <c r="AD23" s="315">
        <f>Хор!C16</f>
        <v>390</v>
      </c>
      <c r="AE23" s="315">
        <f>Хор!D16</f>
        <v>31.762260000000001</v>
      </c>
      <c r="AF23" s="308">
        <f t="shared" si="4"/>
        <v>8.144169230769231</v>
      </c>
      <c r="AG23" s="308">
        <f>Хор!C18</f>
        <v>5</v>
      </c>
      <c r="AH23" s="308">
        <f>Хор!D18</f>
        <v>1</v>
      </c>
      <c r="AI23" s="308">
        <f t="shared" si="24"/>
        <v>20</v>
      </c>
      <c r="AJ23" s="308"/>
      <c r="AK23" s="308"/>
      <c r="AL23" s="308" t="e">
        <f t="shared" si="5"/>
        <v>#DIV/0!</v>
      </c>
      <c r="AM23" s="315">
        <v>0</v>
      </c>
      <c r="AN23" s="315">
        <v>0</v>
      </c>
      <c r="AO23" s="308" t="e">
        <f t="shared" si="6"/>
        <v>#DIV/0!</v>
      </c>
      <c r="AP23" s="315">
        <f>Хор!C27</f>
        <v>51.5</v>
      </c>
      <c r="AQ23" s="316">
        <f>Хор!D27</f>
        <v>40.8476</v>
      </c>
      <c r="AR23" s="308">
        <f t="shared" si="25"/>
        <v>79.315728155339798</v>
      </c>
      <c r="AS23" s="310">
        <f>Хор!C28</f>
        <v>0</v>
      </c>
      <c r="AT23" s="316">
        <f>Хор!D28</f>
        <v>0</v>
      </c>
      <c r="AU23" s="308" t="e">
        <f t="shared" si="26"/>
        <v>#DIV/0!</v>
      </c>
      <c r="AV23" s="315"/>
      <c r="AW23" s="315"/>
      <c r="AX23" s="308" t="e">
        <f t="shared" si="27"/>
        <v>#DIV/0!</v>
      </c>
      <c r="AY23" s="308">
        <f>Хор!C29</f>
        <v>0</v>
      </c>
      <c r="AZ23" s="311">
        <f>Хор!D29</f>
        <v>0</v>
      </c>
      <c r="BA23" s="308" t="e">
        <f t="shared" si="28"/>
        <v>#DIV/0!</v>
      </c>
      <c r="BB23" s="308"/>
      <c r="BC23" s="308"/>
      <c r="BD23" s="308"/>
      <c r="BE23" s="308">
        <f>Хор!C33</f>
        <v>0</v>
      </c>
      <c r="BF23" s="308">
        <f>Хор!D33</f>
        <v>0</v>
      </c>
      <c r="BG23" s="308" t="e">
        <f t="shared" si="29"/>
        <v>#DIV/0!</v>
      </c>
      <c r="BH23" s="308"/>
      <c r="BI23" s="308"/>
      <c r="BJ23" s="308" t="e">
        <f t="shared" si="30"/>
        <v>#DIV/0!</v>
      </c>
      <c r="BK23" s="308"/>
      <c r="BL23" s="308"/>
      <c r="BM23" s="308"/>
      <c r="BN23" s="308"/>
      <c r="BO23" s="308">
        <f>SUM(Хор!D34)</f>
        <v>0.05</v>
      </c>
      <c r="BP23" s="482" t="e">
        <f t="shared" si="31"/>
        <v>#DIV/0!</v>
      </c>
      <c r="BQ23" s="308">
        <f>Хор!C36</f>
        <v>0</v>
      </c>
      <c r="BR23" s="308">
        <f>Хор!D36</f>
        <v>0.7</v>
      </c>
      <c r="BS23" s="308" t="e">
        <f t="shared" si="32"/>
        <v>#DIV/0!</v>
      </c>
      <c r="BT23" s="308"/>
      <c r="BU23" s="308"/>
      <c r="BV23" s="317" t="e">
        <f t="shared" si="33"/>
        <v>#DIV/0!</v>
      </c>
      <c r="BW23" s="317"/>
      <c r="BX23" s="317"/>
      <c r="BY23" s="317" t="e">
        <f t="shared" si="34"/>
        <v>#DIV/0!</v>
      </c>
      <c r="BZ23" s="306">
        <f t="shared" si="35"/>
        <v>4635.9589999999998</v>
      </c>
      <c r="CA23" s="306">
        <f>CD23+CG23+CJ23+CM23+CS23+CP23+CV23</f>
        <v>1812.29045</v>
      </c>
      <c r="CB23" s="308">
        <f t="shared" si="55"/>
        <v>39.092029286712851</v>
      </c>
      <c r="CC23" s="308">
        <f>Хор!C41</f>
        <v>2155.1</v>
      </c>
      <c r="CD23" s="308">
        <f>Хор!D41</f>
        <v>1077.558</v>
      </c>
      <c r="CE23" s="308">
        <f t="shared" si="37"/>
        <v>50.000371212472736</v>
      </c>
      <c r="CF23" s="308">
        <f>Хор!C43</f>
        <v>0</v>
      </c>
      <c r="CG23" s="461">
        <f>Хор!D43</f>
        <v>0</v>
      </c>
      <c r="CH23" s="308" t="e">
        <f t="shared" si="38"/>
        <v>#DIV/0!</v>
      </c>
      <c r="CI23" s="308">
        <f>Хор!C44</f>
        <v>2029.7380000000001</v>
      </c>
      <c r="CJ23" s="308">
        <f>Хор!D44</f>
        <v>175.75800000000001</v>
      </c>
      <c r="CK23" s="308">
        <f t="shared" si="7"/>
        <v>8.6591471411581207</v>
      </c>
      <c r="CL23" s="308">
        <f>Хор!C45</f>
        <v>103.383</v>
      </c>
      <c r="CM23" s="308">
        <f>Хор!D45</f>
        <v>51.764000000000003</v>
      </c>
      <c r="CN23" s="308">
        <f t="shared" si="8"/>
        <v>50.07012758383874</v>
      </c>
      <c r="CO23" s="308">
        <f>Хор!C46</f>
        <v>98.238</v>
      </c>
      <c r="CP23" s="308">
        <f>Хор!D46</f>
        <v>0</v>
      </c>
      <c r="CQ23" s="301">
        <f t="shared" si="39"/>
        <v>0</v>
      </c>
      <c r="CR23" s="319">
        <f>Хор!C47</f>
        <v>249.5</v>
      </c>
      <c r="CS23" s="308">
        <f>Хор!D47</f>
        <v>507.21044999999998</v>
      </c>
      <c r="CT23" s="308">
        <f t="shared" si="9"/>
        <v>203.29076152304611</v>
      </c>
      <c r="CU23" s="308"/>
      <c r="CV23" s="308"/>
      <c r="CW23" s="308"/>
      <c r="CX23" s="315"/>
      <c r="CY23" s="315"/>
      <c r="CZ23" s="308" t="e">
        <f t="shared" si="40"/>
        <v>#DIV/0!</v>
      </c>
      <c r="DA23" s="308"/>
      <c r="DB23" s="308"/>
      <c r="DC23" s="308"/>
      <c r="DD23" s="308"/>
      <c r="DE23" s="308">
        <f>Хор!D50</f>
        <v>0</v>
      </c>
      <c r="DF23" s="308"/>
      <c r="DG23" s="310">
        <f t="shared" si="41"/>
        <v>6006.1279100000002</v>
      </c>
      <c r="DH23" s="310">
        <f t="shared" si="41"/>
        <v>1369.5259900000001</v>
      </c>
      <c r="DI23" s="308">
        <f t="shared" si="42"/>
        <v>22.802144918022567</v>
      </c>
      <c r="DJ23" s="315">
        <f t="shared" si="43"/>
        <v>1220.1310000000001</v>
      </c>
      <c r="DK23" s="315">
        <f t="shared" si="43"/>
        <v>586.84742000000006</v>
      </c>
      <c r="DL23" s="308">
        <f t="shared" si="44"/>
        <v>48.097083018134938</v>
      </c>
      <c r="DM23" s="308">
        <f>Хор!C58</f>
        <v>1165</v>
      </c>
      <c r="DN23" s="308">
        <f>Хор!D58</f>
        <v>581.84742000000006</v>
      </c>
      <c r="DO23" s="308">
        <f t="shared" si="45"/>
        <v>49.94398454935623</v>
      </c>
      <c r="DP23" s="308">
        <f>Хор!C61</f>
        <v>0</v>
      </c>
      <c r="DQ23" s="308">
        <f>Хор!D61</f>
        <v>0</v>
      </c>
      <c r="DR23" s="308" t="e">
        <f t="shared" si="46"/>
        <v>#DIV/0!</v>
      </c>
      <c r="DS23" s="308">
        <f>Хор!C62</f>
        <v>48.5</v>
      </c>
      <c r="DT23" s="308">
        <f>Хор!D62</f>
        <v>0</v>
      </c>
      <c r="DU23" s="308">
        <f t="shared" si="47"/>
        <v>0</v>
      </c>
      <c r="DV23" s="308">
        <f>Хор!C63</f>
        <v>6.6310000000000002</v>
      </c>
      <c r="DW23" s="308">
        <f>Хор!D63</f>
        <v>5</v>
      </c>
      <c r="DX23" s="308">
        <f t="shared" si="48"/>
        <v>75.403408234052165</v>
      </c>
      <c r="DY23" s="308">
        <f>Хор!C65</f>
        <v>103.383</v>
      </c>
      <c r="DZ23" s="308">
        <f>Хор!D65</f>
        <v>39.161580000000001</v>
      </c>
      <c r="EA23" s="308">
        <f t="shared" si="49"/>
        <v>37.880096340791042</v>
      </c>
      <c r="EB23" s="308">
        <f>Хор!C66</f>
        <v>15</v>
      </c>
      <c r="EC23" s="308">
        <f>Хор!D66</f>
        <v>2.81148</v>
      </c>
      <c r="ED23" s="308">
        <f t="shared" si="50"/>
        <v>18.743199999999998</v>
      </c>
      <c r="EE23" s="315">
        <f>Хор!C72</f>
        <v>2308.6820699999998</v>
      </c>
      <c r="EF23" s="315">
        <f>Хор!D72</f>
        <v>234.887</v>
      </c>
      <c r="EG23" s="308">
        <f t="shared" si="51"/>
        <v>10.174073037263204</v>
      </c>
      <c r="EH23" s="315">
        <f>Хор!C77</f>
        <v>1376.13184</v>
      </c>
      <c r="EI23" s="315">
        <f>Хор!D77</f>
        <v>48.331499999999998</v>
      </c>
      <c r="EJ23" s="308">
        <f t="shared" si="52"/>
        <v>3.5121271520031105</v>
      </c>
      <c r="EK23" s="315">
        <f>Хор!C81</f>
        <v>952.8</v>
      </c>
      <c r="EL23" s="320">
        <f>Хор!D81</f>
        <v>444.92701</v>
      </c>
      <c r="EM23" s="308">
        <f t="shared" si="10"/>
        <v>46.696789462636438</v>
      </c>
      <c r="EN23" s="308">
        <f>Хор!C83</f>
        <v>0</v>
      </c>
      <c r="EO23" s="308">
        <f>Хор!D83</f>
        <v>0</v>
      </c>
      <c r="EP23" s="308" t="e">
        <f t="shared" si="11"/>
        <v>#DIV/0!</v>
      </c>
      <c r="EQ23" s="321">
        <f>Хор!C88</f>
        <v>30</v>
      </c>
      <c r="ER23" s="321">
        <f>Хор!D88</f>
        <v>12.56</v>
      </c>
      <c r="ES23" s="308">
        <f t="shared" si="53"/>
        <v>41.866666666666667</v>
      </c>
      <c r="ET23" s="308">
        <f>Хор!C94</f>
        <v>0</v>
      </c>
      <c r="EU23" s="308">
        <f>Хор!D94</f>
        <v>0</v>
      </c>
      <c r="EV23" s="301" t="e">
        <f t="shared" si="54"/>
        <v>#DIV/0!</v>
      </c>
      <c r="EW23" s="477">
        <f t="shared" si="12"/>
        <v>-252.30891000000065</v>
      </c>
      <c r="EX23" s="477">
        <f t="shared" si="13"/>
        <v>801.20566999999983</v>
      </c>
      <c r="EY23" s="301">
        <f t="shared" si="56"/>
        <v>-317.54949518033186</v>
      </c>
      <c r="EZ23" s="162"/>
      <c r="FA23" s="163"/>
      <c r="FC23" s="163"/>
    </row>
    <row r="24" spans="1:170" s="257" customFormat="1" ht="25.5" customHeight="1">
      <c r="A24" s="346">
        <v>11</v>
      </c>
      <c r="B24" s="343" t="s">
        <v>299</v>
      </c>
      <c r="C24" s="322">
        <f t="shared" si="14"/>
        <v>6402.951</v>
      </c>
      <c r="D24" s="300">
        <f t="shared" si="0"/>
        <v>2275.2057299999997</v>
      </c>
      <c r="E24" s="308">
        <f t="shared" si="1"/>
        <v>35.533705161885507</v>
      </c>
      <c r="F24" s="302">
        <f t="shared" si="15"/>
        <v>1189.78</v>
      </c>
      <c r="G24" s="321">
        <f t="shared" si="3"/>
        <v>457.59772999999996</v>
      </c>
      <c r="H24" s="308">
        <f t="shared" si="16"/>
        <v>38.460701138025513</v>
      </c>
      <c r="I24" s="315">
        <f>Чум!C6</f>
        <v>102</v>
      </c>
      <c r="J24" s="450">
        <f>Чум!D6</f>
        <v>37.648789999999998</v>
      </c>
      <c r="K24" s="308">
        <f t="shared" si="17"/>
        <v>36.910578431372549</v>
      </c>
      <c r="L24" s="308">
        <f>Чум!C8</f>
        <v>132.82</v>
      </c>
      <c r="M24" s="308">
        <f>Чум!D8</f>
        <v>83.491969999999995</v>
      </c>
      <c r="N24" s="308">
        <f t="shared" si="18"/>
        <v>62.860992320433674</v>
      </c>
      <c r="O24" s="308">
        <f>Чум!C9</f>
        <v>1.42</v>
      </c>
      <c r="P24" s="308">
        <f>Чум!D9</f>
        <v>0.62894000000000005</v>
      </c>
      <c r="Q24" s="308">
        <f t="shared" si="19"/>
        <v>44.291549295774651</v>
      </c>
      <c r="R24" s="308">
        <f>Чум!C10</f>
        <v>221.84</v>
      </c>
      <c r="S24" s="308">
        <f>Чум!D10</f>
        <v>116.0963</v>
      </c>
      <c r="T24" s="308">
        <f t="shared" si="20"/>
        <v>52.333348359177791</v>
      </c>
      <c r="U24" s="308">
        <f>Чум!C11</f>
        <v>0</v>
      </c>
      <c r="V24" s="319">
        <f>Чум!D11</f>
        <v>-15.584339999999999</v>
      </c>
      <c r="W24" s="308" t="e">
        <f t="shared" si="21"/>
        <v>#DIV/0!</v>
      </c>
      <c r="X24" s="315">
        <f>Чум!C13</f>
        <v>40</v>
      </c>
      <c r="Y24" s="315">
        <f>Чум!D13</f>
        <v>104.08271000000001</v>
      </c>
      <c r="Z24" s="308">
        <f t="shared" si="22"/>
        <v>260.20677500000005</v>
      </c>
      <c r="AA24" s="315">
        <f>Чум!C15</f>
        <v>91</v>
      </c>
      <c r="AB24" s="307">
        <f>Чум!D15</f>
        <v>7.8003299999999998</v>
      </c>
      <c r="AC24" s="308">
        <f t="shared" si="23"/>
        <v>8.5717912087912094</v>
      </c>
      <c r="AD24" s="315">
        <f>Чум!C16</f>
        <v>460</v>
      </c>
      <c r="AE24" s="315">
        <f>Чум!D16</f>
        <v>49.791049999999998</v>
      </c>
      <c r="AF24" s="308">
        <f t="shared" si="4"/>
        <v>10.824141304347826</v>
      </c>
      <c r="AG24" s="308">
        <f>Чум!C18</f>
        <v>5</v>
      </c>
      <c r="AH24" s="308">
        <f>Чум!D18</f>
        <v>2.9</v>
      </c>
      <c r="AI24" s="308">
        <f t="shared" si="24"/>
        <v>57.999999999999993</v>
      </c>
      <c r="AJ24" s="308">
        <f>Чум!C22</f>
        <v>0</v>
      </c>
      <c r="AK24" s="308">
        <f>Чум!D20</f>
        <v>0</v>
      </c>
      <c r="AL24" s="308" t="e">
        <f>AK24/AJ24*100</f>
        <v>#DIV/0!</v>
      </c>
      <c r="AM24" s="315">
        <v>0</v>
      </c>
      <c r="AN24" s="315"/>
      <c r="AO24" s="308" t="e">
        <f t="shared" si="6"/>
        <v>#DIV/0!</v>
      </c>
      <c r="AP24" s="315">
        <f>Чум!C27</f>
        <v>85.7</v>
      </c>
      <c r="AQ24" s="316">
        <f>Чум!D27</f>
        <v>49.473799999999997</v>
      </c>
      <c r="AR24" s="308">
        <f t="shared" si="25"/>
        <v>57.729054842473737</v>
      </c>
      <c r="AS24" s="315">
        <f>Чум!C28</f>
        <v>0</v>
      </c>
      <c r="AT24" s="316">
        <f>Чум!D28</f>
        <v>0</v>
      </c>
      <c r="AU24" s="308" t="e">
        <f t="shared" si="26"/>
        <v>#DIV/0!</v>
      </c>
      <c r="AV24" s="315"/>
      <c r="AW24" s="315"/>
      <c r="AX24" s="308" t="e">
        <f t="shared" si="27"/>
        <v>#DIV/0!</v>
      </c>
      <c r="AY24" s="308">
        <f>Чум!C30</f>
        <v>50</v>
      </c>
      <c r="AZ24" s="311">
        <f>Чум!D30</f>
        <v>21.268180000000001</v>
      </c>
      <c r="BA24" s="308">
        <f t="shared" si="28"/>
        <v>42.536360000000002</v>
      </c>
      <c r="BB24" s="308"/>
      <c r="BC24" s="308"/>
      <c r="BD24" s="308"/>
      <c r="BE24" s="308">
        <f>Чум!C33</f>
        <v>0</v>
      </c>
      <c r="BF24" s="308">
        <f>Чум!D33</f>
        <v>0</v>
      </c>
      <c r="BG24" s="308" t="e">
        <f t="shared" si="29"/>
        <v>#DIV/0!</v>
      </c>
      <c r="BH24" s="308"/>
      <c r="BI24" s="308"/>
      <c r="BJ24" s="308" t="e">
        <f t="shared" si="30"/>
        <v>#DIV/0!</v>
      </c>
      <c r="BK24" s="308"/>
      <c r="BL24" s="308"/>
      <c r="BM24" s="308"/>
      <c r="BN24" s="308"/>
      <c r="BO24" s="308">
        <f>Чум!D34</f>
        <v>0</v>
      </c>
      <c r="BP24" s="482" t="e">
        <f t="shared" si="31"/>
        <v>#DIV/0!</v>
      </c>
      <c r="BQ24" s="308">
        <f>Чум!C37</f>
        <v>0</v>
      </c>
      <c r="BR24" s="308">
        <f>Чум!D37</f>
        <v>0</v>
      </c>
      <c r="BS24" s="308" t="e">
        <f t="shared" si="32"/>
        <v>#DIV/0!</v>
      </c>
      <c r="BT24" s="308"/>
      <c r="BU24" s="308"/>
      <c r="BV24" s="317" t="e">
        <f t="shared" si="33"/>
        <v>#DIV/0!</v>
      </c>
      <c r="BW24" s="317"/>
      <c r="BX24" s="317"/>
      <c r="BY24" s="317" t="e">
        <f t="shared" si="34"/>
        <v>#DIV/0!</v>
      </c>
      <c r="BZ24" s="315">
        <f t="shared" si="35"/>
        <v>5213.1710000000003</v>
      </c>
      <c r="CA24" s="315">
        <f t="shared" si="36"/>
        <v>1817.6079999999997</v>
      </c>
      <c r="CB24" s="308">
        <f t="shared" si="55"/>
        <v>34.865689232139125</v>
      </c>
      <c r="CC24" s="308">
        <f>Чум!C42</f>
        <v>3247.3</v>
      </c>
      <c r="CD24" s="308">
        <f>Чум!D42</f>
        <v>1623.6659999999999</v>
      </c>
      <c r="CE24" s="308">
        <f t="shared" si="37"/>
        <v>50.000492717026447</v>
      </c>
      <c r="CF24" s="308">
        <f>Чум!C43</f>
        <v>0</v>
      </c>
      <c r="CG24" s="461">
        <f>Чум!D43</f>
        <v>0</v>
      </c>
      <c r="CH24" s="308" t="e">
        <f t="shared" si="38"/>
        <v>#DIV/0!</v>
      </c>
      <c r="CI24" s="308">
        <f>Чум!C44</f>
        <v>681.78800000000001</v>
      </c>
      <c r="CJ24" s="308">
        <f>Чум!D44</f>
        <v>109.358</v>
      </c>
      <c r="CK24" s="308">
        <f t="shared" si="7"/>
        <v>16.039883365503645</v>
      </c>
      <c r="CL24" s="308">
        <f>Чум!C45</f>
        <v>103.383</v>
      </c>
      <c r="CM24" s="308">
        <f>Чум!D45</f>
        <v>51.764000000000003</v>
      </c>
      <c r="CN24" s="308">
        <f t="shared" si="8"/>
        <v>50.07012758383874</v>
      </c>
      <c r="CO24" s="308">
        <f>Чум!C46</f>
        <v>1180.7</v>
      </c>
      <c r="CP24" s="308">
        <f>Чум!D46</f>
        <v>32.82</v>
      </c>
      <c r="CQ24" s="301">
        <f t="shared" si="39"/>
        <v>2.7797069535021599</v>
      </c>
      <c r="CR24" s="319">
        <f>Чум!C50</f>
        <v>0</v>
      </c>
      <c r="CS24" s="308">
        <f>Чум!D50</f>
        <v>0</v>
      </c>
      <c r="CT24" s="308" t="e">
        <f t="shared" si="9"/>
        <v>#DIV/0!</v>
      </c>
      <c r="CU24" s="308"/>
      <c r="CV24" s="308"/>
      <c r="CW24" s="308"/>
      <c r="CX24" s="315"/>
      <c r="CY24" s="315"/>
      <c r="CZ24" s="308" t="e">
        <f t="shared" si="40"/>
        <v>#DIV/0!</v>
      </c>
      <c r="DA24" s="308"/>
      <c r="DB24" s="308"/>
      <c r="DC24" s="308"/>
      <c r="DD24" s="308"/>
      <c r="DE24" s="308"/>
      <c r="DF24" s="308"/>
      <c r="DG24" s="310">
        <f t="shared" si="41"/>
        <v>6432.8615499999996</v>
      </c>
      <c r="DH24" s="310">
        <f t="shared" si="41"/>
        <v>2029.25405</v>
      </c>
      <c r="DI24" s="308">
        <f t="shared" si="42"/>
        <v>31.545122403574815</v>
      </c>
      <c r="DJ24" s="315">
        <f t="shared" si="43"/>
        <v>1612.7459999999999</v>
      </c>
      <c r="DK24" s="315">
        <f t="shared" si="43"/>
        <v>759.52066000000002</v>
      </c>
      <c r="DL24" s="308">
        <f t="shared" si="44"/>
        <v>47.094871728096059</v>
      </c>
      <c r="DM24" s="308">
        <f>Чум!C58</f>
        <v>1489.3</v>
      </c>
      <c r="DN24" s="308">
        <f>Чум!D58</f>
        <v>753.52066000000002</v>
      </c>
      <c r="DO24" s="308">
        <f t="shared" si="45"/>
        <v>50.595626133082661</v>
      </c>
      <c r="DP24" s="308">
        <f>Чум!C61</f>
        <v>10.26</v>
      </c>
      <c r="DQ24" s="308">
        <f>Чум!D61</f>
        <v>0</v>
      </c>
      <c r="DR24" s="308">
        <f t="shared" si="46"/>
        <v>0</v>
      </c>
      <c r="DS24" s="308">
        <f>Чум!C62</f>
        <v>100</v>
      </c>
      <c r="DT24" s="308">
        <f>Чум!D62</f>
        <v>0</v>
      </c>
      <c r="DU24" s="308">
        <f t="shared" si="47"/>
        <v>0</v>
      </c>
      <c r="DV24" s="308">
        <f>Чум!C63</f>
        <v>13.186</v>
      </c>
      <c r="DW24" s="308">
        <f>Чум!D63</f>
        <v>6</v>
      </c>
      <c r="DX24" s="308">
        <f t="shared" si="48"/>
        <v>45.502806006370392</v>
      </c>
      <c r="DY24" s="308">
        <f>Чум!C65</f>
        <v>103.383</v>
      </c>
      <c r="DZ24" s="308">
        <f>Чум!D65</f>
        <v>41.976129999999998</v>
      </c>
      <c r="EA24" s="308">
        <f t="shared" si="49"/>
        <v>40.602545873112597</v>
      </c>
      <c r="EB24" s="308">
        <f>Чум!C66</f>
        <v>15</v>
      </c>
      <c r="EC24" s="308">
        <f>Чум!D66</f>
        <v>4.0114799999999997</v>
      </c>
      <c r="ED24" s="308">
        <f t="shared" si="50"/>
        <v>26.743200000000002</v>
      </c>
      <c r="EE24" s="315">
        <f>Чум!C72</f>
        <v>1213.47855</v>
      </c>
      <c r="EF24" s="315">
        <f>Чум!D72</f>
        <v>132.50900000000001</v>
      </c>
      <c r="EG24" s="308">
        <f t="shared" si="51"/>
        <v>10.919764506756218</v>
      </c>
      <c r="EH24" s="315">
        <f>Чум!C77</f>
        <v>2431.3539999999998</v>
      </c>
      <c r="EI24" s="315">
        <f>Чум!D77</f>
        <v>568.42178000000001</v>
      </c>
      <c r="EJ24" s="308">
        <f t="shared" si="52"/>
        <v>23.378816083548511</v>
      </c>
      <c r="EK24" s="315">
        <f>Чум!C81</f>
        <v>1026.9000000000001</v>
      </c>
      <c r="EL24" s="320">
        <f>Чум!D81</f>
        <v>513.45000000000005</v>
      </c>
      <c r="EM24" s="308">
        <f t="shared" si="10"/>
        <v>50</v>
      </c>
      <c r="EN24" s="308">
        <f>Чум!C83</f>
        <v>0</v>
      </c>
      <c r="EO24" s="308">
        <f>Чум!D83</f>
        <v>0</v>
      </c>
      <c r="EP24" s="308" t="e">
        <f t="shared" si="11"/>
        <v>#DIV/0!</v>
      </c>
      <c r="EQ24" s="321">
        <f>Чум!C88</f>
        <v>30</v>
      </c>
      <c r="ER24" s="321">
        <f>Чум!D88</f>
        <v>9.3650000000000002</v>
      </c>
      <c r="ES24" s="308">
        <f t="shared" si="53"/>
        <v>31.216666666666665</v>
      </c>
      <c r="ET24" s="308">
        <f>Чум!C94</f>
        <v>0</v>
      </c>
      <c r="EU24" s="308">
        <f>Чум!D94</f>
        <v>0</v>
      </c>
      <c r="EV24" s="308" t="e">
        <f t="shared" si="54"/>
        <v>#DIV/0!</v>
      </c>
      <c r="EW24" s="479">
        <f t="shared" si="12"/>
        <v>-29.910549999999603</v>
      </c>
      <c r="EX24" s="479">
        <f t="shared" si="13"/>
        <v>245.95167999999967</v>
      </c>
      <c r="EY24" s="308">
        <f t="shared" si="56"/>
        <v>-822.29073019387113</v>
      </c>
      <c r="EZ24" s="255"/>
      <c r="FA24" s="256"/>
      <c r="FC24" s="256"/>
    </row>
    <row r="25" spans="1:170" s="172" customFormat="1" ht="22.5" customHeight="1">
      <c r="A25" s="344">
        <v>12</v>
      </c>
      <c r="B25" s="345" t="s">
        <v>300</v>
      </c>
      <c r="C25" s="324">
        <f t="shared" si="14"/>
        <v>5944.7797999999993</v>
      </c>
      <c r="D25" s="325">
        <f t="shared" si="0"/>
        <v>2423.54547</v>
      </c>
      <c r="E25" s="311">
        <f t="shared" si="1"/>
        <v>40.767623890795754</v>
      </c>
      <c r="F25" s="302">
        <f t="shared" si="15"/>
        <v>952.07</v>
      </c>
      <c r="G25" s="326">
        <f t="shared" si="3"/>
        <v>402.55367000000001</v>
      </c>
      <c r="H25" s="311">
        <f t="shared" si="16"/>
        <v>42.281940403541753</v>
      </c>
      <c r="I25" s="310">
        <f>Шать!C6</f>
        <v>59.1</v>
      </c>
      <c r="J25" s="450">
        <f>Шать!D6</f>
        <v>23.829080000000001</v>
      </c>
      <c r="K25" s="311">
        <f t="shared" si="17"/>
        <v>40.319932318104904</v>
      </c>
      <c r="L25" s="311">
        <f>Шать!C8</f>
        <v>136.51</v>
      </c>
      <c r="M25" s="311">
        <f>Шать!D8</f>
        <v>85.811189999999996</v>
      </c>
      <c r="N25" s="311">
        <f t="shared" si="18"/>
        <v>62.860735477254416</v>
      </c>
      <c r="O25" s="311">
        <f>Шать!C9</f>
        <v>1.46</v>
      </c>
      <c r="P25" s="311">
        <f>Шать!D9</f>
        <v>0.64641999999999999</v>
      </c>
      <c r="Q25" s="311">
        <f t="shared" si="19"/>
        <v>44.275342465753425</v>
      </c>
      <c r="R25" s="311">
        <f>Шать!C10</f>
        <v>228</v>
      </c>
      <c r="S25" s="311">
        <f>Шать!D10</f>
        <v>119.3212</v>
      </c>
      <c r="T25" s="311">
        <f t="shared" si="20"/>
        <v>52.333859649122807</v>
      </c>
      <c r="U25" s="311">
        <f>Шать!C11</f>
        <v>0</v>
      </c>
      <c r="V25" s="327">
        <f>Шать!D11</f>
        <v>-16.017250000000001</v>
      </c>
      <c r="W25" s="311" t="e">
        <f t="shared" si="21"/>
        <v>#DIV/0!</v>
      </c>
      <c r="X25" s="310">
        <f>Шать!C13</f>
        <v>10</v>
      </c>
      <c r="Y25" s="310">
        <f>Шать!D13</f>
        <v>15.504</v>
      </c>
      <c r="Z25" s="311">
        <f t="shared" si="22"/>
        <v>155.04</v>
      </c>
      <c r="AA25" s="310">
        <f>Шать!C15</f>
        <v>75</v>
      </c>
      <c r="AB25" s="307">
        <f>Шать!D15</f>
        <v>7.5755600000000003</v>
      </c>
      <c r="AC25" s="311">
        <f t="shared" si="23"/>
        <v>10.100746666666668</v>
      </c>
      <c r="AD25" s="310">
        <f>Шать!C16</f>
        <v>273</v>
      </c>
      <c r="AE25" s="310">
        <f>Шать!D16</f>
        <v>43.322800000000001</v>
      </c>
      <c r="AF25" s="311">
        <f t="shared" si="4"/>
        <v>15.869157509157509</v>
      </c>
      <c r="AG25" s="311">
        <f>Шать!C18</f>
        <v>3</v>
      </c>
      <c r="AH25" s="311">
        <f>Шать!D18</f>
        <v>0.8</v>
      </c>
      <c r="AI25" s="311">
        <f t="shared" si="24"/>
        <v>26.666666666666668</v>
      </c>
      <c r="AJ25" s="311"/>
      <c r="AK25" s="311"/>
      <c r="AL25" s="311" t="e">
        <f>AJ25/AK25*100</f>
        <v>#DIV/0!</v>
      </c>
      <c r="AM25" s="310">
        <v>0</v>
      </c>
      <c r="AN25" s="310">
        <f>0</f>
        <v>0</v>
      </c>
      <c r="AO25" s="311" t="e">
        <f t="shared" si="6"/>
        <v>#DIV/0!</v>
      </c>
      <c r="AP25" s="310">
        <f>Шать!C27</f>
        <v>140</v>
      </c>
      <c r="AQ25" s="316">
        <f>Шать!D27</f>
        <v>94.7928</v>
      </c>
      <c r="AR25" s="311">
        <f t="shared" si="25"/>
        <v>67.709142857142851</v>
      </c>
      <c r="AS25" s="310">
        <f>Шать!C28</f>
        <v>26</v>
      </c>
      <c r="AT25" s="307">
        <f>Шать!D28</f>
        <v>13.005599999999999</v>
      </c>
      <c r="AU25" s="311">
        <f t="shared" si="26"/>
        <v>50.021538461538462</v>
      </c>
      <c r="AV25" s="310"/>
      <c r="AW25" s="310"/>
      <c r="AX25" s="311" t="e">
        <f t="shared" si="27"/>
        <v>#DIV/0!</v>
      </c>
      <c r="AY25" s="311">
        <f>Шать!C29</f>
        <v>0</v>
      </c>
      <c r="AZ25" s="311">
        <f>Шать!D29</f>
        <v>13.96227</v>
      </c>
      <c r="BA25" s="311" t="e">
        <f t="shared" si="28"/>
        <v>#DIV/0!</v>
      </c>
      <c r="BB25" s="311"/>
      <c r="BC25" s="311"/>
      <c r="BD25" s="311"/>
      <c r="BE25" s="311">
        <f>Шать!C33</f>
        <v>0</v>
      </c>
      <c r="BF25" s="311">
        <f>Шать!D33</f>
        <v>0</v>
      </c>
      <c r="BG25" s="311" t="e">
        <f t="shared" si="29"/>
        <v>#DIV/0!</v>
      </c>
      <c r="BH25" s="311"/>
      <c r="BI25" s="311"/>
      <c r="BJ25" s="311" t="e">
        <f t="shared" si="30"/>
        <v>#DIV/0!</v>
      </c>
      <c r="BK25" s="311"/>
      <c r="BL25" s="311"/>
      <c r="BM25" s="311"/>
      <c r="BN25" s="311">
        <f>Шать!C34</f>
        <v>0</v>
      </c>
      <c r="BO25" s="311">
        <f>Шать!D34</f>
        <v>0</v>
      </c>
      <c r="BP25" s="482" t="e">
        <f t="shared" si="31"/>
        <v>#DIV/0!</v>
      </c>
      <c r="BQ25" s="311">
        <f>Шать!C37</f>
        <v>0</v>
      </c>
      <c r="BR25" s="311">
        <v>0</v>
      </c>
      <c r="BS25" s="311" t="e">
        <f t="shared" si="32"/>
        <v>#DIV/0!</v>
      </c>
      <c r="BT25" s="311"/>
      <c r="BU25" s="311"/>
      <c r="BV25" s="328" t="e">
        <f t="shared" si="33"/>
        <v>#DIV/0!</v>
      </c>
      <c r="BW25" s="328"/>
      <c r="BX25" s="328"/>
      <c r="BY25" s="328" t="e">
        <f t="shared" si="34"/>
        <v>#DIV/0!</v>
      </c>
      <c r="BZ25" s="310">
        <f t="shared" si="35"/>
        <v>4992.7097999999996</v>
      </c>
      <c r="CA25" s="306">
        <f t="shared" si="36"/>
        <v>2020.9918</v>
      </c>
      <c r="CB25" s="311">
        <f t="shared" si="55"/>
        <v>40.478855790897363</v>
      </c>
      <c r="CC25" s="311">
        <f>Шать!C42</f>
        <v>2122.1999999999998</v>
      </c>
      <c r="CD25" s="311">
        <f>Шать!D42</f>
        <v>1061.106</v>
      </c>
      <c r="CE25" s="311">
        <f t="shared" si="37"/>
        <v>50.000282725473568</v>
      </c>
      <c r="CF25" s="311">
        <f>Шать!C43</f>
        <v>0</v>
      </c>
      <c r="CG25" s="462">
        <f>Шать!D43</f>
        <v>0</v>
      </c>
      <c r="CH25" s="311" t="e">
        <f t="shared" si="38"/>
        <v>#DIV/0!</v>
      </c>
      <c r="CI25" s="311">
        <f>Шать!C44</f>
        <v>1615.279</v>
      </c>
      <c r="CJ25" s="311">
        <f>Шать!D44</f>
        <v>606.27700000000004</v>
      </c>
      <c r="CK25" s="311">
        <f t="shared" si="7"/>
        <v>37.533887334633839</v>
      </c>
      <c r="CL25" s="311">
        <f>Шать!C45</f>
        <v>103.383</v>
      </c>
      <c r="CM25" s="311">
        <f>Шать!D45</f>
        <v>51.764000000000003</v>
      </c>
      <c r="CN25" s="311">
        <f t="shared" si="8"/>
        <v>50.07012758383874</v>
      </c>
      <c r="CO25" s="311">
        <f>Шать!C46</f>
        <v>963.34900000000005</v>
      </c>
      <c r="CP25" s="311">
        <f>Шать!D46</f>
        <v>113.346</v>
      </c>
      <c r="CQ25" s="301">
        <f t="shared" si="39"/>
        <v>11.765829413846902</v>
      </c>
      <c r="CR25" s="327">
        <f>Шать!C50</f>
        <v>188.49879999999999</v>
      </c>
      <c r="CS25" s="311">
        <f>Шать!D50</f>
        <v>188.49879999999999</v>
      </c>
      <c r="CT25" s="311">
        <f t="shared" si="9"/>
        <v>100</v>
      </c>
      <c r="CU25" s="311"/>
      <c r="CV25" s="311"/>
      <c r="CW25" s="311"/>
      <c r="CX25" s="310"/>
      <c r="CY25" s="310"/>
      <c r="CZ25" s="311" t="e">
        <f t="shared" si="40"/>
        <v>#DIV/0!</v>
      </c>
      <c r="DA25" s="311"/>
      <c r="DB25" s="311"/>
      <c r="DC25" s="311"/>
      <c r="DD25" s="311"/>
      <c r="DE25" s="311"/>
      <c r="DF25" s="311"/>
      <c r="DG25" s="310">
        <f t="shared" si="41"/>
        <v>5998.9499100000003</v>
      </c>
      <c r="DH25" s="310">
        <f t="shared" si="41"/>
        <v>2551.9561100000001</v>
      </c>
      <c r="DI25" s="311">
        <f>DH25/DG25*100</f>
        <v>42.540046979655479</v>
      </c>
      <c r="DJ25" s="310">
        <f t="shared" si="43"/>
        <v>1337.432</v>
      </c>
      <c r="DK25" s="310">
        <f t="shared" si="43"/>
        <v>633.06551999999999</v>
      </c>
      <c r="DL25" s="311">
        <f t="shared" si="44"/>
        <v>47.334408029716649</v>
      </c>
      <c r="DM25" s="311">
        <f>Шать!C58</f>
        <v>1253.9000000000001</v>
      </c>
      <c r="DN25" s="311">
        <f>Шать!D58</f>
        <v>622.06551999999999</v>
      </c>
      <c r="DO25" s="311">
        <f t="shared" si="45"/>
        <v>49.610456974240364</v>
      </c>
      <c r="DP25" s="311">
        <f>Шать!C61</f>
        <v>0</v>
      </c>
      <c r="DQ25" s="311">
        <f>Шать!D61</f>
        <v>0</v>
      </c>
      <c r="DR25" s="311" t="e">
        <f t="shared" si="46"/>
        <v>#DIV/0!</v>
      </c>
      <c r="DS25" s="311">
        <f>Шать!C62</f>
        <v>50</v>
      </c>
      <c r="DT25" s="311">
        <f>Шать!D62</f>
        <v>0</v>
      </c>
      <c r="DU25" s="311">
        <f t="shared" si="47"/>
        <v>0</v>
      </c>
      <c r="DV25" s="311">
        <f>Шать!C63</f>
        <v>33.531999999999996</v>
      </c>
      <c r="DW25" s="311">
        <f>Шать!D63</f>
        <v>11</v>
      </c>
      <c r="DX25" s="311">
        <f t="shared" si="48"/>
        <v>32.804485267803891</v>
      </c>
      <c r="DY25" s="311">
        <f>Шать!C65</f>
        <v>103.383</v>
      </c>
      <c r="DZ25" s="311">
        <f>Шать!D65</f>
        <v>48.23762</v>
      </c>
      <c r="EA25" s="311">
        <f t="shared" si="49"/>
        <v>46.659141251463012</v>
      </c>
      <c r="EB25" s="311">
        <f>Шать!C66</f>
        <v>15</v>
      </c>
      <c r="EC25" s="311">
        <f>Шать!D66</f>
        <v>2.81148</v>
      </c>
      <c r="ED25" s="311">
        <f t="shared" si="50"/>
        <v>18.743199999999998</v>
      </c>
      <c r="EE25" s="310">
        <f>Шать!C72</f>
        <v>3260.7719099999999</v>
      </c>
      <c r="EF25" s="310">
        <f>Шать!D72</f>
        <v>1309.7892899999999</v>
      </c>
      <c r="EG25" s="311">
        <f t="shared" si="51"/>
        <v>40.168074497427817</v>
      </c>
      <c r="EH25" s="310">
        <f>Шать!C77</f>
        <v>435.363</v>
      </c>
      <c r="EI25" s="310">
        <f>Шать!D77</f>
        <v>131.04519999999999</v>
      </c>
      <c r="EJ25" s="311">
        <f t="shared" si="52"/>
        <v>30.100215222699216</v>
      </c>
      <c r="EK25" s="310">
        <f>Шать!C81</f>
        <v>837</v>
      </c>
      <c r="EL25" s="329">
        <f>Шать!D81</f>
        <v>420</v>
      </c>
      <c r="EM25" s="311">
        <f t="shared" si="10"/>
        <v>50.179211469534046</v>
      </c>
      <c r="EN25" s="311">
        <f>Шать!C83</f>
        <v>0</v>
      </c>
      <c r="EO25" s="311">
        <f>Шать!D83</f>
        <v>0</v>
      </c>
      <c r="EP25" s="311" t="e">
        <f t="shared" si="11"/>
        <v>#DIV/0!</v>
      </c>
      <c r="EQ25" s="326">
        <f>Шать!C88</f>
        <v>10</v>
      </c>
      <c r="ER25" s="326">
        <f>Шать!D88</f>
        <v>7.0069999999999997</v>
      </c>
      <c r="ES25" s="311">
        <f t="shared" si="53"/>
        <v>70.069999999999993</v>
      </c>
      <c r="ET25" s="311">
        <f>Шать!C94</f>
        <v>0</v>
      </c>
      <c r="EU25" s="311">
        <f>Шать!D94</f>
        <v>0</v>
      </c>
      <c r="EV25" s="311" t="e">
        <f t="shared" si="54"/>
        <v>#DIV/0!</v>
      </c>
      <c r="EW25" s="478">
        <f t="shared" si="12"/>
        <v>-54.170110000000932</v>
      </c>
      <c r="EX25" s="478">
        <f t="shared" si="13"/>
        <v>-128.41064000000006</v>
      </c>
      <c r="EY25" s="311">
        <f t="shared" si="56"/>
        <v>237.05072779065398</v>
      </c>
      <c r="EZ25" s="170"/>
      <c r="FA25" s="171"/>
      <c r="FC25" s="171"/>
    </row>
    <row r="26" spans="1:170" s="257" customFormat="1" ht="24.75" customHeight="1">
      <c r="A26" s="347">
        <v>13</v>
      </c>
      <c r="B26" s="343" t="s">
        <v>301</v>
      </c>
      <c r="C26" s="322">
        <f t="shared" si="14"/>
        <v>8647.134</v>
      </c>
      <c r="D26" s="300">
        <f t="shared" si="0"/>
        <v>2128.75947</v>
      </c>
      <c r="E26" s="308">
        <f t="shared" si="1"/>
        <v>24.618092769234291</v>
      </c>
      <c r="F26" s="302">
        <f t="shared" si="15"/>
        <v>3397.4</v>
      </c>
      <c r="G26" s="321">
        <f t="shared" si="3"/>
        <v>903.15483999999992</v>
      </c>
      <c r="H26" s="308">
        <f t="shared" si="16"/>
        <v>26.583706363689881</v>
      </c>
      <c r="I26" s="315">
        <f>Юнг!C6</f>
        <v>126.9</v>
      </c>
      <c r="J26" s="450">
        <f>Юнг!D6</f>
        <v>56.994340000000001</v>
      </c>
      <c r="K26" s="308">
        <f t="shared" si="17"/>
        <v>44.912797478329395</v>
      </c>
      <c r="L26" s="308">
        <f>Юнг!C8</f>
        <v>220.44</v>
      </c>
      <c r="M26" s="308">
        <f>Юнг!D8</f>
        <v>138.57346999999999</v>
      </c>
      <c r="N26" s="308">
        <f t="shared" si="18"/>
        <v>62.86221647613862</v>
      </c>
      <c r="O26" s="308">
        <f>Юнг!C9</f>
        <v>2.36</v>
      </c>
      <c r="P26" s="308">
        <f>Юнг!D9</f>
        <v>1.0438700000000001</v>
      </c>
      <c r="Q26" s="308">
        <f t="shared" si="19"/>
        <v>44.231779661016958</v>
      </c>
      <c r="R26" s="308">
        <f>Юнг!C10</f>
        <v>368.2</v>
      </c>
      <c r="S26" s="308">
        <f>Юнг!D10</f>
        <v>192.68761000000001</v>
      </c>
      <c r="T26" s="308">
        <f t="shared" si="20"/>
        <v>52.332322107550247</v>
      </c>
      <c r="U26" s="308">
        <f>Юнг!C11</f>
        <v>0</v>
      </c>
      <c r="V26" s="319">
        <f>Юнг!D11</f>
        <v>-25.865690000000001</v>
      </c>
      <c r="W26" s="308" t="e">
        <f t="shared" si="21"/>
        <v>#DIV/0!</v>
      </c>
      <c r="X26" s="315">
        <f>Юнг!C13</f>
        <v>50</v>
      </c>
      <c r="Y26" s="315">
        <f>Юнг!D13</f>
        <v>54.3675</v>
      </c>
      <c r="Z26" s="308">
        <f t="shared" si="22"/>
        <v>108.735</v>
      </c>
      <c r="AA26" s="315">
        <f>Юнг!C15</f>
        <v>240</v>
      </c>
      <c r="AB26" s="307">
        <f>Юнг!D15</f>
        <v>13.036849999999999</v>
      </c>
      <c r="AC26" s="308">
        <f t="shared" si="23"/>
        <v>5.4320208333333326</v>
      </c>
      <c r="AD26" s="315">
        <f>Юнг!C16</f>
        <v>1850</v>
      </c>
      <c r="AE26" s="315">
        <f>Юнг!D16</f>
        <v>296.53235000000001</v>
      </c>
      <c r="AF26" s="308">
        <f t="shared" si="4"/>
        <v>16.028775675675679</v>
      </c>
      <c r="AG26" s="308">
        <f>Юнг!C18</f>
        <v>10</v>
      </c>
      <c r="AH26" s="308">
        <f>Юнг!D18</f>
        <v>1.65</v>
      </c>
      <c r="AI26" s="308">
        <f t="shared" si="24"/>
        <v>16.499999999999996</v>
      </c>
      <c r="AJ26" s="308"/>
      <c r="AK26" s="308"/>
      <c r="AL26" s="308" t="e">
        <f>AJ26/AK26*100</f>
        <v>#DIV/0!</v>
      </c>
      <c r="AM26" s="315">
        <v>0</v>
      </c>
      <c r="AN26" s="315"/>
      <c r="AO26" s="308" t="e">
        <f t="shared" si="6"/>
        <v>#DIV/0!</v>
      </c>
      <c r="AP26" s="315">
        <f>Юнг!C27</f>
        <v>420</v>
      </c>
      <c r="AQ26" s="316">
        <f>Юнг!D27</f>
        <v>130.82786999999999</v>
      </c>
      <c r="AR26" s="308">
        <f t="shared" si="25"/>
        <v>31.149492857142857</v>
      </c>
      <c r="AS26" s="315">
        <f>Юнг!C28</f>
        <v>79.5</v>
      </c>
      <c r="AT26" s="316">
        <f>Юнг!D28</f>
        <v>19.03848</v>
      </c>
      <c r="AU26" s="308">
        <f t="shared" si="26"/>
        <v>23.947773584905661</v>
      </c>
      <c r="AV26" s="315"/>
      <c r="AW26" s="315"/>
      <c r="AX26" s="308" t="e">
        <f t="shared" si="27"/>
        <v>#DIV/0!</v>
      </c>
      <c r="AY26" s="308">
        <f>Юнг!C30</f>
        <v>30</v>
      </c>
      <c r="AZ26" s="311">
        <f>Юнг!D30</f>
        <v>14.03819</v>
      </c>
      <c r="BA26" s="308">
        <f t="shared" si="28"/>
        <v>46.79396666666667</v>
      </c>
      <c r="BB26" s="308"/>
      <c r="BC26" s="308"/>
      <c r="BD26" s="308"/>
      <c r="BE26" s="308">
        <f>Юнг!C33</f>
        <v>0</v>
      </c>
      <c r="BF26" s="308">
        <f>Юнг!D31</f>
        <v>10.23</v>
      </c>
      <c r="BG26" s="308" t="e">
        <f t="shared" si="29"/>
        <v>#DIV/0!</v>
      </c>
      <c r="BH26" s="308"/>
      <c r="BI26" s="308"/>
      <c r="BJ26" s="308" t="e">
        <f t="shared" si="30"/>
        <v>#DIV/0!</v>
      </c>
      <c r="BK26" s="308"/>
      <c r="BL26" s="308"/>
      <c r="BM26" s="308"/>
      <c r="BN26" s="308">
        <f>Юнг!C34</f>
        <v>0</v>
      </c>
      <c r="BO26" s="308">
        <f>Юнг!D34</f>
        <v>0</v>
      </c>
      <c r="BP26" s="482" t="e">
        <f t="shared" si="31"/>
        <v>#DIV/0!</v>
      </c>
      <c r="BQ26" s="308">
        <f>Юнг!C36</f>
        <v>0</v>
      </c>
      <c r="BR26" s="308">
        <f>Юнг!D36</f>
        <v>0</v>
      </c>
      <c r="BS26" s="308" t="e">
        <f t="shared" si="32"/>
        <v>#DIV/0!</v>
      </c>
      <c r="BT26" s="308"/>
      <c r="BU26" s="308"/>
      <c r="BV26" s="317" t="e">
        <f t="shared" si="33"/>
        <v>#DIV/0!</v>
      </c>
      <c r="BW26" s="317"/>
      <c r="BX26" s="317"/>
      <c r="BY26" s="317" t="e">
        <f t="shared" si="34"/>
        <v>#DIV/0!</v>
      </c>
      <c r="BZ26" s="315">
        <f t="shared" si="35"/>
        <v>5249.7339999999995</v>
      </c>
      <c r="CA26" s="315">
        <f t="shared" si="36"/>
        <v>1225.6046299999998</v>
      </c>
      <c r="CB26" s="308">
        <f t="shared" si="55"/>
        <v>23.346032960908115</v>
      </c>
      <c r="CC26" s="308">
        <f>Юнг!C41</f>
        <v>1697.1</v>
      </c>
      <c r="CD26" s="308">
        <f>Юнг!D41</f>
        <v>848.55600000000004</v>
      </c>
      <c r="CE26" s="308">
        <f t="shared" si="37"/>
        <v>50.000353544281431</v>
      </c>
      <c r="CF26" s="308">
        <f>Юнг!C42</f>
        <v>0</v>
      </c>
      <c r="CG26" s="461">
        <f>Юнг!D42</f>
        <v>0</v>
      </c>
      <c r="CH26" s="308" t="e">
        <f t="shared" si="38"/>
        <v>#DIV/0!</v>
      </c>
      <c r="CI26" s="308">
        <f>Юнг!C43</f>
        <v>1951.951</v>
      </c>
      <c r="CJ26" s="308">
        <f>Юнг!D43</f>
        <v>292.48399999999998</v>
      </c>
      <c r="CK26" s="308">
        <f t="shared" si="7"/>
        <v>14.984187615365343</v>
      </c>
      <c r="CL26" s="308">
        <f>Юнг!C44</f>
        <v>103.383</v>
      </c>
      <c r="CM26" s="308">
        <f>Юнг!D44</f>
        <v>51.764000000000003</v>
      </c>
      <c r="CN26" s="308">
        <f t="shared" si="8"/>
        <v>50.07012758383874</v>
      </c>
      <c r="CO26" s="308">
        <f>Юнг!C45</f>
        <v>1304.7</v>
      </c>
      <c r="CP26" s="308">
        <f>Юнг!D45</f>
        <v>32.82</v>
      </c>
      <c r="CQ26" s="301">
        <f t="shared" si="39"/>
        <v>2.5155208093814672</v>
      </c>
      <c r="CR26" s="319">
        <f>Юнг!C48</f>
        <v>192.6</v>
      </c>
      <c r="CS26" s="308">
        <f>Юнг!D48</f>
        <v>0</v>
      </c>
      <c r="CT26" s="308">
        <f t="shared" si="9"/>
        <v>0</v>
      </c>
      <c r="CU26" s="308"/>
      <c r="CV26" s="308">
        <f>SUM(Юнг!D49)</f>
        <v>-1.9369999999999998E-2</v>
      </c>
      <c r="CW26" s="308"/>
      <c r="CX26" s="315"/>
      <c r="CY26" s="315"/>
      <c r="CZ26" s="308" t="e">
        <f t="shared" si="40"/>
        <v>#DIV/0!</v>
      </c>
      <c r="DA26" s="308"/>
      <c r="DB26" s="308"/>
      <c r="DC26" s="308"/>
      <c r="DD26" s="308"/>
      <c r="DE26" s="308"/>
      <c r="DF26" s="308"/>
      <c r="DG26" s="310">
        <f t="shared" si="41"/>
        <v>9234.79306</v>
      </c>
      <c r="DH26" s="310">
        <f t="shared" si="41"/>
        <v>2046.1463700000002</v>
      </c>
      <c r="DI26" s="308">
        <f t="shared" si="42"/>
        <v>22.156927141797805</v>
      </c>
      <c r="DJ26" s="315">
        <f t="shared" si="43"/>
        <v>1552.8000000000002</v>
      </c>
      <c r="DK26" s="315">
        <f t="shared" si="43"/>
        <v>668.46460000000002</v>
      </c>
      <c r="DL26" s="308">
        <f t="shared" si="44"/>
        <v>43.048982483256047</v>
      </c>
      <c r="DM26" s="308">
        <f>Юнг!C57</f>
        <v>1476.4</v>
      </c>
      <c r="DN26" s="308">
        <f>Юнг!D57</f>
        <v>657.46460000000002</v>
      </c>
      <c r="DO26" s="308">
        <f t="shared" si="45"/>
        <v>44.531603901381736</v>
      </c>
      <c r="DP26" s="308">
        <f>Юнг!C60</f>
        <v>18.399999999999999</v>
      </c>
      <c r="DQ26" s="308">
        <f>Юнг!D60</f>
        <v>0</v>
      </c>
      <c r="DR26" s="308">
        <f t="shared" si="46"/>
        <v>0</v>
      </c>
      <c r="DS26" s="308">
        <f>Юнг!C61</f>
        <v>39.476999999999997</v>
      </c>
      <c r="DT26" s="308">
        <f>Юнг!D61</f>
        <v>0</v>
      </c>
      <c r="DU26" s="308">
        <f t="shared" si="47"/>
        <v>0</v>
      </c>
      <c r="DV26" s="308">
        <f>Юнг!C62</f>
        <v>18.523</v>
      </c>
      <c r="DW26" s="308">
        <f>Юнг!D62</f>
        <v>11</v>
      </c>
      <c r="DX26" s="308">
        <f t="shared" si="48"/>
        <v>59.385628677859955</v>
      </c>
      <c r="DY26" s="308">
        <f>Юнг!C64</f>
        <v>103.383</v>
      </c>
      <c r="DZ26" s="308">
        <f>Юнг!D64</f>
        <v>14.842560000000001</v>
      </c>
      <c r="EA26" s="308">
        <f t="shared" si="49"/>
        <v>14.356867183192595</v>
      </c>
      <c r="EB26" s="308">
        <f>Юнг!C65</f>
        <v>28.5</v>
      </c>
      <c r="EC26" s="308">
        <f>Юнг!D65</f>
        <v>19.411480000000001</v>
      </c>
      <c r="ED26" s="308">
        <f t="shared" si="50"/>
        <v>68.110456140350877</v>
      </c>
      <c r="EE26" s="315">
        <f>Юнг!C71</f>
        <v>3311.8540600000001</v>
      </c>
      <c r="EF26" s="315">
        <f>Юнг!D71</f>
        <v>364.78200000000004</v>
      </c>
      <c r="EG26" s="308">
        <f t="shared" si="51"/>
        <v>11.014434615515638</v>
      </c>
      <c r="EH26" s="315">
        <f>Юнг!C76</f>
        <v>2722.7560000000003</v>
      </c>
      <c r="EI26" s="315">
        <f>Юнг!D76</f>
        <v>403.60873000000004</v>
      </c>
      <c r="EJ26" s="308">
        <f t="shared" si="52"/>
        <v>14.823536519614683</v>
      </c>
      <c r="EK26" s="315">
        <f>Юнг!C80</f>
        <v>1505.5</v>
      </c>
      <c r="EL26" s="320">
        <f>Юнг!D80</f>
        <v>570</v>
      </c>
      <c r="EM26" s="308">
        <f t="shared" si="10"/>
        <v>37.86117568913982</v>
      </c>
      <c r="EN26" s="308">
        <f>Юнг!C82</f>
        <v>0</v>
      </c>
      <c r="EO26" s="308">
        <f>Юнг!D82</f>
        <v>0</v>
      </c>
      <c r="EP26" s="308" t="e">
        <f t="shared" si="11"/>
        <v>#DIV/0!</v>
      </c>
      <c r="EQ26" s="321">
        <f>Юнг!C87</f>
        <v>10</v>
      </c>
      <c r="ER26" s="321">
        <f>Юнг!D87</f>
        <v>5.0369999999999999</v>
      </c>
      <c r="ES26" s="308">
        <f t="shared" si="53"/>
        <v>50.370000000000005</v>
      </c>
      <c r="ET26" s="308">
        <f>Юнг!C93</f>
        <v>0</v>
      </c>
      <c r="EU26" s="308">
        <f>Юнг!D93</f>
        <v>0</v>
      </c>
      <c r="EV26" s="308" t="e">
        <f t="shared" si="54"/>
        <v>#DIV/0!</v>
      </c>
      <c r="EW26" s="479">
        <f t="shared" si="12"/>
        <v>-587.65905999999995</v>
      </c>
      <c r="EX26" s="479">
        <f t="shared" si="13"/>
        <v>82.613099999999804</v>
      </c>
      <c r="EY26" s="308">
        <f t="shared" si="56"/>
        <v>-14.057998186907867</v>
      </c>
      <c r="EZ26" s="255"/>
      <c r="FA26" s="256"/>
      <c r="FC26" s="256"/>
    </row>
    <row r="27" spans="1:170" s="160" customFormat="1" ht="25.5" customHeight="1">
      <c r="A27" s="341">
        <v>14</v>
      </c>
      <c r="B27" s="343" t="s">
        <v>302</v>
      </c>
      <c r="C27" s="299">
        <f t="shared" si="14"/>
        <v>11810.064700000001</v>
      </c>
      <c r="D27" s="300">
        <f t="shared" si="0"/>
        <v>4301.08662</v>
      </c>
      <c r="E27" s="308">
        <f t="shared" si="1"/>
        <v>36.418823514150603</v>
      </c>
      <c r="F27" s="302">
        <f t="shared" si="15"/>
        <v>1196.69</v>
      </c>
      <c r="G27" s="302">
        <f t="shared" si="3"/>
        <v>612.56430000000012</v>
      </c>
      <c r="H27" s="308">
        <f t="shared" si="16"/>
        <v>51.188219171213944</v>
      </c>
      <c r="I27" s="315">
        <f>Юсь!C6</f>
        <v>155.1</v>
      </c>
      <c r="J27" s="450">
        <f>Юсь!D6</f>
        <v>95.206800000000001</v>
      </c>
      <c r="K27" s="308">
        <f t="shared" si="17"/>
        <v>61.384139264990331</v>
      </c>
      <c r="L27" s="308">
        <f>Юсь!C8</f>
        <v>200.15</v>
      </c>
      <c r="M27" s="308">
        <f>Юсь!D8</f>
        <v>125.81776000000001</v>
      </c>
      <c r="N27" s="301">
        <f t="shared" si="18"/>
        <v>62.861733699725207</v>
      </c>
      <c r="O27" s="301">
        <f>Юсь!C9</f>
        <v>2.15</v>
      </c>
      <c r="P27" s="301">
        <f>Юсь!D9</f>
        <v>0.94779000000000002</v>
      </c>
      <c r="Q27" s="301">
        <f t="shared" si="19"/>
        <v>44.083255813953492</v>
      </c>
      <c r="R27" s="301">
        <f>Юсь!C10</f>
        <v>334.29</v>
      </c>
      <c r="S27" s="301">
        <f>Юсь!D10</f>
        <v>174.95067</v>
      </c>
      <c r="T27" s="301">
        <f t="shared" si="20"/>
        <v>52.334999551287794</v>
      </c>
      <c r="U27" s="301">
        <f>Юсь!C11</f>
        <v>0</v>
      </c>
      <c r="V27" s="305">
        <f>Юсь!D11</f>
        <v>-23.484749999999998</v>
      </c>
      <c r="W27" s="301" t="e">
        <f t="shared" si="21"/>
        <v>#DIV/0!</v>
      </c>
      <c r="X27" s="315">
        <f>Юсь!C13</f>
        <v>10</v>
      </c>
      <c r="Y27" s="315">
        <f>Юсь!D13</f>
        <v>2.8047</v>
      </c>
      <c r="Z27" s="308">
        <f t="shared" si="22"/>
        <v>28.047000000000001</v>
      </c>
      <c r="AA27" s="315">
        <f>Юсь!C15</f>
        <v>117</v>
      </c>
      <c r="AB27" s="307">
        <f>Юсь!D15</f>
        <v>8.8031699999999997</v>
      </c>
      <c r="AC27" s="308">
        <f t="shared" si="23"/>
        <v>7.5240769230769224</v>
      </c>
      <c r="AD27" s="315">
        <f>Юсь!C16</f>
        <v>313</v>
      </c>
      <c r="AE27" s="315">
        <f>Юсь!D16</f>
        <v>27.552009999999999</v>
      </c>
      <c r="AF27" s="308">
        <f t="shared" si="4"/>
        <v>8.8025591054313104</v>
      </c>
      <c r="AG27" s="308">
        <f>Юсь!C18</f>
        <v>10</v>
      </c>
      <c r="AH27" s="308">
        <f>Юсь!D18</f>
        <v>2</v>
      </c>
      <c r="AI27" s="308">
        <f t="shared" si="24"/>
        <v>20</v>
      </c>
      <c r="AJ27" s="308"/>
      <c r="AK27" s="308"/>
      <c r="AL27" s="308" t="e">
        <f>AJ27/AK27*100</f>
        <v>#DIV/0!</v>
      </c>
      <c r="AM27" s="315">
        <v>0</v>
      </c>
      <c r="AN27" s="315">
        <v>0</v>
      </c>
      <c r="AO27" s="308" t="e">
        <f t="shared" si="6"/>
        <v>#DIV/0!</v>
      </c>
      <c r="AP27" s="315">
        <f>Юсь!C27</f>
        <v>0</v>
      </c>
      <c r="AQ27" s="316">
        <f>Юсь!D27</f>
        <v>0</v>
      </c>
      <c r="AR27" s="308" t="e">
        <f t="shared" si="25"/>
        <v>#DIV/0!</v>
      </c>
      <c r="AS27" s="310">
        <f>Юсь!C28</f>
        <v>55</v>
      </c>
      <c r="AT27" s="316">
        <f>Юсь!D28</f>
        <v>22</v>
      </c>
      <c r="AU27" s="308">
        <f t="shared" si="26"/>
        <v>40</v>
      </c>
      <c r="AV27" s="315"/>
      <c r="AW27" s="315"/>
      <c r="AX27" s="308" t="e">
        <f t="shared" si="27"/>
        <v>#DIV/0!</v>
      </c>
      <c r="AY27" s="308">
        <f>Юсь!C30</f>
        <v>0</v>
      </c>
      <c r="AZ27" s="311">
        <f>Юсь!D30</f>
        <v>175.96615</v>
      </c>
      <c r="BA27" s="308" t="e">
        <f t="shared" si="28"/>
        <v>#DIV/0!</v>
      </c>
      <c r="BB27" s="308"/>
      <c r="BC27" s="308"/>
      <c r="BD27" s="308"/>
      <c r="BE27" s="308">
        <f>Юсь!C31</f>
        <v>0</v>
      </c>
      <c r="BF27" s="308">
        <f>Юсь!D31</f>
        <v>0</v>
      </c>
      <c r="BG27" s="308" t="e">
        <f t="shared" si="29"/>
        <v>#DIV/0!</v>
      </c>
      <c r="BH27" s="308"/>
      <c r="BI27" s="308"/>
      <c r="BJ27" s="308" t="e">
        <f t="shared" si="30"/>
        <v>#DIV/0!</v>
      </c>
      <c r="BK27" s="308"/>
      <c r="BL27" s="308"/>
      <c r="BM27" s="308"/>
      <c r="BN27" s="308"/>
      <c r="BO27" s="308"/>
      <c r="BP27" s="482" t="e">
        <f t="shared" si="31"/>
        <v>#DIV/0!</v>
      </c>
      <c r="BQ27" s="308">
        <f>Юсь!C34</f>
        <v>0</v>
      </c>
      <c r="BR27" s="308">
        <f>Юсь!D34</f>
        <v>0</v>
      </c>
      <c r="BS27" s="308" t="e">
        <f t="shared" si="32"/>
        <v>#DIV/0!</v>
      </c>
      <c r="BT27" s="308"/>
      <c r="BU27" s="308"/>
      <c r="BV27" s="317" t="e">
        <f t="shared" si="33"/>
        <v>#DIV/0!</v>
      </c>
      <c r="BW27" s="317"/>
      <c r="BX27" s="317"/>
      <c r="BY27" s="317" t="e">
        <f t="shared" si="34"/>
        <v>#DIV/0!</v>
      </c>
      <c r="BZ27" s="306">
        <f t="shared" si="35"/>
        <v>10613.3747</v>
      </c>
      <c r="CA27" s="306">
        <f t="shared" si="36"/>
        <v>3688.52232</v>
      </c>
      <c r="CB27" s="308">
        <f t="shared" si="55"/>
        <v>34.753529619565768</v>
      </c>
      <c r="CC27" s="308">
        <f>Юсь!C39</f>
        <v>5087.2</v>
      </c>
      <c r="CD27" s="308">
        <f>Юсь!D39</f>
        <v>2543.616</v>
      </c>
      <c r="CE27" s="308">
        <f t="shared" si="37"/>
        <v>50.000314514860833</v>
      </c>
      <c r="CF27" s="308">
        <f>Юсь!C40</f>
        <v>0</v>
      </c>
      <c r="CG27" s="461">
        <f>Юсь!D40</f>
        <v>0</v>
      </c>
      <c r="CH27" s="308" t="e">
        <f t="shared" si="38"/>
        <v>#DIV/0!</v>
      </c>
      <c r="CI27" s="308">
        <f>Юсь!C41</f>
        <v>2121.471</v>
      </c>
      <c r="CJ27" s="308">
        <f>Юсь!D41</f>
        <v>755.25253999999995</v>
      </c>
      <c r="CK27" s="308">
        <f t="shared" si="7"/>
        <v>35.600417823293363</v>
      </c>
      <c r="CL27" s="308">
        <f>Юсь!C42</f>
        <v>3036.2287000000001</v>
      </c>
      <c r="CM27" s="308">
        <f>Юсь!D42</f>
        <v>103.52878</v>
      </c>
      <c r="CN27" s="308">
        <f t="shared" si="8"/>
        <v>3.4097820101628047</v>
      </c>
      <c r="CO27" s="308">
        <f>Юсь!C49</f>
        <v>143.375</v>
      </c>
      <c r="CP27" s="308">
        <f>Юсь!D49</f>
        <v>41.024999999999999</v>
      </c>
      <c r="CQ27" s="301">
        <f t="shared" si="39"/>
        <v>28.613775065387969</v>
      </c>
      <c r="CR27" s="319">
        <f>Юсь!C50</f>
        <v>225.1</v>
      </c>
      <c r="CS27" s="308">
        <f>Юсь!D50</f>
        <v>245.1</v>
      </c>
      <c r="CT27" s="308">
        <f t="shared" si="9"/>
        <v>108.88494002665483</v>
      </c>
      <c r="CU27" s="308"/>
      <c r="CV27" s="308"/>
      <c r="CW27" s="308"/>
      <c r="CX27" s="315"/>
      <c r="CY27" s="315"/>
      <c r="CZ27" s="308" t="e">
        <f t="shared" si="40"/>
        <v>#DIV/0!</v>
      </c>
      <c r="DA27" s="308"/>
      <c r="DB27" s="308"/>
      <c r="DC27" s="308"/>
      <c r="DD27" s="308"/>
      <c r="DE27" s="308"/>
      <c r="DF27" s="308"/>
      <c r="DG27" s="310">
        <f t="shared" si="41"/>
        <v>12003.850699999999</v>
      </c>
      <c r="DH27" s="310">
        <f t="shared" si="41"/>
        <v>3948.4408800000001</v>
      </c>
      <c r="DI27" s="308">
        <f t="shared" si="42"/>
        <v>32.893118872263216</v>
      </c>
      <c r="DJ27" s="315">
        <f t="shared" si="43"/>
        <v>1570.6990000000001</v>
      </c>
      <c r="DK27" s="315">
        <f t="shared" si="43"/>
        <v>700.26261</v>
      </c>
      <c r="DL27" s="308">
        <f t="shared" si="44"/>
        <v>44.582864699092568</v>
      </c>
      <c r="DM27" s="308">
        <f>Юсь!C58</f>
        <v>1462.068</v>
      </c>
      <c r="DN27" s="308">
        <f>Юсь!D58</f>
        <v>695.76261</v>
      </c>
      <c r="DO27" s="308">
        <f t="shared" si="45"/>
        <v>47.587568430469716</v>
      </c>
      <c r="DP27" s="308">
        <f>Юсь!C61</f>
        <v>0</v>
      </c>
      <c r="DQ27" s="308">
        <f>Юсь!D61</f>
        <v>0</v>
      </c>
      <c r="DR27" s="308" t="e">
        <f t="shared" si="46"/>
        <v>#DIV/0!</v>
      </c>
      <c r="DS27" s="308">
        <f>Юсь!C62</f>
        <v>100</v>
      </c>
      <c r="DT27" s="308">
        <f>Юсь!D62</f>
        <v>0</v>
      </c>
      <c r="DU27" s="308">
        <f t="shared" si="47"/>
        <v>0</v>
      </c>
      <c r="DV27" s="308">
        <f>Юсь!C63</f>
        <v>8.6310000000000002</v>
      </c>
      <c r="DW27" s="308">
        <f>Юсь!D63</f>
        <v>4.5</v>
      </c>
      <c r="DX27" s="308">
        <f t="shared" si="48"/>
        <v>52.137643378519293</v>
      </c>
      <c r="DY27" s="308">
        <f>Юсь!C65</f>
        <v>206.767</v>
      </c>
      <c r="DZ27" s="308">
        <f>Юсь!D65</f>
        <v>88.073099999999997</v>
      </c>
      <c r="EA27" s="308">
        <f t="shared" si="49"/>
        <v>42.595336780047106</v>
      </c>
      <c r="EB27" s="308">
        <f>Юсь!C66</f>
        <v>15</v>
      </c>
      <c r="EC27" s="308">
        <f>Юсь!D66</f>
        <v>5.8114799999999995</v>
      </c>
      <c r="ED27" s="308">
        <f t="shared" si="50"/>
        <v>38.743199999999995</v>
      </c>
      <c r="EE27" s="315">
        <f>Юсь!C72</f>
        <v>2214.5639999999999</v>
      </c>
      <c r="EF27" s="315">
        <f>Юсь!D72</f>
        <v>361.99126999999999</v>
      </c>
      <c r="EG27" s="308">
        <f t="shared" si="51"/>
        <v>16.345938523339132</v>
      </c>
      <c r="EH27" s="315">
        <f>Юсь!C77</f>
        <v>5465.9746999999998</v>
      </c>
      <c r="EI27" s="315">
        <f>Юсь!D77</f>
        <v>1691.0112900000001</v>
      </c>
      <c r="EJ27" s="308">
        <f t="shared" si="52"/>
        <v>30.93704934272748</v>
      </c>
      <c r="EK27" s="315">
        <f>Юсь!C81</f>
        <v>2480.846</v>
      </c>
      <c r="EL27" s="320">
        <f>Юсь!D81</f>
        <v>1097.6711299999999</v>
      </c>
      <c r="EM27" s="308">
        <f t="shared" si="10"/>
        <v>44.245839121009524</v>
      </c>
      <c r="EN27" s="308">
        <f>Юсь!C83</f>
        <v>0</v>
      </c>
      <c r="EO27" s="308">
        <f>Юсь!D83</f>
        <v>0</v>
      </c>
      <c r="EP27" s="308" t="e">
        <f t="shared" si="11"/>
        <v>#DIV/0!</v>
      </c>
      <c r="EQ27" s="321">
        <f>Юсь!C88</f>
        <v>50</v>
      </c>
      <c r="ER27" s="321">
        <f>Юсь!D88</f>
        <v>3.62</v>
      </c>
      <c r="ES27" s="308">
        <f t="shared" si="53"/>
        <v>7.24</v>
      </c>
      <c r="ET27" s="308">
        <f>Юсь!C94</f>
        <v>0</v>
      </c>
      <c r="EU27" s="308">
        <f>Юсь!D94</f>
        <v>0</v>
      </c>
      <c r="EV27" s="301" t="e">
        <f t="shared" si="54"/>
        <v>#DIV/0!</v>
      </c>
      <c r="EW27" s="477">
        <f t="shared" si="12"/>
        <v>-193.78599999999824</v>
      </c>
      <c r="EX27" s="477">
        <f t="shared" si="13"/>
        <v>352.64573999999993</v>
      </c>
      <c r="EY27" s="301">
        <f t="shared" si="56"/>
        <v>-181.976892035546</v>
      </c>
      <c r="EZ27" s="162"/>
      <c r="FA27" s="163"/>
      <c r="FC27" s="163"/>
    </row>
    <row r="28" spans="1:170" s="160" customFormat="1" ht="23.25" customHeight="1">
      <c r="A28" s="341">
        <v>15</v>
      </c>
      <c r="B28" s="343" t="s">
        <v>303</v>
      </c>
      <c r="C28" s="322">
        <f t="shared" si="14"/>
        <v>12786.7361</v>
      </c>
      <c r="D28" s="300">
        <f>G28+CA28+CY28</f>
        <v>4238.8357999999998</v>
      </c>
      <c r="E28" s="308">
        <f>D28/C28*100</f>
        <v>33.150256381689147</v>
      </c>
      <c r="F28" s="302">
        <f t="shared" si="15"/>
        <v>2647.75</v>
      </c>
      <c r="G28" s="302">
        <f>J28+Y28+AB28+AE28+AH28+AN28+AT28+BF28+AK28+BR28+BO28+AZ28+M28+S28+P28+V28+AQ28</f>
        <v>755.95526000000007</v>
      </c>
      <c r="H28" s="308">
        <f>G28/F28*100</f>
        <v>28.550854876782179</v>
      </c>
      <c r="I28" s="315">
        <f>Яра!C6</f>
        <v>211.2</v>
      </c>
      <c r="J28" s="450">
        <f>Яра!D6</f>
        <v>85.165850000000006</v>
      </c>
      <c r="K28" s="308">
        <f t="shared" si="17"/>
        <v>40.32473958333334</v>
      </c>
      <c r="L28" s="308">
        <f>Яра!C8</f>
        <v>309.91000000000003</v>
      </c>
      <c r="M28" s="308">
        <f>Яра!D8</f>
        <v>194.81460000000001</v>
      </c>
      <c r="N28" s="301">
        <f t="shared" si="18"/>
        <v>62.861669516956532</v>
      </c>
      <c r="O28" s="301">
        <f>Яра!C9</f>
        <v>3.32</v>
      </c>
      <c r="P28" s="301">
        <f>Яра!D9</f>
        <v>1.4675400000000001</v>
      </c>
      <c r="Q28" s="301">
        <f t="shared" si="19"/>
        <v>44.203012048192775</v>
      </c>
      <c r="R28" s="301">
        <f>Яра!C10</f>
        <v>517.62</v>
      </c>
      <c r="S28" s="301">
        <f>Яра!D10</f>
        <v>270.89136000000002</v>
      </c>
      <c r="T28" s="301">
        <f t="shared" si="20"/>
        <v>52.334021096557329</v>
      </c>
      <c r="U28" s="301">
        <f>Яра!C11</f>
        <v>0</v>
      </c>
      <c r="V28" s="305">
        <f>Яра!D11</f>
        <v>-36.363480000000003</v>
      </c>
      <c r="W28" s="301" t="e">
        <f t="shared" si="21"/>
        <v>#DIV/0!</v>
      </c>
      <c r="X28" s="315">
        <f>Яра!C13</f>
        <v>20</v>
      </c>
      <c r="Y28" s="315">
        <f>Яра!D13</f>
        <v>8.8872</v>
      </c>
      <c r="Z28" s="308">
        <f t="shared" si="22"/>
        <v>44.436</v>
      </c>
      <c r="AA28" s="315">
        <f>Яра!C15</f>
        <v>300</v>
      </c>
      <c r="AB28" s="307">
        <f>Яра!D15</f>
        <v>19.411740000000002</v>
      </c>
      <c r="AC28" s="308">
        <f t="shared" si="23"/>
        <v>6.4705800000000009</v>
      </c>
      <c r="AD28" s="315">
        <f>Яра!C16</f>
        <v>1200</v>
      </c>
      <c r="AE28" s="315">
        <f>Яра!D16</f>
        <v>188.88872000000001</v>
      </c>
      <c r="AF28" s="308">
        <f t="shared" si="4"/>
        <v>15.740726666666669</v>
      </c>
      <c r="AG28" s="308">
        <f>Яра!C18</f>
        <v>15</v>
      </c>
      <c r="AH28" s="308">
        <f>Яра!D18</f>
        <v>1.28</v>
      </c>
      <c r="AI28" s="308">
        <f t="shared" si="24"/>
        <v>8.5333333333333332</v>
      </c>
      <c r="AJ28" s="308"/>
      <c r="AK28" s="308"/>
      <c r="AL28" s="308" t="e">
        <f>AJ28/AK28*100</f>
        <v>#DIV/0!</v>
      </c>
      <c r="AM28" s="315">
        <v>0</v>
      </c>
      <c r="AN28" s="315">
        <v>0</v>
      </c>
      <c r="AO28" s="308" t="e">
        <f t="shared" si="6"/>
        <v>#DIV/0!</v>
      </c>
      <c r="AP28" s="315">
        <f>Яра!C27</f>
        <v>20.7</v>
      </c>
      <c r="AQ28" s="316">
        <f>Яра!D27</f>
        <v>2.0960000000000001</v>
      </c>
      <c r="AR28" s="308">
        <f t="shared" si="25"/>
        <v>10.1256038647343</v>
      </c>
      <c r="AS28" s="310">
        <f>Яра!C28</f>
        <v>0</v>
      </c>
      <c r="AT28" s="316">
        <f>Яра!D28</f>
        <v>0</v>
      </c>
      <c r="AU28" s="308" t="e">
        <f t="shared" si="26"/>
        <v>#DIV/0!</v>
      </c>
      <c r="AV28" s="315"/>
      <c r="AW28" s="315"/>
      <c r="AX28" s="308" t="e">
        <f t="shared" si="27"/>
        <v>#DIV/0!</v>
      </c>
      <c r="AY28" s="308">
        <f>Яра!C31</f>
        <v>50</v>
      </c>
      <c r="AZ28" s="311">
        <f>Яра!D31</f>
        <v>19.67773</v>
      </c>
      <c r="BA28" s="308">
        <f t="shared" si="28"/>
        <v>39.355460000000001</v>
      </c>
      <c r="BB28" s="308"/>
      <c r="BC28" s="308"/>
      <c r="BD28" s="308"/>
      <c r="BE28" s="308">
        <f>Яра!C34</f>
        <v>0</v>
      </c>
      <c r="BF28" s="308">
        <v>0</v>
      </c>
      <c r="BG28" s="308" t="e">
        <f t="shared" si="29"/>
        <v>#DIV/0!</v>
      </c>
      <c r="BH28" s="308"/>
      <c r="BI28" s="308"/>
      <c r="BJ28" s="308" t="e">
        <f t="shared" si="30"/>
        <v>#DIV/0!</v>
      </c>
      <c r="BK28" s="308"/>
      <c r="BL28" s="308"/>
      <c r="BM28" s="308"/>
      <c r="BN28" s="308">
        <f>Яра!C35</f>
        <v>0</v>
      </c>
      <c r="BO28" s="308">
        <f>Яра!D35</f>
        <v>0</v>
      </c>
      <c r="BP28" s="482" t="e">
        <f t="shared" si="31"/>
        <v>#DIV/0!</v>
      </c>
      <c r="BQ28" s="308">
        <f>Яра!C37</f>
        <v>0</v>
      </c>
      <c r="BR28" s="308">
        <f>Яра!D37</f>
        <v>-0.26200000000000001</v>
      </c>
      <c r="BS28" s="308" t="e">
        <f t="shared" si="32"/>
        <v>#DIV/0!</v>
      </c>
      <c r="BT28" s="308"/>
      <c r="BU28" s="308"/>
      <c r="BV28" s="317" t="e">
        <f t="shared" si="33"/>
        <v>#DIV/0!</v>
      </c>
      <c r="BW28" s="317"/>
      <c r="BX28" s="317"/>
      <c r="BY28" s="317" t="e">
        <f t="shared" si="34"/>
        <v>#DIV/0!</v>
      </c>
      <c r="BZ28" s="306">
        <f t="shared" si="35"/>
        <v>10138.9861</v>
      </c>
      <c r="CA28" s="306">
        <f t="shared" si="36"/>
        <v>3482.8805399999997</v>
      </c>
      <c r="CB28" s="308">
        <f t="shared" si="55"/>
        <v>34.351369117667488</v>
      </c>
      <c r="CC28" s="308">
        <f>Яра!C42</f>
        <v>3577.8</v>
      </c>
      <c r="CD28" s="308">
        <f>Яра!D42</f>
        <v>1788.912</v>
      </c>
      <c r="CE28" s="308">
        <f t="shared" si="37"/>
        <v>50.000335401643468</v>
      </c>
      <c r="CF28" s="308">
        <f>Яра!C43</f>
        <v>0</v>
      </c>
      <c r="CG28" s="461">
        <f>Яра!D43</f>
        <v>0</v>
      </c>
      <c r="CH28" s="308" t="e">
        <f t="shared" si="38"/>
        <v>#DIV/0!</v>
      </c>
      <c r="CI28" s="308">
        <f>Яра!C44</f>
        <v>4811.2074000000002</v>
      </c>
      <c r="CJ28" s="308">
        <f>Яра!D44</f>
        <v>1359.9029599999999</v>
      </c>
      <c r="CK28" s="308">
        <f t="shared" si="7"/>
        <v>28.265315687700344</v>
      </c>
      <c r="CL28" s="308">
        <f>Яра!C45</f>
        <v>206.767</v>
      </c>
      <c r="CM28" s="308">
        <f>Яра!D45</f>
        <v>103.52907999999999</v>
      </c>
      <c r="CN28" s="308">
        <f t="shared" si="8"/>
        <v>50.070407753655076</v>
      </c>
      <c r="CO28" s="308">
        <f>Яра!C47</f>
        <v>1319.384</v>
      </c>
      <c r="CP28" s="308">
        <f>Яра!D47</f>
        <v>0</v>
      </c>
      <c r="CQ28" s="301">
        <f t="shared" si="39"/>
        <v>0</v>
      </c>
      <c r="CR28" s="319">
        <f>Яра!C51</f>
        <v>223.82769999999999</v>
      </c>
      <c r="CS28" s="308">
        <f>Яра!D51</f>
        <v>230.53649999999999</v>
      </c>
      <c r="CT28" s="308">
        <f t="shared" si="9"/>
        <v>102.99730551669879</v>
      </c>
      <c r="CU28" s="308"/>
      <c r="CV28" s="308"/>
      <c r="CW28" s="308"/>
      <c r="CX28" s="315"/>
      <c r="CY28" s="315"/>
      <c r="CZ28" s="308" t="e">
        <f t="shared" si="40"/>
        <v>#DIV/0!</v>
      </c>
      <c r="DA28" s="308"/>
      <c r="DB28" s="308">
        <f>Яра!D46</f>
        <v>0</v>
      </c>
      <c r="DC28" s="308" t="e">
        <f>DB28/DA28</f>
        <v>#DIV/0!</v>
      </c>
      <c r="DD28" s="308"/>
      <c r="DE28" s="308"/>
      <c r="DF28" s="308"/>
      <c r="DG28" s="310">
        <f t="shared" si="41"/>
        <v>13039.658829999998</v>
      </c>
      <c r="DH28" s="310">
        <f t="shared" si="41"/>
        <v>4187.62273</v>
      </c>
      <c r="DI28" s="308">
        <f t="shared" si="42"/>
        <v>32.114511465327965</v>
      </c>
      <c r="DJ28" s="315">
        <f t="shared" si="43"/>
        <v>1723.0212300000001</v>
      </c>
      <c r="DK28" s="315">
        <f t="shared" si="43"/>
        <v>773.17794000000004</v>
      </c>
      <c r="DL28" s="308">
        <f t="shared" si="44"/>
        <v>44.873384409778865</v>
      </c>
      <c r="DM28" s="308">
        <f>Яра!C59</f>
        <v>1601.2</v>
      </c>
      <c r="DN28" s="308">
        <f>Яра!D59</f>
        <v>677.45371</v>
      </c>
      <c r="DO28" s="308">
        <f t="shared" si="45"/>
        <v>42.309125031226579</v>
      </c>
      <c r="DP28" s="308">
        <f>Яра!C62</f>
        <v>11.02</v>
      </c>
      <c r="DQ28" s="308">
        <f>Яра!D62</f>
        <v>0</v>
      </c>
      <c r="DR28" s="308">
        <f t="shared" si="46"/>
        <v>0</v>
      </c>
      <c r="DS28" s="308">
        <f>Яра!C63</f>
        <v>10</v>
      </c>
      <c r="DT28" s="308">
        <f>Яра!D63</f>
        <v>0</v>
      </c>
      <c r="DU28" s="308">
        <f t="shared" si="47"/>
        <v>0</v>
      </c>
      <c r="DV28" s="308">
        <f>Яра!C64</f>
        <v>100.80123</v>
      </c>
      <c r="DW28" s="308">
        <f>Яра!D64</f>
        <v>95.724230000000006</v>
      </c>
      <c r="DX28" s="308">
        <f t="shared" si="48"/>
        <v>94.963355109853325</v>
      </c>
      <c r="DY28" s="308">
        <f>Яра!C66</f>
        <v>206.767</v>
      </c>
      <c r="DZ28" s="308">
        <f>Яра!D65</f>
        <v>88.275919999999999</v>
      </c>
      <c r="EA28" s="308">
        <f t="shared" si="49"/>
        <v>42.693427868083397</v>
      </c>
      <c r="EB28" s="308">
        <f>Яра!C67</f>
        <v>120</v>
      </c>
      <c r="EC28" s="308">
        <f>Яра!D67</f>
        <v>11.6538</v>
      </c>
      <c r="ED28" s="308">
        <f t="shared" si="50"/>
        <v>9.7115000000000009</v>
      </c>
      <c r="EE28" s="315">
        <f>Яра!C73</f>
        <v>4435.5985199999996</v>
      </c>
      <c r="EF28" s="315">
        <f>Яра!D73</f>
        <v>2127.34177</v>
      </c>
      <c r="EG28" s="308">
        <f t="shared" si="51"/>
        <v>47.960647484389554</v>
      </c>
      <c r="EH28" s="315">
        <f>Яра!C78</f>
        <v>4574.7490799999996</v>
      </c>
      <c r="EI28" s="315">
        <f>Яра!D78</f>
        <v>352.46438999999998</v>
      </c>
      <c r="EJ28" s="308">
        <f t="shared" si="52"/>
        <v>7.7045622357937065</v>
      </c>
      <c r="EK28" s="315">
        <f>Яра!C82</f>
        <v>1967.5229999999999</v>
      </c>
      <c r="EL28" s="320">
        <f>Яра!D82</f>
        <v>822.70890999999995</v>
      </c>
      <c r="EM28" s="308">
        <f t="shared" si="10"/>
        <v>41.814449437185743</v>
      </c>
      <c r="EN28" s="308">
        <f>Яра!C84</f>
        <v>0</v>
      </c>
      <c r="EO28" s="308">
        <f>Яра!D84</f>
        <v>0</v>
      </c>
      <c r="EP28" s="308" t="e">
        <f t="shared" si="11"/>
        <v>#DIV/0!</v>
      </c>
      <c r="EQ28" s="321">
        <f>Яра!C89</f>
        <v>12</v>
      </c>
      <c r="ER28" s="321">
        <f>Яра!D89</f>
        <v>12</v>
      </c>
      <c r="ES28" s="308">
        <f t="shared" si="53"/>
        <v>100</v>
      </c>
      <c r="ET28" s="308">
        <f>Яра!C95</f>
        <v>0</v>
      </c>
      <c r="EU28" s="308">
        <f>Яра!D95</f>
        <v>0</v>
      </c>
      <c r="EV28" s="301" t="e">
        <f t="shared" si="54"/>
        <v>#DIV/0!</v>
      </c>
      <c r="EW28" s="477">
        <f t="shared" si="12"/>
        <v>-252.92272999999841</v>
      </c>
      <c r="EX28" s="477">
        <f t="shared" si="13"/>
        <v>51.213069999999789</v>
      </c>
      <c r="EY28" s="301">
        <f t="shared" si="56"/>
        <v>-20.248504355460703</v>
      </c>
      <c r="EZ28" s="162"/>
      <c r="FA28" s="163"/>
      <c r="FC28" s="163"/>
    </row>
    <row r="29" spans="1:170" s="160" customFormat="1" ht="25.5" customHeight="1">
      <c r="A29" s="341">
        <v>16</v>
      </c>
      <c r="B29" s="342" t="s">
        <v>304</v>
      </c>
      <c r="C29" s="299">
        <f t="shared" si="14"/>
        <v>4819.7579999999998</v>
      </c>
      <c r="D29" s="300">
        <f t="shared" si="0"/>
        <v>1733.3708699999997</v>
      </c>
      <c r="E29" s="301">
        <f t="shared" si="1"/>
        <v>35.963856899039328</v>
      </c>
      <c r="F29" s="302">
        <f t="shared" si="15"/>
        <v>2309.85</v>
      </c>
      <c r="G29" s="302">
        <f t="shared" si="3"/>
        <v>616.47694999999999</v>
      </c>
      <c r="H29" s="301">
        <f t="shared" si="16"/>
        <v>26.689046907807867</v>
      </c>
      <c r="I29" s="306">
        <f>Яро!C6</f>
        <v>117.6</v>
      </c>
      <c r="J29" s="450">
        <f>Яро!D6</f>
        <v>50.231909999999999</v>
      </c>
      <c r="K29" s="301">
        <f t="shared" si="17"/>
        <v>42.714209183673468</v>
      </c>
      <c r="L29" s="301">
        <f>Яро!C8</f>
        <v>178.01</v>
      </c>
      <c r="M29" s="301">
        <f>Яро!D8</f>
        <v>111.90243</v>
      </c>
      <c r="N29" s="301">
        <f t="shared" si="18"/>
        <v>62.863002078534912</v>
      </c>
      <c r="O29" s="301">
        <f>Яро!C9</f>
        <v>1.91</v>
      </c>
      <c r="P29" s="301">
        <f>Яро!D9</f>
        <v>0.84294999999999998</v>
      </c>
      <c r="Q29" s="301">
        <f t="shared" si="19"/>
        <v>44.133507853403145</v>
      </c>
      <c r="R29" s="301">
        <f>Яро!C10</f>
        <v>297.33</v>
      </c>
      <c r="S29" s="301">
        <f>Яро!D10</f>
        <v>155.60129000000001</v>
      </c>
      <c r="T29" s="301">
        <f t="shared" si="20"/>
        <v>52.332859112770322</v>
      </c>
      <c r="U29" s="301">
        <f>Яро!C11</f>
        <v>0</v>
      </c>
      <c r="V29" s="305">
        <f>Яро!D11</f>
        <v>-20.887350000000001</v>
      </c>
      <c r="W29" s="301" t="e">
        <f t="shared" si="21"/>
        <v>#DIV/0!</v>
      </c>
      <c r="X29" s="306">
        <f>Яро!C13</f>
        <v>10</v>
      </c>
      <c r="Y29" s="306">
        <f>Яро!D13</f>
        <v>0.26729999999999998</v>
      </c>
      <c r="Z29" s="301">
        <f t="shared" si="22"/>
        <v>2.6729999999999996</v>
      </c>
      <c r="AA29" s="306">
        <f>Яро!C15</f>
        <v>380</v>
      </c>
      <c r="AB29" s="307">
        <f>Яро!D15</f>
        <v>50.733719999999998</v>
      </c>
      <c r="AC29" s="301">
        <f t="shared" si="23"/>
        <v>13.35097894736842</v>
      </c>
      <c r="AD29" s="306">
        <f>Яро!C16</f>
        <v>920</v>
      </c>
      <c r="AE29" s="306">
        <f>Яро!D16</f>
        <v>115.43649000000001</v>
      </c>
      <c r="AF29" s="301">
        <f t="shared" si="4"/>
        <v>12.547444565217392</v>
      </c>
      <c r="AG29" s="301">
        <f>Яро!C18</f>
        <v>5</v>
      </c>
      <c r="AH29" s="301">
        <f>Яро!D18</f>
        <v>2</v>
      </c>
      <c r="AI29" s="301">
        <f t="shared" si="24"/>
        <v>40</v>
      </c>
      <c r="AJ29" s="301"/>
      <c r="AK29" s="301"/>
      <c r="AL29" s="301" t="e">
        <f>AJ29/AK29*100</f>
        <v>#DIV/0!</v>
      </c>
      <c r="AM29" s="306">
        <v>0</v>
      </c>
      <c r="AN29" s="306">
        <v>0</v>
      </c>
      <c r="AO29" s="301" t="e">
        <f t="shared" si="6"/>
        <v>#DIV/0!</v>
      </c>
      <c r="AP29" s="306">
        <f>Яро!C26</f>
        <v>400</v>
      </c>
      <c r="AQ29" s="309">
        <f>Яро!D27</f>
        <v>150.34820999999999</v>
      </c>
      <c r="AR29" s="301">
        <f t="shared" si="25"/>
        <v>37.587052499999999</v>
      </c>
      <c r="AS29" s="310">
        <v>0</v>
      </c>
      <c r="AT29" s="309">
        <f>Яро!D28</f>
        <v>0</v>
      </c>
      <c r="AU29" s="301" t="e">
        <f t="shared" si="26"/>
        <v>#DIV/0!</v>
      </c>
      <c r="AV29" s="306"/>
      <c r="AW29" s="306"/>
      <c r="AX29" s="301" t="e">
        <f t="shared" si="27"/>
        <v>#DIV/0!</v>
      </c>
      <c r="AY29" s="301"/>
      <c r="AZ29" s="311">
        <f>Яро!D29</f>
        <v>0</v>
      </c>
      <c r="BA29" s="301" t="e">
        <f t="shared" si="28"/>
        <v>#DIV/0!</v>
      </c>
      <c r="BB29" s="301"/>
      <c r="BC29" s="301"/>
      <c r="BD29" s="301"/>
      <c r="BE29" s="301">
        <f>Яро!C31</f>
        <v>0</v>
      </c>
      <c r="BF29" s="301">
        <f>Яро!D31</f>
        <v>0</v>
      </c>
      <c r="BG29" s="301" t="e">
        <f t="shared" si="29"/>
        <v>#DIV/0!</v>
      </c>
      <c r="BH29" s="301"/>
      <c r="BI29" s="301"/>
      <c r="BJ29" s="301" t="e">
        <f t="shared" si="30"/>
        <v>#DIV/0!</v>
      </c>
      <c r="BK29" s="301"/>
      <c r="BL29" s="301"/>
      <c r="BM29" s="301"/>
      <c r="BN29" s="301">
        <f>Яро!C34</f>
        <v>0</v>
      </c>
      <c r="BO29" s="301">
        <f>Яро!D34</f>
        <v>0</v>
      </c>
      <c r="BP29" s="482" t="e">
        <f t="shared" si="31"/>
        <v>#DIV/0!</v>
      </c>
      <c r="BQ29" s="301">
        <v>0</v>
      </c>
      <c r="BR29" s="301">
        <f>SUM(Яро!D36)</f>
        <v>0</v>
      </c>
      <c r="BS29" s="301" t="e">
        <f t="shared" si="32"/>
        <v>#DIV/0!</v>
      </c>
      <c r="BT29" s="301"/>
      <c r="BU29" s="301"/>
      <c r="BV29" s="313" t="e">
        <f t="shared" si="33"/>
        <v>#DIV/0!</v>
      </c>
      <c r="BW29" s="313"/>
      <c r="BX29" s="313"/>
      <c r="BY29" s="313" t="e">
        <f t="shared" si="34"/>
        <v>#DIV/0!</v>
      </c>
      <c r="BZ29" s="306">
        <f t="shared" si="35"/>
        <v>2509.9079999999994</v>
      </c>
      <c r="CA29" s="306">
        <f t="shared" si="36"/>
        <v>1116.8939199999998</v>
      </c>
      <c r="CB29" s="301">
        <f t="shared" si="55"/>
        <v>44.499396790639338</v>
      </c>
      <c r="CC29" s="308">
        <f>Яро!C40</f>
        <v>1658.6</v>
      </c>
      <c r="CD29" s="308">
        <f>Яро!D40</f>
        <v>829.30799999999999</v>
      </c>
      <c r="CE29" s="301">
        <f t="shared" si="37"/>
        <v>50.000482334498976</v>
      </c>
      <c r="CF29" s="301">
        <f>Яро!C41</f>
        <v>0</v>
      </c>
      <c r="CG29" s="460">
        <f>Яро!D41</f>
        <v>0</v>
      </c>
      <c r="CH29" s="301" t="e">
        <f t="shared" si="38"/>
        <v>#DIV/0!</v>
      </c>
      <c r="CI29" s="301">
        <f>Яро!C42</f>
        <v>637.37</v>
      </c>
      <c r="CJ29" s="301">
        <f>Яро!D42</f>
        <v>238.619</v>
      </c>
      <c r="CK29" s="301">
        <f t="shared" si="7"/>
        <v>37.438065801653671</v>
      </c>
      <c r="CL29" s="301">
        <f>Яро!C43</f>
        <v>103.383</v>
      </c>
      <c r="CM29" s="301">
        <f>Яро!D43</f>
        <v>51.763800000000003</v>
      </c>
      <c r="CN29" s="301">
        <f t="shared" si="8"/>
        <v>50.069934128435044</v>
      </c>
      <c r="CO29" s="301">
        <f>Яро!C45</f>
        <v>110.55500000000001</v>
      </c>
      <c r="CP29" s="301">
        <f>Яро!D45</f>
        <v>0</v>
      </c>
      <c r="CQ29" s="301">
        <f t="shared" si="39"/>
        <v>0</v>
      </c>
      <c r="CR29" s="305">
        <f>Яро!C46</f>
        <v>0</v>
      </c>
      <c r="CS29" s="301">
        <f>Яро!D46</f>
        <v>0</v>
      </c>
      <c r="CT29" s="301" t="e">
        <f t="shared" si="9"/>
        <v>#DIV/0!</v>
      </c>
      <c r="CU29" s="301"/>
      <c r="CV29" s="301">
        <f>SUM(Яро!D47)</f>
        <v>-2.7968799999999998</v>
      </c>
      <c r="CW29" s="301"/>
      <c r="CX29" s="306"/>
      <c r="CY29" s="306"/>
      <c r="CZ29" s="301" t="e">
        <f t="shared" si="40"/>
        <v>#DIV/0!</v>
      </c>
      <c r="DA29" s="301"/>
      <c r="DB29" s="301"/>
      <c r="DC29" s="301"/>
      <c r="DD29" s="301"/>
      <c r="DE29" s="301"/>
      <c r="DF29" s="301"/>
      <c r="DG29" s="310">
        <f t="shared" si="41"/>
        <v>5176.1973500000004</v>
      </c>
      <c r="DH29" s="310">
        <f t="shared" si="41"/>
        <v>1658.9250099999999</v>
      </c>
      <c r="DI29" s="301">
        <f t="shared" si="42"/>
        <v>32.049106667078675</v>
      </c>
      <c r="DJ29" s="306">
        <f t="shared" si="43"/>
        <v>1447.3770000000002</v>
      </c>
      <c r="DK29" s="306">
        <f t="shared" si="43"/>
        <v>613.84607999999992</v>
      </c>
      <c r="DL29" s="301">
        <f t="shared" si="44"/>
        <v>42.410932327928371</v>
      </c>
      <c r="DM29" s="301">
        <f>Яро!C56</f>
        <v>1365.5</v>
      </c>
      <c r="DN29" s="301">
        <f>Яро!D56</f>
        <v>602.04607999999996</v>
      </c>
      <c r="DO29" s="301">
        <f t="shared" si="45"/>
        <v>44.089789820578538</v>
      </c>
      <c r="DP29" s="301">
        <f>Яро!C59</f>
        <v>8.9</v>
      </c>
      <c r="DQ29" s="301">
        <f>Яро!D59</f>
        <v>0</v>
      </c>
      <c r="DR29" s="301">
        <f t="shared" si="46"/>
        <v>0</v>
      </c>
      <c r="DS29" s="301">
        <f>Яро!C60</f>
        <v>50</v>
      </c>
      <c r="DT29" s="301">
        <f>Яро!D60</f>
        <v>0</v>
      </c>
      <c r="DU29" s="301">
        <f t="shared" si="47"/>
        <v>0</v>
      </c>
      <c r="DV29" s="301">
        <f>Яро!C61</f>
        <v>22.977</v>
      </c>
      <c r="DW29" s="301">
        <f>Яро!D61</f>
        <v>11.8</v>
      </c>
      <c r="DX29" s="301">
        <f t="shared" si="48"/>
        <v>51.355703529616584</v>
      </c>
      <c r="DY29" s="301">
        <f>Яро!C62</f>
        <v>103.383</v>
      </c>
      <c r="DZ29" s="301">
        <f>Яро!D62</f>
        <v>0</v>
      </c>
      <c r="EA29" s="301">
        <f t="shared" si="49"/>
        <v>0</v>
      </c>
      <c r="EB29" s="301">
        <f>Яро!C64</f>
        <v>25</v>
      </c>
      <c r="EC29" s="301">
        <f>Яро!D64</f>
        <v>5.8114799999999995</v>
      </c>
      <c r="ED29" s="301">
        <f t="shared" si="50"/>
        <v>23.245919999999998</v>
      </c>
      <c r="EE29" s="306">
        <f>Яро!C70</f>
        <v>1481.1593499999999</v>
      </c>
      <c r="EF29" s="306">
        <f>Яро!D70</f>
        <v>394.83209999999997</v>
      </c>
      <c r="EG29" s="301">
        <f t="shared" si="51"/>
        <v>26.656963006714975</v>
      </c>
      <c r="EH29" s="306">
        <f>Яро!C75</f>
        <v>996.97799999999995</v>
      </c>
      <c r="EI29" s="306">
        <f>Яро!D75</f>
        <v>70.235349999999997</v>
      </c>
      <c r="EJ29" s="301">
        <f t="shared" si="52"/>
        <v>7.0448244595166587</v>
      </c>
      <c r="EK29" s="306">
        <f>Яро!C80</f>
        <v>1092.3</v>
      </c>
      <c r="EL29" s="314">
        <f>Яро!D79</f>
        <v>560.75</v>
      </c>
      <c r="EM29" s="301">
        <f t="shared" si="10"/>
        <v>51.336629131191067</v>
      </c>
      <c r="EN29" s="301">
        <f>Яро!C81</f>
        <v>0</v>
      </c>
      <c r="EO29" s="301">
        <f>Яро!D81</f>
        <v>0</v>
      </c>
      <c r="EP29" s="301" t="e">
        <f t="shared" si="11"/>
        <v>#DIV/0!</v>
      </c>
      <c r="EQ29" s="302">
        <f>Яро!C86</f>
        <v>30</v>
      </c>
      <c r="ER29" s="302">
        <f>Яро!D86</f>
        <v>13.45</v>
      </c>
      <c r="ES29" s="301">
        <f t="shared" si="53"/>
        <v>44.833333333333329</v>
      </c>
      <c r="ET29" s="301">
        <f>Яро!C92</f>
        <v>0</v>
      </c>
      <c r="EU29" s="301">
        <f>Яро!D92</f>
        <v>0</v>
      </c>
      <c r="EV29" s="301" t="e">
        <f t="shared" si="54"/>
        <v>#DIV/0!</v>
      </c>
      <c r="EW29" s="477">
        <f t="shared" si="12"/>
        <v>-356.43935000000056</v>
      </c>
      <c r="EX29" s="477">
        <f t="shared" si="13"/>
        <v>74.445859999999811</v>
      </c>
      <c r="EY29" s="301">
        <f t="shared" si="56"/>
        <v>-20.885982425902107</v>
      </c>
      <c r="EZ29" s="162"/>
      <c r="FA29" s="163"/>
      <c r="FC29" s="163"/>
    </row>
    <row r="30" spans="1:170" s="160" customFormat="1" ht="17.25" customHeight="1">
      <c r="A30" s="348"/>
      <c r="B30" s="349"/>
      <c r="C30" s="330"/>
      <c r="D30" s="331"/>
      <c r="E30" s="301"/>
      <c r="F30" s="302"/>
      <c r="G30" s="306"/>
      <c r="H30" s="301"/>
      <c r="I30" s="306"/>
      <c r="J30" s="45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33"/>
      <c r="W30" s="301"/>
      <c r="X30" s="306"/>
      <c r="Y30" s="306"/>
      <c r="Z30" s="301"/>
      <c r="AA30" s="306"/>
      <c r="AB30" s="306"/>
      <c r="AC30" s="301"/>
      <c r="AD30" s="306"/>
      <c r="AE30" s="306"/>
      <c r="AF30" s="301"/>
      <c r="AG30" s="301"/>
      <c r="AH30" s="301"/>
      <c r="AI30" s="301"/>
      <c r="AJ30" s="301"/>
      <c r="AK30" s="301"/>
      <c r="AL30" s="301"/>
      <c r="AM30" s="306"/>
      <c r="AN30" s="306"/>
      <c r="AO30" s="301"/>
      <c r="AP30" s="306"/>
      <c r="AQ30" s="306"/>
      <c r="AR30" s="301"/>
      <c r="AS30" s="306"/>
      <c r="AT30" s="309"/>
      <c r="AU30" s="301"/>
      <c r="AV30" s="306"/>
      <c r="AW30" s="306"/>
      <c r="AX30" s="301"/>
      <c r="AY30" s="301"/>
      <c r="AZ30" s="311"/>
      <c r="BA30" s="301" t="e">
        <f t="shared" si="28"/>
        <v>#DIV/0!</v>
      </c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1"/>
      <c r="BM30" s="301"/>
      <c r="BN30" s="301"/>
      <c r="BO30" s="301"/>
      <c r="BP30" s="482"/>
      <c r="BQ30" s="301"/>
      <c r="BR30" s="301"/>
      <c r="BS30" s="301"/>
      <c r="BT30" s="301"/>
      <c r="BU30" s="301"/>
      <c r="BV30" s="313"/>
      <c r="BW30" s="313"/>
      <c r="BX30" s="313"/>
      <c r="BY30" s="313"/>
      <c r="BZ30" s="306"/>
      <c r="CA30" s="306"/>
      <c r="CB30" s="301"/>
      <c r="CC30" s="301"/>
      <c r="CD30" s="301"/>
      <c r="CE30" s="301"/>
      <c r="CF30" s="301"/>
      <c r="CG30" s="460"/>
      <c r="CH30" s="460"/>
      <c r="CI30" s="301"/>
      <c r="CJ30" s="301"/>
      <c r="CK30" s="301"/>
      <c r="CL30" s="301"/>
      <c r="CM30" s="301"/>
      <c r="CN30" s="301"/>
      <c r="CO30" s="301"/>
      <c r="CP30" s="301"/>
      <c r="CQ30" s="301"/>
      <c r="CR30" s="333"/>
      <c r="CS30" s="301"/>
      <c r="CT30" s="301"/>
      <c r="CU30" s="301"/>
      <c r="CV30" s="301"/>
      <c r="CW30" s="301"/>
      <c r="CX30" s="306"/>
      <c r="CY30" s="306"/>
      <c r="CZ30" s="301"/>
      <c r="DA30" s="301"/>
      <c r="DB30" s="301"/>
      <c r="DC30" s="301"/>
      <c r="DD30" s="301"/>
      <c r="DE30" s="301"/>
      <c r="DF30" s="301"/>
      <c r="DG30" s="306"/>
      <c r="DH30" s="306"/>
      <c r="DI30" s="301"/>
      <c r="DJ30" s="306"/>
      <c r="DK30" s="332"/>
      <c r="DL30" s="301"/>
      <c r="DM30" s="301"/>
      <c r="DN30" s="301"/>
      <c r="DO30" s="301"/>
      <c r="DP30" s="301"/>
      <c r="DQ30" s="301"/>
      <c r="DR30" s="301"/>
      <c r="DS30" s="301"/>
      <c r="DT30" s="301"/>
      <c r="DU30" s="301"/>
      <c r="DV30" s="301"/>
      <c r="DW30" s="301"/>
      <c r="DX30" s="301"/>
      <c r="DY30" s="301"/>
      <c r="DZ30" s="312"/>
      <c r="EA30" s="301"/>
      <c r="EB30" s="301"/>
      <c r="EC30" s="301"/>
      <c r="ED30" s="301"/>
      <c r="EE30" s="306"/>
      <c r="EF30" s="306"/>
      <c r="EG30" s="301"/>
      <c r="EH30" s="306"/>
      <c r="EI30" s="306"/>
      <c r="EJ30" s="301"/>
      <c r="EK30" s="306"/>
      <c r="EL30" s="306"/>
      <c r="EM30" s="301"/>
      <c r="EN30" s="301"/>
      <c r="EO30" s="301"/>
      <c r="EP30" s="301"/>
      <c r="EQ30" s="302"/>
      <c r="ER30" s="302"/>
      <c r="ES30" s="301"/>
      <c r="ET30" s="301"/>
      <c r="EU30" s="301"/>
      <c r="EV30" s="301"/>
      <c r="EW30" s="477"/>
      <c r="EX30" s="477"/>
      <c r="EY30" s="301" t="e">
        <f t="shared" si="56"/>
        <v>#DIV/0!</v>
      </c>
      <c r="FA30" s="163"/>
      <c r="FC30" s="163"/>
    </row>
    <row r="31" spans="1:170" s="166" customFormat="1" ht="18.75">
      <c r="A31" s="516" t="s">
        <v>176</v>
      </c>
      <c r="B31" s="517"/>
      <c r="C31" s="334">
        <f>SUM(C14:C29)</f>
        <v>185785.13974999997</v>
      </c>
      <c r="D31" s="334">
        <f>SUM(D14:D29)</f>
        <v>58920.10220999999</v>
      </c>
      <c r="E31" s="335">
        <f>D31/C31*100</f>
        <v>31.714109260452837</v>
      </c>
      <c r="F31" s="336">
        <f>SUM(F14:F29)</f>
        <v>42235.340000000004</v>
      </c>
      <c r="G31" s="337">
        <f>SUM(G14:G29)</f>
        <v>14635.695339999998</v>
      </c>
      <c r="H31" s="335">
        <f>G31/F31*100</f>
        <v>34.652722909298227</v>
      </c>
      <c r="I31" s="337">
        <f>SUM(I14:I29)</f>
        <v>5950.44</v>
      </c>
      <c r="J31" s="452">
        <f>SUM(J14:J29)</f>
        <v>2877.1876400000006</v>
      </c>
      <c r="K31" s="335">
        <f>J31/I31*100</f>
        <v>48.352519141441654</v>
      </c>
      <c r="L31" s="335">
        <f>SUM(L14:L29)</f>
        <v>3364.7400000000007</v>
      </c>
      <c r="M31" s="335">
        <f>SUM(M14:M29)</f>
        <v>2115.1298599999996</v>
      </c>
      <c r="N31" s="335">
        <f>M31/L31*100</f>
        <v>62.861613675945215</v>
      </c>
      <c r="O31" s="335">
        <f>SUM(O14:O29)</f>
        <v>36.059999999999995</v>
      </c>
      <c r="P31" s="335">
        <f>SUM(P14:P29)</f>
        <v>15.933269999999998</v>
      </c>
      <c r="Q31" s="335">
        <f>P31/O31*100</f>
        <v>44.18544093178037</v>
      </c>
      <c r="R31" s="335">
        <f>SUM(R14:R29)</f>
        <v>5619.9</v>
      </c>
      <c r="S31" s="335">
        <f>SUM(S14:S29)</f>
        <v>2941.10628</v>
      </c>
      <c r="T31" s="335">
        <f>S31/R31*100</f>
        <v>52.333783163401485</v>
      </c>
      <c r="U31" s="335">
        <f>SUM(U14:U29)</f>
        <v>0</v>
      </c>
      <c r="V31" s="335">
        <f>SUM(V14:V29)</f>
        <v>-394.80346999999995</v>
      </c>
      <c r="W31" s="335" t="e">
        <f>V31/U31*100</f>
        <v>#DIV/0!</v>
      </c>
      <c r="X31" s="337">
        <f>SUM(X14:X29)</f>
        <v>550</v>
      </c>
      <c r="Y31" s="337">
        <f>SUM(Y14:Y29)</f>
        <v>439.35693000000003</v>
      </c>
      <c r="Z31" s="335">
        <f>Y31/X31*100</f>
        <v>79.883078181818192</v>
      </c>
      <c r="AA31" s="337">
        <f>SUM(AA14:AA29)</f>
        <v>6050</v>
      </c>
      <c r="AB31" s="337">
        <f>SUM(AB14:AB29)</f>
        <v>670.85030999999992</v>
      </c>
      <c r="AC31" s="335">
        <f>AB31/AA31*100</f>
        <v>11.088434876033057</v>
      </c>
      <c r="AD31" s="337">
        <f>SUM(AD14:AD29)</f>
        <v>16922</v>
      </c>
      <c r="AE31" s="337">
        <f>SUM(AE14:AE29)</f>
        <v>3511.5814299999997</v>
      </c>
      <c r="AF31" s="335">
        <f>AE31/AD31*100</f>
        <v>20.75157445928377</v>
      </c>
      <c r="AG31" s="338">
        <f>SUM(AG14:AG29)</f>
        <v>118</v>
      </c>
      <c r="AH31" s="335">
        <f>SUM(AH14:AH29)</f>
        <v>24.44</v>
      </c>
      <c r="AI31" s="301">
        <f t="shared" si="24"/>
        <v>20.711864406779661</v>
      </c>
      <c r="AJ31" s="337">
        <f>AJ14+AJ15+AJ16+AJ17+AJ18+AJ19+AJ20+AJ21+AJ22+AJ23+AJ24+AJ25+AJ26+AJ27+AJ28+AJ29</f>
        <v>0</v>
      </c>
      <c r="AK31" s="337">
        <f>AK14+AK15+AK16+AK17+AK18+AK19+AK20+AK21+AK22+AK23+AK24+AK25+AK26+AK27+AK28+AK29</f>
        <v>0</v>
      </c>
      <c r="AL31" s="301" t="e">
        <f>AK31/AJ31*100</f>
        <v>#DIV/0!</v>
      </c>
      <c r="AM31" s="337">
        <f>SUM(AM14:AM29)</f>
        <v>0</v>
      </c>
      <c r="AN31" s="337">
        <f>SUM(AN14:AN29)</f>
        <v>0</v>
      </c>
      <c r="AO31" s="335" t="e">
        <f>AN31/AM31*100</f>
        <v>#DIV/0!</v>
      </c>
      <c r="AP31" s="337">
        <f>SUM(AP14:AP29)</f>
        <v>2733.3999999999996</v>
      </c>
      <c r="AQ31" s="337">
        <f>SUM(AQ14:AQ29)</f>
        <v>1670.7371199999998</v>
      </c>
      <c r="AR31" s="335">
        <f>AQ31/AP31*100</f>
        <v>61.123037974683548</v>
      </c>
      <c r="AS31" s="337">
        <f>SUM(AS14:AS29)</f>
        <v>390.79999999999995</v>
      </c>
      <c r="AT31" s="337">
        <f>SUM(AT14:AT29)</f>
        <v>167.65398000000002</v>
      </c>
      <c r="AU31" s="335">
        <f>AT31/AS31*100</f>
        <v>42.900199590583426</v>
      </c>
      <c r="AV31" s="337">
        <f>SUM(AV14:AV29)</f>
        <v>0</v>
      </c>
      <c r="AW31" s="337">
        <f>SUM(AW14:AW29)</f>
        <v>0</v>
      </c>
      <c r="AX31" s="335" t="e">
        <f>AW31/AV31*100</f>
        <v>#DIV/0!</v>
      </c>
      <c r="AY31" s="335">
        <f>SUM(AY14:AY29)</f>
        <v>500</v>
      </c>
      <c r="AZ31" s="335">
        <f>SUM(AZ14:AZ29)</f>
        <v>378.69080999999994</v>
      </c>
      <c r="BA31" s="301">
        <f t="shared" si="28"/>
        <v>75.738161999999988</v>
      </c>
      <c r="BB31" s="301">
        <f>SUM(BB14:BB29)</f>
        <v>0</v>
      </c>
      <c r="BC31" s="301">
        <f>SUM(BC14:BC29)</f>
        <v>0</v>
      </c>
      <c r="BD31" s="301" t="e">
        <f>BC31/BB31*100</f>
        <v>#DIV/0!</v>
      </c>
      <c r="BE31" s="336">
        <f>SUM(BE14:BE29)</f>
        <v>0</v>
      </c>
      <c r="BF31" s="337">
        <f>SUM(BF14:BF29)</f>
        <v>185.71784</v>
      </c>
      <c r="BG31" s="337" t="e">
        <f t="shared" si="29"/>
        <v>#DIV/0!</v>
      </c>
      <c r="BH31" s="337">
        <f>SUM(BH14:BH29)</f>
        <v>0</v>
      </c>
      <c r="BI31" s="337">
        <f>SUM(BI14:BI29)</f>
        <v>0</v>
      </c>
      <c r="BJ31" s="335" t="e">
        <f>BI31/BH31*100</f>
        <v>#DIV/0!</v>
      </c>
      <c r="BK31" s="335">
        <f>SUM(BK14:BK29)</f>
        <v>0</v>
      </c>
      <c r="BL31" s="335">
        <f>BL15+BL27+BL28+BL19+BL22+BL26+BL18</f>
        <v>0</v>
      </c>
      <c r="BM31" s="335" t="e">
        <f>BL31/BK31*100</f>
        <v>#DIV/0!</v>
      </c>
      <c r="BN31" s="335">
        <f>BN14+BN15+BN16+BN17+BN18+BN19+BN20+BN21+BN22+BN23+BN24+BN25+BN26+BN27+BN28+BN29</f>
        <v>0</v>
      </c>
      <c r="BO31" s="335">
        <f>BO14+BO15+BO16+BO17+BO18+BO19+BO20+BO21+BO22+BO23+BO24+BO25+BO26+BO27+BO28+BO29</f>
        <v>37.515119999999996</v>
      </c>
      <c r="BP31" s="483" t="e">
        <f>BO31/BN31*100</f>
        <v>#DIV/0!</v>
      </c>
      <c r="BQ31" s="337">
        <f>SUM(BQ14:BQ29)</f>
        <v>0</v>
      </c>
      <c r="BR31" s="337">
        <f>SUM(BR14:BR29)</f>
        <v>-5.4017800000000005</v>
      </c>
      <c r="BS31" s="335" t="e">
        <f>BR31/BQ31*100</f>
        <v>#DIV/0!</v>
      </c>
      <c r="BT31" s="335">
        <f t="shared" ref="BT31:BY31" si="57">SUM(BT14:BT29)</f>
        <v>0</v>
      </c>
      <c r="BU31" s="335"/>
      <c r="BV31" s="335" t="e">
        <f t="shared" si="57"/>
        <v>#DIV/0!</v>
      </c>
      <c r="BW31" s="335">
        <f t="shared" si="57"/>
        <v>0</v>
      </c>
      <c r="BX31" s="335">
        <f t="shared" si="57"/>
        <v>0</v>
      </c>
      <c r="BY31" s="339" t="e">
        <f t="shared" si="57"/>
        <v>#DIV/0!</v>
      </c>
      <c r="BZ31" s="336">
        <f>SUM(BZ14:BZ29)</f>
        <v>143549.79974999998</v>
      </c>
      <c r="CA31" s="337">
        <f>SUM(CA14:CA29)</f>
        <v>44284.406870000006</v>
      </c>
      <c r="CB31" s="337">
        <f t="shared" si="55"/>
        <v>30.849507938794606</v>
      </c>
      <c r="CC31" s="337">
        <f>SUM(CC14:CC29)</f>
        <v>53535.399999999994</v>
      </c>
      <c r="CD31" s="337">
        <f>SUM(CD14:CD29)</f>
        <v>26767.896000000008</v>
      </c>
      <c r="CE31" s="337">
        <f>CD31/CC31*100</f>
        <v>50.000366112889807</v>
      </c>
      <c r="CF31" s="336">
        <f>SUM(CF14:CF29)</f>
        <v>0</v>
      </c>
      <c r="CG31" s="463">
        <f>SUM(CG14:CG29)</f>
        <v>0</v>
      </c>
      <c r="CH31" s="463" t="e">
        <f>CG31/CF31*100</f>
        <v>#DIV/0!</v>
      </c>
      <c r="CI31" s="337">
        <f>SUM(CI14:CI29)</f>
        <v>62420.180470000007</v>
      </c>
      <c r="CJ31" s="337">
        <f>SUM(CJ14:CJ29)</f>
        <v>12465.940259999999</v>
      </c>
      <c r="CK31" s="337">
        <f>CJ31/CI31*100</f>
        <v>19.971009641651548</v>
      </c>
      <c r="CL31" s="337">
        <f>SUM(CL14:CL29)</f>
        <v>8695.4676999999992</v>
      </c>
      <c r="CM31" s="337">
        <f>SUM(CM14:CM29)</f>
        <v>1208.3999999999999</v>
      </c>
      <c r="CN31" s="337">
        <f t="shared" si="8"/>
        <v>13.896894815675068</v>
      </c>
      <c r="CO31" s="468">
        <f>SUM(CO14:CO29)</f>
        <v>15624.990000000002</v>
      </c>
      <c r="CP31" s="453">
        <f>SUM(CP14:CP29)</f>
        <v>1201.7617300000002</v>
      </c>
      <c r="CQ31" s="337">
        <f>CP31/CO31*100</f>
        <v>7.6912799944191965</v>
      </c>
      <c r="CR31" s="337">
        <f>SUM(CR14:CR29)</f>
        <v>3273.7615799999994</v>
      </c>
      <c r="CS31" s="337">
        <f>SUM(CS14:CS29)</f>
        <v>3111.0203499999998</v>
      </c>
      <c r="CT31" s="337">
        <f t="shared" si="9"/>
        <v>95.028922356648835</v>
      </c>
      <c r="CU31" s="337">
        <f>SUM(CU14:CU29)</f>
        <v>0</v>
      </c>
      <c r="CV31" s="337">
        <f>SUM(CV14:CV29)</f>
        <v>-470.61146999999994</v>
      </c>
      <c r="CW31" s="337" t="e">
        <f>CV31/CU31*100</f>
        <v>#DIV/0!</v>
      </c>
      <c r="CX31" s="337">
        <f>SUM(CX14:CX29)</f>
        <v>0</v>
      </c>
      <c r="CY31" s="337">
        <f>SUM(CY14:CY29)</f>
        <v>0</v>
      </c>
      <c r="CZ31" s="335" t="e">
        <f>CY31/CX31*100</f>
        <v>#DIV/0!</v>
      </c>
      <c r="DA31" s="335">
        <f>DA14+DA15+DA16+DA17+DA18+DA19+DA20+DA21+DA22+DA23+DA24+DA25+DA26+DA27+DA28+DA29</f>
        <v>0</v>
      </c>
      <c r="DB31" s="335">
        <f>DB14+DB15+DB16+DB17+DB18+DB19+DB20+DB21+DB22+DB23+DB24+DB25+DB26+DB27+DB28+DB29</f>
        <v>0</v>
      </c>
      <c r="DC31" s="335" t="e">
        <f>DB31/DA31*100</f>
        <v>#DIV/0!</v>
      </c>
      <c r="DD31" s="335">
        <f>DD14+DD15+DD16+DD17+DD18+DD19+DD20+DD21+DD22+DD23+DD24+DD25+DD26+DD27+DD28+DD29</f>
        <v>0</v>
      </c>
      <c r="DE31" s="335">
        <f>DE14+DE15+DE16+DE17+DE18+DE19+DE20+DE21+DE22+DE23+DE24+DE25+DE26+DE27+DE28+DE29</f>
        <v>0</v>
      </c>
      <c r="DF31" s="335">
        <v>0</v>
      </c>
      <c r="DG31" s="336">
        <f>SUM(DG14:DG29)</f>
        <v>190757.80556000001</v>
      </c>
      <c r="DH31" s="336">
        <f>SUM(DH14:DH29)</f>
        <v>52928.882590000016</v>
      </c>
      <c r="DI31" s="335">
        <f>DH31/DG31*100</f>
        <v>27.74664052913527</v>
      </c>
      <c r="DJ31" s="336">
        <f>SUM(DJ14:DJ29)</f>
        <v>26902.918230000003</v>
      </c>
      <c r="DK31" s="459">
        <f>SUM(DK14:DK29)</f>
        <v>12113.720449999999</v>
      </c>
      <c r="DL31" s="335">
        <f>DK31/DJ31*100</f>
        <v>45.027533245414759</v>
      </c>
      <c r="DM31" s="337">
        <f>SUM(DM14:DM29)</f>
        <v>24947.867000000002</v>
      </c>
      <c r="DN31" s="336">
        <f>SUM(DN14:DN29)</f>
        <v>11625.996219999999</v>
      </c>
      <c r="DO31" s="335">
        <f>DN31/DM31*100</f>
        <v>46.601163217681083</v>
      </c>
      <c r="DP31" s="337">
        <f>SUM(DP14:DP29)</f>
        <v>112.58</v>
      </c>
      <c r="DQ31" s="337">
        <f>SUM(DQ14:DQ29)</f>
        <v>0</v>
      </c>
      <c r="DR31" s="335">
        <f>DQ31/DP31*100</f>
        <v>0</v>
      </c>
      <c r="DS31" s="340">
        <f>SUM(DS14:DS29)</f>
        <v>1069.9769999999999</v>
      </c>
      <c r="DT31" s="335">
        <f>SUM(DT14:DT29)</f>
        <v>0</v>
      </c>
      <c r="DU31" s="335">
        <f>DT31/DS31*100</f>
        <v>0</v>
      </c>
      <c r="DV31" s="335">
        <f>SUM(DV14:DV29)</f>
        <v>772.49423000000002</v>
      </c>
      <c r="DW31" s="335">
        <f>SUM(DW14:DW29)</f>
        <v>487.72422999999998</v>
      </c>
      <c r="DX31" s="301">
        <f>DW31/DV31*100</f>
        <v>63.136294234844961</v>
      </c>
      <c r="DY31" s="335">
        <f>SUM(DY14:DY29)</f>
        <v>2384.6</v>
      </c>
      <c r="DZ31" s="340">
        <f>SUM(DZ14:DZ29)</f>
        <v>896.16521</v>
      </c>
      <c r="EA31" s="337">
        <f t="shared" si="49"/>
        <v>37.581364170091419</v>
      </c>
      <c r="EB31" s="340">
        <f>SUM(EB14:EB29)</f>
        <v>877.1</v>
      </c>
      <c r="EC31" s="340">
        <f>SUM(EC14:EC29)</f>
        <v>185.07830999999996</v>
      </c>
      <c r="ED31" s="301">
        <f t="shared" si="50"/>
        <v>21.101164063390716</v>
      </c>
      <c r="EE31" s="337">
        <f>SUM(EE14:EE29)</f>
        <v>47783.811809999999</v>
      </c>
      <c r="EF31" s="336">
        <f>SUM(EF14:EF29)</f>
        <v>9441.0126399999972</v>
      </c>
      <c r="EG31" s="335">
        <f>EF31/EE31*100</f>
        <v>19.757763732913876</v>
      </c>
      <c r="EH31" s="337">
        <f>SUM(EH14:EH29)</f>
        <v>79723.137450000009</v>
      </c>
      <c r="EI31" s="336">
        <f>SUM(EI14:EI29)</f>
        <v>16287.069900000004</v>
      </c>
      <c r="EJ31" s="335">
        <f>EI31/EH31*100</f>
        <v>20.42953955520726</v>
      </c>
      <c r="EK31" s="336">
        <f>SUM(EK14:EK29)</f>
        <v>32569.238069999999</v>
      </c>
      <c r="EL31" s="336">
        <f>SUM(EL14:EL29)</f>
        <v>13882.230079999999</v>
      </c>
      <c r="EM31" s="335">
        <f>EL31/EK31*100</f>
        <v>42.62374836698168</v>
      </c>
      <c r="EN31" s="336">
        <f>SUM(EN14:EN29)</f>
        <v>0</v>
      </c>
      <c r="EO31" s="336">
        <f>SUM(EO14:EO29)</f>
        <v>0</v>
      </c>
      <c r="EP31" s="335" t="e">
        <f>EO31/EN31*100</f>
        <v>#DIV/0!</v>
      </c>
      <c r="EQ31" s="337">
        <f>SUM(EQ14:EQ29)</f>
        <v>517</v>
      </c>
      <c r="ER31" s="337">
        <f>SUM(ER14:ER29)</f>
        <v>123.60600000000001</v>
      </c>
      <c r="ES31" s="335">
        <f>ER31/EQ31*100</f>
        <v>23.908317214700194</v>
      </c>
      <c r="ET31" s="335">
        <f>SUM(ET14:ET29)</f>
        <v>0</v>
      </c>
      <c r="EU31" s="338">
        <f>SUM(EU14:EU29)</f>
        <v>0</v>
      </c>
      <c r="EV31" s="301" t="e">
        <f>EU31/ET31*100</f>
        <v>#DIV/0!</v>
      </c>
      <c r="EW31" s="480">
        <f>SUM(EW14:EW29)</f>
        <v>-4972.6658099999986</v>
      </c>
      <c r="EX31" s="481">
        <f>SUM(EX14:EX29)</f>
        <v>5991.2196199999971</v>
      </c>
      <c r="EY31" s="301">
        <f>EX31/EW31*100</f>
        <v>-120.48305373652283</v>
      </c>
    </row>
    <row r="32" spans="1:170" s="168" customFormat="1" ht="27.75" customHeight="1">
      <c r="C32" s="167">
        <v>185785.13975</v>
      </c>
      <c r="D32" s="167">
        <v>58920.102209999997</v>
      </c>
      <c r="E32" s="167"/>
      <c r="F32" s="167">
        <v>42235.34</v>
      </c>
      <c r="G32" s="167">
        <v>14635.69534</v>
      </c>
      <c r="H32" s="167"/>
      <c r="I32" s="167">
        <v>5950.44</v>
      </c>
      <c r="J32" s="167">
        <v>2877.1876400000001</v>
      </c>
      <c r="K32" s="167"/>
      <c r="L32" s="167">
        <v>3364.74</v>
      </c>
      <c r="M32" s="167">
        <v>2115.12986</v>
      </c>
      <c r="N32" s="167"/>
      <c r="O32" s="167">
        <v>36.06</v>
      </c>
      <c r="P32" s="167">
        <v>15.93327</v>
      </c>
      <c r="Q32" s="167"/>
      <c r="R32" s="167">
        <v>5619.9</v>
      </c>
      <c r="S32" s="167">
        <v>2941.10628</v>
      </c>
      <c r="T32" s="167"/>
      <c r="U32" s="167" t="e">
        <f>#REF!-U31</f>
        <v>#REF!</v>
      </c>
      <c r="V32" s="167">
        <v>-394.80347</v>
      </c>
      <c r="W32" s="167"/>
      <c r="X32" s="167">
        <v>550</v>
      </c>
      <c r="Y32" s="167">
        <v>439.35692999999998</v>
      </c>
      <c r="Z32" s="167"/>
      <c r="AA32" s="167">
        <v>6050</v>
      </c>
      <c r="AB32" s="167">
        <v>670.85031000000004</v>
      </c>
      <c r="AC32" s="167"/>
      <c r="AD32" s="167">
        <v>16922</v>
      </c>
      <c r="AE32" s="167">
        <v>3511.5814300000002</v>
      </c>
      <c r="AF32" s="167"/>
      <c r="AG32" s="167">
        <v>118</v>
      </c>
      <c r="AH32" s="167">
        <v>24.44</v>
      </c>
      <c r="AI32" s="167"/>
      <c r="AJ32" s="167" t="e">
        <f>#REF!-AJ31</f>
        <v>#REF!</v>
      </c>
      <c r="AK32" s="167" t="e">
        <f>#REF!-AK31</f>
        <v>#REF!</v>
      </c>
      <c r="AL32" s="167"/>
      <c r="AM32" s="167" t="e">
        <f>#REF!-AM31</f>
        <v>#REF!</v>
      </c>
      <c r="AN32" s="167" t="e">
        <f>#REF!-AN31</f>
        <v>#REF!</v>
      </c>
      <c r="AO32" s="167"/>
      <c r="AP32" s="167">
        <v>2733.4</v>
      </c>
      <c r="AQ32" s="167">
        <v>1670.73712</v>
      </c>
      <c r="AR32" s="167"/>
      <c r="AS32" s="167">
        <v>390.8</v>
      </c>
      <c r="AT32" s="167">
        <v>167.65397999999999</v>
      </c>
      <c r="AU32" s="167"/>
      <c r="AV32" s="167" t="e">
        <f>#REF!-AV31</f>
        <v>#REF!</v>
      </c>
      <c r="AW32" s="167" t="e">
        <f>#REF!-AW31</f>
        <v>#REF!</v>
      </c>
      <c r="AX32" s="167" t="e">
        <f>#REF!-AX31</f>
        <v>#REF!</v>
      </c>
      <c r="AY32" s="167">
        <v>500</v>
      </c>
      <c r="AZ32" s="167">
        <v>378.69081</v>
      </c>
      <c r="BA32" s="167"/>
      <c r="BB32" s="167" t="e">
        <f>#REF!-BB31</f>
        <v>#REF!</v>
      </c>
      <c r="BC32" s="167" t="e">
        <f>#REF!-BC31</f>
        <v>#REF!</v>
      </c>
      <c r="BD32" s="167" t="e">
        <f>#REF!-BD31</f>
        <v>#REF!</v>
      </c>
      <c r="BE32" s="167">
        <v>0</v>
      </c>
      <c r="BF32" s="167">
        <v>185.71784</v>
      </c>
      <c r="BG32" s="167"/>
      <c r="BH32" s="167" t="e">
        <f>#REF!-BH31</f>
        <v>#REF!</v>
      </c>
      <c r="BI32" s="167" t="e">
        <f>#REF!-BI31</f>
        <v>#REF!</v>
      </c>
      <c r="BJ32" s="167" t="e">
        <f>#REF!-BJ31</f>
        <v>#REF!</v>
      </c>
      <c r="BK32" s="167" t="e">
        <f>#REF!-BK31</f>
        <v>#REF!</v>
      </c>
      <c r="BL32" s="167" t="e">
        <f>#REF!-BL31</f>
        <v>#REF!</v>
      </c>
      <c r="BM32" s="167" t="e">
        <f>#REF!-BM31</f>
        <v>#REF!</v>
      </c>
      <c r="BN32" s="167">
        <v>0</v>
      </c>
      <c r="BO32" s="167">
        <v>37.515120000000003</v>
      </c>
      <c r="BP32" s="167"/>
      <c r="BQ32" s="167" t="e">
        <f>#REF!-BQ31</f>
        <v>#REF!</v>
      </c>
      <c r="BR32" s="167">
        <v>-5.4017799999999996</v>
      </c>
      <c r="BS32" s="167"/>
      <c r="BT32" s="167" t="e">
        <f>#REF!-BT31</f>
        <v>#REF!</v>
      </c>
      <c r="BU32" s="167" t="e">
        <f>#REF!-BU31</f>
        <v>#REF!</v>
      </c>
      <c r="BV32" s="167" t="e">
        <f>#REF!-BV31</f>
        <v>#REF!</v>
      </c>
      <c r="BW32" s="167" t="e">
        <f>#REF!-BW31</f>
        <v>#REF!</v>
      </c>
      <c r="BX32" s="167" t="e">
        <f>#REF!-BX31</f>
        <v>#REF!</v>
      </c>
      <c r="BY32" s="167" t="e">
        <f>#REF!-BY31</f>
        <v>#REF!</v>
      </c>
      <c r="BZ32" s="167">
        <v>143549.79975000001</v>
      </c>
      <c r="CA32" s="167">
        <v>44284.406869999999</v>
      </c>
      <c r="CB32" s="167"/>
      <c r="CC32" s="167">
        <v>53535.4</v>
      </c>
      <c r="CD32" s="167">
        <v>26767.896000000001</v>
      </c>
      <c r="CE32" s="167"/>
      <c r="CF32" s="167">
        <v>0</v>
      </c>
      <c r="CG32" s="167">
        <v>0</v>
      </c>
      <c r="CH32" s="167"/>
      <c r="CI32" s="167">
        <v>62420.180469999999</v>
      </c>
      <c r="CJ32" s="167">
        <v>12465.940259999999</v>
      </c>
      <c r="CK32" s="167"/>
      <c r="CL32" s="167">
        <v>8695.4676999999992</v>
      </c>
      <c r="CM32" s="167">
        <v>1208.4000000000001</v>
      </c>
      <c r="CN32" s="167"/>
      <c r="CO32" s="167">
        <v>15624.99</v>
      </c>
      <c r="CP32" s="167">
        <v>1201.7617299999999</v>
      </c>
      <c r="CQ32" s="167"/>
      <c r="CR32" s="167">
        <v>3273.7615799999999</v>
      </c>
      <c r="CS32" s="167">
        <v>3111.0203499999998</v>
      </c>
      <c r="CT32" s="167"/>
      <c r="CU32" s="167" t="e">
        <f>#REF!-CU31</f>
        <v>#REF!</v>
      </c>
      <c r="CV32" s="167">
        <v>-470.61147</v>
      </c>
      <c r="CW32" s="167"/>
      <c r="CX32" s="167" t="e">
        <f>#REF!-CX31</f>
        <v>#REF!</v>
      </c>
      <c r="CY32" s="167" t="e">
        <f>#REF!-CY31</f>
        <v>#REF!</v>
      </c>
      <c r="CZ32" s="167" t="e">
        <f>#REF!-CZ31</f>
        <v>#REF!</v>
      </c>
      <c r="DA32" s="167" t="e">
        <f>#REF!-DA31</f>
        <v>#REF!</v>
      </c>
      <c r="DB32" s="167" t="e">
        <f>#REF!-DB31</f>
        <v>#REF!</v>
      </c>
      <c r="DC32" s="167" t="e">
        <f>#REF!-DC31</f>
        <v>#REF!</v>
      </c>
      <c r="DD32" s="167" t="e">
        <f>#REF!-DD31</f>
        <v>#REF!</v>
      </c>
      <c r="DE32" s="167" t="e">
        <f>#REF!-DE31</f>
        <v>#REF!</v>
      </c>
      <c r="DF32" s="167"/>
      <c r="DG32" s="167">
        <v>190757.80556000001</v>
      </c>
      <c r="DH32" s="167">
        <v>52928.882590000001</v>
      </c>
      <c r="DI32" s="167"/>
      <c r="DJ32" s="167">
        <v>26902.918229999999</v>
      </c>
      <c r="DK32" s="167">
        <v>12113.720450000001</v>
      </c>
      <c r="DL32" s="167"/>
      <c r="DM32" s="167">
        <v>24947.866999999998</v>
      </c>
      <c r="DN32" s="167">
        <v>11625.996220000001</v>
      </c>
      <c r="DO32" s="167"/>
      <c r="DP32" s="167">
        <v>112.58</v>
      </c>
      <c r="DQ32" s="167">
        <v>0</v>
      </c>
      <c r="DR32" s="167"/>
      <c r="DS32" s="167">
        <v>1069.9770000000001</v>
      </c>
      <c r="DT32" s="167" t="e">
        <f>#REF!-DT31</f>
        <v>#REF!</v>
      </c>
      <c r="DU32" s="167"/>
      <c r="DV32" s="167">
        <v>772.49423000000002</v>
      </c>
      <c r="DW32" s="167">
        <v>487.72422999999998</v>
      </c>
      <c r="DX32" s="167"/>
      <c r="DY32" s="167">
        <v>2384.6</v>
      </c>
      <c r="DZ32" s="167">
        <v>896.16521</v>
      </c>
      <c r="EA32" s="167"/>
      <c r="EB32" s="167">
        <v>877.1</v>
      </c>
      <c r="EC32" s="167">
        <v>185.07830999999999</v>
      </c>
      <c r="ED32" s="167"/>
      <c r="EE32" s="167">
        <v>47783.811809999999</v>
      </c>
      <c r="EF32" s="167">
        <v>9441.0126400000008</v>
      </c>
      <c r="EG32" s="167"/>
      <c r="EH32" s="167">
        <v>79723.137449999995</v>
      </c>
      <c r="EI32" s="167">
        <v>16287.0699</v>
      </c>
      <c r="EJ32" s="167"/>
      <c r="EK32" s="167">
        <v>32569.238069999999</v>
      </c>
      <c r="EL32" s="167">
        <v>13882.230079999999</v>
      </c>
      <c r="EM32" s="167"/>
      <c r="EN32" s="167">
        <v>0</v>
      </c>
      <c r="EO32" s="167">
        <v>0</v>
      </c>
      <c r="EP32" s="167"/>
      <c r="EQ32" s="167">
        <v>517</v>
      </c>
      <c r="ER32" s="167">
        <v>123.60599999999999</v>
      </c>
      <c r="ES32" s="167"/>
      <c r="ET32" s="167" t="e">
        <f>#REF!-ET31</f>
        <v>#REF!</v>
      </c>
      <c r="EU32" s="167" t="e">
        <f>#REF!-EU31</f>
        <v>#REF!</v>
      </c>
      <c r="EV32" s="167"/>
      <c r="EW32" s="167">
        <v>-4972.6658100000004</v>
      </c>
      <c r="EX32" s="167">
        <v>5991.2196199999998</v>
      </c>
    </row>
    <row r="33" spans="3:155">
      <c r="C33" s="167">
        <f>C32-C31</f>
        <v>0</v>
      </c>
      <c r="D33" s="167">
        <f>D32-D31</f>
        <v>0</v>
      </c>
      <c r="E33" s="167"/>
      <c r="F33" s="167">
        <f>F32-F31</f>
        <v>0</v>
      </c>
      <c r="G33" s="167">
        <f>G32-G31</f>
        <v>0</v>
      </c>
      <c r="H33" s="167"/>
      <c r="I33" s="167">
        <f>I32-I31</f>
        <v>0</v>
      </c>
      <c r="J33" s="167">
        <f>J32-J31</f>
        <v>0</v>
      </c>
      <c r="K33" s="167"/>
      <c r="L33" s="167">
        <f>L32-L31</f>
        <v>0</v>
      </c>
      <c r="M33" s="167">
        <f>M32-M31</f>
        <v>0</v>
      </c>
      <c r="N33" s="167"/>
      <c r="O33" s="167">
        <f>O32-O31</f>
        <v>0</v>
      </c>
      <c r="P33" s="167">
        <f>P32-P31</f>
        <v>0</v>
      </c>
      <c r="Q33" s="167"/>
      <c r="R33" s="167">
        <f>R32-R31</f>
        <v>0</v>
      </c>
      <c r="S33" s="167">
        <f>S32-S31</f>
        <v>0</v>
      </c>
      <c r="T33" s="167"/>
      <c r="U33" s="167" t="e">
        <f>U32-U31</f>
        <v>#REF!</v>
      </c>
      <c r="V33" s="167">
        <f>V32-V31</f>
        <v>0</v>
      </c>
      <c r="W33" s="167"/>
      <c r="X33" s="167">
        <f>X32-X31</f>
        <v>0</v>
      </c>
      <c r="Y33" s="167">
        <f>Y32-Y31</f>
        <v>0</v>
      </c>
      <c r="Z33" s="167"/>
      <c r="AA33" s="167">
        <f>AA32-AA31</f>
        <v>0</v>
      </c>
      <c r="AB33" s="167">
        <f>AB32-AB31</f>
        <v>0</v>
      </c>
      <c r="AC33" s="167"/>
      <c r="AD33" s="167">
        <f>AD32-AD31</f>
        <v>0</v>
      </c>
      <c r="AE33" s="167">
        <f>AE32-AE31</f>
        <v>0</v>
      </c>
      <c r="AF33" s="167"/>
      <c r="AG33" s="167">
        <f>AG32-AG31</f>
        <v>0</v>
      </c>
      <c r="AH33" s="167">
        <f>AH32-AH31</f>
        <v>0</v>
      </c>
      <c r="AI33" s="167"/>
      <c r="AJ33" s="167" t="e">
        <f t="shared" ref="AJ33:AQ33" si="58">AJ32-AJ31</f>
        <v>#REF!</v>
      </c>
      <c r="AK33" s="167" t="e">
        <f t="shared" si="58"/>
        <v>#REF!</v>
      </c>
      <c r="AL33" s="167" t="e">
        <f t="shared" si="58"/>
        <v>#DIV/0!</v>
      </c>
      <c r="AM33" s="167" t="e">
        <f t="shared" si="58"/>
        <v>#REF!</v>
      </c>
      <c r="AN33" s="167" t="e">
        <f t="shared" si="58"/>
        <v>#REF!</v>
      </c>
      <c r="AO33" s="167" t="e">
        <f t="shared" si="58"/>
        <v>#DIV/0!</v>
      </c>
      <c r="AP33" s="167">
        <f t="shared" si="58"/>
        <v>0</v>
      </c>
      <c r="AQ33" s="167">
        <f t="shared" si="58"/>
        <v>0</v>
      </c>
      <c r="AR33" s="167"/>
      <c r="AS33" s="167">
        <f>AS32-AS31</f>
        <v>0</v>
      </c>
      <c r="AT33" s="167">
        <f>AT32-AT31</f>
        <v>0</v>
      </c>
      <c r="AU33" s="167"/>
      <c r="AV33" s="167" t="e">
        <f>AV32-AV31</f>
        <v>#REF!</v>
      </c>
      <c r="AW33" s="167" t="e">
        <f>AW32-AW31</f>
        <v>#REF!</v>
      </c>
      <c r="AX33" s="167" t="e">
        <f>AX32-AX31</f>
        <v>#REF!</v>
      </c>
      <c r="AY33" s="167">
        <f>AY32-AY31</f>
        <v>0</v>
      </c>
      <c r="AZ33" s="167">
        <f>AZ32-AZ31</f>
        <v>0</v>
      </c>
      <c r="BA33" s="167"/>
      <c r="BB33" s="167" t="e">
        <f>BB32-BB31</f>
        <v>#REF!</v>
      </c>
      <c r="BC33" s="167" t="e">
        <f>BC32-BC31</f>
        <v>#REF!</v>
      </c>
      <c r="BD33" s="167" t="e">
        <f>BD32-BD31</f>
        <v>#REF!</v>
      </c>
      <c r="BE33" s="167">
        <f>BE32-BE31</f>
        <v>0</v>
      </c>
      <c r="BF33" s="167">
        <f>BF32-BF31</f>
        <v>0</v>
      </c>
      <c r="BG33" s="167"/>
      <c r="BH33" s="167" t="e">
        <f t="shared" ref="BH33:BO33" si="59">BH32-BH31</f>
        <v>#REF!</v>
      </c>
      <c r="BI33" s="167" t="e">
        <f t="shared" si="59"/>
        <v>#REF!</v>
      </c>
      <c r="BJ33" s="167" t="e">
        <f t="shared" si="59"/>
        <v>#REF!</v>
      </c>
      <c r="BK33" s="167" t="e">
        <f t="shared" si="59"/>
        <v>#REF!</v>
      </c>
      <c r="BL33" s="167" t="e">
        <f t="shared" si="59"/>
        <v>#REF!</v>
      </c>
      <c r="BM33" s="167" t="e">
        <f t="shared" si="59"/>
        <v>#REF!</v>
      </c>
      <c r="BN33" s="167">
        <f t="shared" si="59"/>
        <v>0</v>
      </c>
      <c r="BO33" s="167">
        <f t="shared" si="59"/>
        <v>0</v>
      </c>
      <c r="BP33" s="167"/>
      <c r="BQ33" s="167" t="e">
        <f>BQ32-BQ31</f>
        <v>#REF!</v>
      </c>
      <c r="BR33" s="167">
        <f>BR32-BR31</f>
        <v>0</v>
      </c>
      <c r="BS33" s="167"/>
      <c r="BT33" s="167" t="e">
        <f t="shared" ref="BT33:CA33" si="60">BT32-BT31</f>
        <v>#REF!</v>
      </c>
      <c r="BU33" s="167" t="e">
        <f t="shared" si="60"/>
        <v>#REF!</v>
      </c>
      <c r="BV33" s="167" t="e">
        <f t="shared" si="60"/>
        <v>#REF!</v>
      </c>
      <c r="BW33" s="167" t="e">
        <f t="shared" si="60"/>
        <v>#REF!</v>
      </c>
      <c r="BX33" s="167" t="e">
        <f t="shared" si="60"/>
        <v>#REF!</v>
      </c>
      <c r="BY33" s="167" t="e">
        <f t="shared" si="60"/>
        <v>#REF!</v>
      </c>
      <c r="BZ33" s="167">
        <f t="shared" si="60"/>
        <v>0</v>
      </c>
      <c r="CA33" s="167">
        <f t="shared" si="60"/>
        <v>0</v>
      </c>
      <c r="CB33" s="167"/>
      <c r="CC33" s="167">
        <f>CC32-CC31</f>
        <v>0</v>
      </c>
      <c r="CD33" s="167">
        <f>CD32-CD31</f>
        <v>0</v>
      </c>
      <c r="CE33" s="167"/>
      <c r="CF33" s="167">
        <f>CF32-CF31</f>
        <v>0</v>
      </c>
      <c r="CG33" s="167">
        <f>CG32-CG31</f>
        <v>0</v>
      </c>
      <c r="CH33" s="167"/>
      <c r="CI33" s="167">
        <f>CI32-CI31</f>
        <v>0</v>
      </c>
      <c r="CJ33" s="167">
        <f>CJ32-CJ31</f>
        <v>0</v>
      </c>
      <c r="CK33" s="167"/>
      <c r="CL33" s="167">
        <f>CL32-CL31</f>
        <v>0</v>
      </c>
      <c r="CM33" s="167">
        <f>CM32-CM31</f>
        <v>0</v>
      </c>
      <c r="CN33" s="167"/>
      <c r="CO33" s="167">
        <f>CO32-CO31</f>
        <v>0</v>
      </c>
      <c r="CP33" s="167">
        <f>CP32-CP31</f>
        <v>0</v>
      </c>
      <c r="CQ33" s="167"/>
      <c r="CR33" s="167">
        <f>CR32-CR31</f>
        <v>0</v>
      </c>
      <c r="CS33" s="167">
        <f>CS32-CS31</f>
        <v>0</v>
      </c>
      <c r="CT33" s="167"/>
      <c r="CU33" s="167" t="e">
        <f>CU32-CU31</f>
        <v>#REF!</v>
      </c>
      <c r="CV33" s="167">
        <f>CV32-CV31</f>
        <v>0</v>
      </c>
      <c r="CW33" s="167"/>
      <c r="CX33" s="167" t="e">
        <f t="shared" ref="CX33:DH33" si="61">CX32-CX31</f>
        <v>#REF!</v>
      </c>
      <c r="CY33" s="167" t="e">
        <f t="shared" si="61"/>
        <v>#REF!</v>
      </c>
      <c r="CZ33" s="167" t="e">
        <f t="shared" si="61"/>
        <v>#REF!</v>
      </c>
      <c r="DA33" s="167" t="e">
        <f t="shared" si="61"/>
        <v>#REF!</v>
      </c>
      <c r="DB33" s="167" t="e">
        <f t="shared" si="61"/>
        <v>#REF!</v>
      </c>
      <c r="DC33" s="167" t="e">
        <f t="shared" si="61"/>
        <v>#REF!</v>
      </c>
      <c r="DD33" s="167" t="e">
        <f t="shared" si="61"/>
        <v>#REF!</v>
      </c>
      <c r="DE33" s="167" t="e">
        <f t="shared" si="61"/>
        <v>#REF!</v>
      </c>
      <c r="DF33" s="167">
        <f t="shared" si="61"/>
        <v>0</v>
      </c>
      <c r="DG33" s="167">
        <f t="shared" si="61"/>
        <v>0</v>
      </c>
      <c r="DH33" s="167">
        <f t="shared" si="61"/>
        <v>0</v>
      </c>
      <c r="DI33" s="167"/>
      <c r="DJ33" s="167">
        <f>DJ32-DJ31</f>
        <v>0</v>
      </c>
      <c r="DK33" s="167">
        <f>DK32-DK31</f>
        <v>0</v>
      </c>
      <c r="DL33" s="167"/>
      <c r="DM33" s="167">
        <f>DM32-DM31</f>
        <v>0</v>
      </c>
      <c r="DN33" s="167">
        <f>DN32-DN31</f>
        <v>0</v>
      </c>
      <c r="DO33" s="167"/>
      <c r="DP33" s="167">
        <f>DP32-DP31</f>
        <v>0</v>
      </c>
      <c r="DQ33" s="167">
        <f>DQ32-DQ31</f>
        <v>0</v>
      </c>
      <c r="DR33" s="167"/>
      <c r="DS33" s="167">
        <f>DS32-DS31</f>
        <v>0</v>
      </c>
      <c r="DT33" s="167" t="e">
        <f>DT32-DT31</f>
        <v>#REF!</v>
      </c>
      <c r="DU33" s="167"/>
      <c r="DV33" s="167">
        <f>DV32-DV31</f>
        <v>0</v>
      </c>
      <c r="DW33" s="167">
        <f>DW32-DW31</f>
        <v>0</v>
      </c>
      <c r="DX33" s="167"/>
      <c r="DY33" s="167">
        <f>DY32-DY31</f>
        <v>0</v>
      </c>
      <c r="DZ33" s="167">
        <f>DZ32-DZ31</f>
        <v>0</v>
      </c>
      <c r="EA33" s="167"/>
      <c r="EB33" s="167">
        <f>EB32-EB31</f>
        <v>0</v>
      </c>
      <c r="EC33" s="167">
        <f>EC32-EC31</f>
        <v>0</v>
      </c>
      <c r="ED33" s="167"/>
      <c r="EE33" s="167">
        <f>EE32-EE31</f>
        <v>0</v>
      </c>
      <c r="EF33" s="167">
        <f>EF32-EF31</f>
        <v>0</v>
      </c>
      <c r="EG33" s="167"/>
      <c r="EH33" s="167">
        <f>EH32-EH31</f>
        <v>0</v>
      </c>
      <c r="EI33" s="167">
        <f>EI32-EI31</f>
        <v>0</v>
      </c>
      <c r="EJ33" s="167"/>
      <c r="EK33" s="167">
        <f>EK32-EK31</f>
        <v>0</v>
      </c>
      <c r="EL33" s="167">
        <f>EL32-EL31</f>
        <v>0</v>
      </c>
      <c r="EM33" s="167"/>
      <c r="EN33" s="167">
        <f>EN32-EN31</f>
        <v>0</v>
      </c>
      <c r="EO33" s="167">
        <f>EO32-EO31</f>
        <v>0</v>
      </c>
      <c r="EP33" s="167"/>
      <c r="EQ33" s="167">
        <f>EQ32-EQ31</f>
        <v>0</v>
      </c>
      <c r="ER33" s="167">
        <f>ER32-ER31</f>
        <v>0</v>
      </c>
      <c r="ES33" s="167"/>
      <c r="ET33" s="167" t="e">
        <f>ET32-ET31</f>
        <v>#REF!</v>
      </c>
      <c r="EU33" s="167" t="e">
        <f>EU32-EU31</f>
        <v>#REF!</v>
      </c>
      <c r="EV33" s="167"/>
      <c r="EW33" s="167">
        <f>EW32-EW31</f>
        <v>0</v>
      </c>
      <c r="EX33" s="167">
        <f>EX32-EX31</f>
        <v>0</v>
      </c>
      <c r="EY33" s="169"/>
    </row>
  </sheetData>
  <customSheetViews>
    <customSheetView guid="{1718F1EE-9F48-4DBE-9531-3B70F9C4A5DD}" scale="75" showPageBreaks="1" printArea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1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5BFCA170-DEAE-4D2C-98A0-1E68B427AC01}" scale="75" showPageBreaks="1" printArea="1" hiddenColumns="1" view="pageBreakPreview" topLeftCell="A10">
      <pane xSplit="2" ySplit="4" topLeftCell="BP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3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B30CE22D-C12F-4E12-8BB9-3AAE0A6991CC}" scale="75" showPageBreaks="1" fitToPage="1" printArea="1" hiddenColumns="1" view="pageBreakPreview" topLeftCell="A4">
      <selection activeCell="C14" sqref="C14:D29"/>
      <colBreaks count="6" manualBreakCount="6">
        <brk id="17" max="30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53" fitToWidth="7" orientation="landscape" r:id="rId8"/>
    </customSheetView>
    <customSheetView guid="{61528DAC-5C4C-48F4-ADE2-8A724B05A086}" scale="70" showPageBreaks="1" fitToPage="1" printArea="1" hiddenColumns="1" view="pageBreakPreview">
      <selection activeCell="EX32" sqref="EX32"/>
      <colBreaks count="6" manualBreakCount="6">
        <brk id="17" max="29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28000000000000003" bottom="0.32" header="0.31496062992125984" footer="0.31496062992125984"/>
      <pageSetup paperSize="9" scale="68" fitToWidth="11" orientation="landscape" r:id="rId9"/>
    </customSheetView>
  </customSheetViews>
  <mergeCells count="69">
    <mergeCell ref="CO9:CQ11"/>
    <mergeCell ref="CU9:CW11"/>
    <mergeCell ref="DD9:DF11"/>
    <mergeCell ref="EB9:ED11"/>
    <mergeCell ref="DM11:DO11"/>
    <mergeCell ref="DV11:DX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</mergeCells>
  <phoneticPr fontId="14" type="noConversion"/>
  <pageMargins left="0.70866141732283472" right="0.19685039370078741" top="0.74803149606299213" bottom="0.74803149606299213" header="0.31496062992125984" footer="0.31496062992125984"/>
  <pageSetup paperSize="9" scale="46" fitToWidth="0" fitToHeight="0" orientation="landscape" r:id="rId10"/>
  <colBreaks count="6" manualBreakCount="6">
    <brk id="17" max="29" man="1"/>
    <brk id="35" max="29" man="1"/>
    <brk id="59" max="29" man="1"/>
    <brk id="92" max="30" man="1"/>
    <brk id="116" max="29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342</v>
      </c>
      <c r="AO1" t="s">
        <v>343</v>
      </c>
      <c r="AP1" t="s">
        <v>344</v>
      </c>
      <c r="AS1" t="s">
        <v>345</v>
      </c>
      <c r="AW1">
        <v>187.4</v>
      </c>
      <c r="AX1" t="s">
        <v>346</v>
      </c>
      <c r="AY1" t="s">
        <v>347</v>
      </c>
    </row>
    <row r="2" spans="32:51">
      <c r="AF2" t="s">
        <v>348</v>
      </c>
      <c r="AJ2" t="s">
        <v>349</v>
      </c>
    </row>
    <row r="3" spans="32:51">
      <c r="AF3" t="s">
        <v>351</v>
      </c>
      <c r="AH3" t="s">
        <v>350</v>
      </c>
      <c r="AJ3" t="s">
        <v>351</v>
      </c>
      <c r="AN3" t="s">
        <v>350</v>
      </c>
      <c r="AO3" t="s">
        <v>350</v>
      </c>
      <c r="AP3" t="s">
        <v>350</v>
      </c>
      <c r="AS3" t="s">
        <v>352</v>
      </c>
      <c r="AT3" t="s">
        <v>353</v>
      </c>
      <c r="AU3" t="s">
        <v>354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355</v>
      </c>
      <c r="AU4" t="s">
        <v>356</v>
      </c>
      <c r="AV4" t="s">
        <v>357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358</v>
      </c>
      <c r="AU5" t="s">
        <v>356</v>
      </c>
      <c r="AV5" t="s">
        <v>359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360</v>
      </c>
      <c r="AU6" t="s">
        <v>356</v>
      </c>
      <c r="AV6" t="s">
        <v>359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361</v>
      </c>
      <c r="AU7" t="s">
        <v>356</v>
      </c>
      <c r="AV7" t="s">
        <v>362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363</v>
      </c>
      <c r="AU8" t="s">
        <v>356</v>
      </c>
      <c r="AV8" t="s">
        <v>364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365</v>
      </c>
      <c r="AU9" t="s">
        <v>356</v>
      </c>
      <c r="AV9" t="s">
        <v>366</v>
      </c>
      <c r="AW9" t="s">
        <v>367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368</v>
      </c>
      <c r="AU10" t="s">
        <v>356</v>
      </c>
      <c r="AV10" t="s">
        <v>369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370</v>
      </c>
      <c r="AU11" t="s">
        <v>356</v>
      </c>
      <c r="AV11" t="s">
        <v>371</v>
      </c>
      <c r="AW11" t="s">
        <v>367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372</v>
      </c>
      <c r="AU12" t="s">
        <v>356</v>
      </c>
      <c r="AV12" t="s">
        <v>373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374</v>
      </c>
      <c r="AU13" t="s">
        <v>356</v>
      </c>
      <c r="AV13" t="s">
        <v>375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376</v>
      </c>
      <c r="AU14" t="s">
        <v>356</v>
      </c>
      <c r="AV14" t="s">
        <v>362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377</v>
      </c>
      <c r="AU15" t="s">
        <v>356</v>
      </c>
      <c r="AV15" t="s">
        <v>378</v>
      </c>
      <c r="AW15" t="s">
        <v>379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380</v>
      </c>
      <c r="AU16" t="s">
        <v>356</v>
      </c>
      <c r="AV16" t="s">
        <v>359</v>
      </c>
      <c r="AW16" t="s">
        <v>381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382</v>
      </c>
      <c r="AU17" t="s">
        <v>356</v>
      </c>
      <c r="AV17" t="s">
        <v>383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384</v>
      </c>
      <c r="AU18" t="s">
        <v>356</v>
      </c>
      <c r="AV18" t="s">
        <v>359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385</v>
      </c>
      <c r="AU19" t="s">
        <v>386</v>
      </c>
      <c r="AV19" t="s">
        <v>369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387</v>
      </c>
      <c r="AY20" t="s">
        <v>388</v>
      </c>
    </row>
    <row r="82" hidden="1"/>
    <row r="83" hidden="1"/>
    <row r="84" hidden="1"/>
  </sheetData>
  <customSheetViews>
    <customSheetView guid="{1718F1EE-9F48-4DBE-9531-3B70F9C4A5DD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3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5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7"/>
    </customSheetView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8"/>
    </customSheetView>
  </customSheetViews>
  <pageMargins left="0.7" right="0.7" top="0.75" bottom="0.75" header="0.3" footer="0.3"/>
  <pageSetup paperSize="9" orientation="portrait" verticalDpi="0" r:id="rId9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1718F1EE-9F48-4DBE-9531-3B70F9C4A5DD}" state="hidden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1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2"/>
    </customSheetView>
    <customSheetView guid="{3DCB9AAA-F09C-4EA6-B992-F93E466D374A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B30CE22D-C12F-4E12-8BB9-3AAE0A6991CC}" showPageBreaks="1" state="hidden" topLeftCell="A16">
      <pageMargins left="0.7" right="0.7" top="0.75" bottom="0.75" header="0.3" footer="0.3"/>
      <pageSetup paperSize="9" orientation="portrait" r:id="rId3"/>
    </customSheetView>
    <customSheetView guid="{61528DAC-5C4C-48F4-ADE2-8A724B05A086}" state="hidden" topLeftCell="A16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1718F1EE-9F48-4DBE-9531-3B70F9C4A5DD}">
      <selection activeCell="F23" sqref="F23"/>
      <pageMargins left="0.7" right="0.7" top="0.75" bottom="0.75" header="0.3" footer="0.3"/>
    </customSheetView>
    <customSheetView guid="{B31C8DB7-3E78-4144-A6B5-8DE36DE63F0E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selection activeCell="F23" sqref="F23"/>
      <pageMargins left="0.7" right="0.7" top="0.75" bottom="0.75" header="0.3" footer="0.3"/>
      <pageSetup paperSize="9" orientation="portrait" r:id="rId2"/>
    </customSheetView>
    <customSheetView guid="{61528DAC-5C4C-48F4-ADE2-8A724B05A086}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1718F1EE-9F48-4DBE-9531-3B70F9C4A5DD}">
      <pageMargins left="0.7" right="0.7" top="0.75" bottom="0.75" header="0.3" footer="0.3"/>
    </customSheetView>
    <customSheetView guid="{B31C8DB7-3E78-4144-A6B5-8DE36DE63F0E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pageMargins left="0.7" right="0.7" top="0.75" bottom="0.75" header="0.3" footer="0.3"/>
      <pageSetup paperSize="9" orientation="portrait" r:id="rId2"/>
    </customSheetView>
    <customSheetView guid="{61528DAC-5C4C-48F4-ADE2-8A724B05A08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7"/>
  <sheetViews>
    <sheetView view="pageBreakPreview" topLeftCell="A40" zoomScale="60" workbookViewId="0">
      <selection activeCell="C67" sqref="C67"/>
    </sheetView>
  </sheetViews>
  <sheetFormatPr defaultRowHeight="15.75"/>
  <cols>
    <col min="1" max="1" width="16.2851562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33" t="s">
        <v>398</v>
      </c>
      <c r="B1" s="433"/>
      <c r="C1" s="433"/>
      <c r="D1" s="433"/>
      <c r="E1" s="433"/>
      <c r="F1" s="433"/>
    </row>
    <row r="2" spans="1:6" ht="20.25">
      <c r="A2" s="433" t="s">
        <v>416</v>
      </c>
      <c r="B2" s="433"/>
      <c r="C2" s="433"/>
      <c r="D2" s="433"/>
      <c r="E2" s="433"/>
      <c r="F2" s="433"/>
    </row>
    <row r="3" spans="1:6" ht="101.25">
      <c r="A3" s="357" t="s">
        <v>0</v>
      </c>
      <c r="B3" s="357" t="s">
        <v>1</v>
      </c>
      <c r="C3" s="358" t="s">
        <v>405</v>
      </c>
      <c r="D3" s="359" t="s">
        <v>415</v>
      </c>
      <c r="E3" s="358" t="s">
        <v>2</v>
      </c>
      <c r="F3" s="360" t="s">
        <v>3</v>
      </c>
    </row>
    <row r="4" spans="1:6" s="6" customFormat="1" ht="20.25">
      <c r="A4" s="361"/>
      <c r="B4" s="362" t="s">
        <v>4</v>
      </c>
      <c r="C4" s="363">
        <f>C5+C12+C17+C22+C24+C28+C7</f>
        <v>152517</v>
      </c>
      <c r="D4" s="363">
        <f>D5+D12+D17+D22+D24+D28+D7</f>
        <v>74048.609789999988</v>
      </c>
      <c r="E4" s="363">
        <f>SUM(D4/C4*100)</f>
        <v>48.551053187513517</v>
      </c>
      <c r="F4" s="363">
        <f>SUM(D4-C4)</f>
        <v>-78468.390210000012</v>
      </c>
    </row>
    <row r="5" spans="1:6" s="6" customFormat="1" ht="20.25">
      <c r="A5" s="361">
        <v>1010000</v>
      </c>
      <c r="B5" s="362" t="s">
        <v>5</v>
      </c>
      <c r="C5" s="363">
        <f>C6</f>
        <v>127321</v>
      </c>
      <c r="D5" s="363">
        <f>D6</f>
        <v>60229.950819999998</v>
      </c>
      <c r="E5" s="363">
        <f t="shared" ref="E5:E71" si="0">SUM(D5/C5*100)</f>
        <v>47.305590452478377</v>
      </c>
      <c r="F5" s="363">
        <f t="shared" ref="F5:F71" si="1">SUM(D5-C5)</f>
        <v>-67091.049180000002</v>
      </c>
    </row>
    <row r="6" spans="1:6" ht="20.25">
      <c r="A6" s="364">
        <v>1010200001</v>
      </c>
      <c r="B6" s="365" t="s">
        <v>224</v>
      </c>
      <c r="C6" s="366">
        <v>127321</v>
      </c>
      <c r="D6" s="367">
        <v>60229.950819999998</v>
      </c>
      <c r="E6" s="366">
        <f t="shared" si="0"/>
        <v>47.305590452478377</v>
      </c>
      <c r="F6" s="366">
        <f t="shared" si="1"/>
        <v>-67091.049180000002</v>
      </c>
    </row>
    <row r="7" spans="1:6" ht="40.5">
      <c r="A7" s="361">
        <v>1030000</v>
      </c>
      <c r="B7" s="368" t="s">
        <v>266</v>
      </c>
      <c r="C7" s="363">
        <f>C8+C10+C9</f>
        <v>5168.1000000000004</v>
      </c>
      <c r="D7" s="363">
        <f>D8+D10+D9+D11</f>
        <v>2679.7409400000006</v>
      </c>
      <c r="E7" s="366">
        <f t="shared" si="0"/>
        <v>51.851569048586533</v>
      </c>
      <c r="F7" s="366">
        <f t="shared" si="1"/>
        <v>-2488.3590599999998</v>
      </c>
    </row>
    <row r="8" spans="1:6" ht="20.25">
      <c r="A8" s="364">
        <v>1030223001</v>
      </c>
      <c r="B8" s="365" t="s">
        <v>268</v>
      </c>
      <c r="C8" s="366">
        <v>1757.2</v>
      </c>
      <c r="D8" s="367">
        <v>1211.7931799999999</v>
      </c>
      <c r="E8" s="366">
        <f t="shared" si="0"/>
        <v>68.961596858638742</v>
      </c>
      <c r="F8" s="366">
        <f>SUM(D8-C8)</f>
        <v>-545.40682000000015</v>
      </c>
    </row>
    <row r="9" spans="1:6" ht="20.25">
      <c r="A9" s="364">
        <v>1030224001</v>
      </c>
      <c r="B9" s="365" t="s">
        <v>274</v>
      </c>
      <c r="C9" s="366">
        <v>21.5</v>
      </c>
      <c r="D9" s="367">
        <v>9.1284299999999998</v>
      </c>
      <c r="E9" s="366">
        <f t="shared" si="0"/>
        <v>42.457813953488369</v>
      </c>
      <c r="F9" s="366">
        <f>SUM(D9-C9)</f>
        <v>-12.37157</v>
      </c>
    </row>
    <row r="10" spans="1:6" ht="20.25">
      <c r="A10" s="364">
        <v>1030225001</v>
      </c>
      <c r="B10" s="365" t="s">
        <v>267</v>
      </c>
      <c r="C10" s="366">
        <v>3389.4</v>
      </c>
      <c r="D10" s="367">
        <v>1685.0088000000001</v>
      </c>
      <c r="E10" s="366">
        <f t="shared" si="0"/>
        <v>49.714073287307485</v>
      </c>
      <c r="F10" s="366">
        <f t="shared" si="1"/>
        <v>-1704.3912</v>
      </c>
    </row>
    <row r="11" spans="1:6" ht="20.25">
      <c r="A11" s="364">
        <v>1030226001</v>
      </c>
      <c r="B11" s="365" t="s">
        <v>276</v>
      </c>
      <c r="C11" s="366">
        <v>0</v>
      </c>
      <c r="D11" s="367">
        <v>-226.18947</v>
      </c>
      <c r="E11" s="366" t="e">
        <f t="shared" si="0"/>
        <v>#DIV/0!</v>
      </c>
      <c r="F11" s="366">
        <f t="shared" si="1"/>
        <v>-226.18947</v>
      </c>
    </row>
    <row r="12" spans="1:6" s="6" customFormat="1" ht="20.25">
      <c r="A12" s="361">
        <v>1050000</v>
      </c>
      <c r="B12" s="362" t="s">
        <v>6</v>
      </c>
      <c r="C12" s="363">
        <f>SUM(C13:C16)</f>
        <v>12727.9</v>
      </c>
      <c r="D12" s="363">
        <f>SUM(D13:D16)</f>
        <v>9413.7473599999994</v>
      </c>
      <c r="E12" s="363">
        <f t="shared" si="0"/>
        <v>73.961512582594139</v>
      </c>
      <c r="F12" s="363">
        <f t="shared" si="1"/>
        <v>-3314.1526400000002</v>
      </c>
    </row>
    <row r="13" spans="1:6" s="6" customFormat="1" ht="20.25">
      <c r="A13" s="364">
        <v>1050100000</v>
      </c>
      <c r="B13" s="369" t="s">
        <v>402</v>
      </c>
      <c r="C13" s="366">
        <v>9793.9</v>
      </c>
      <c r="D13" s="366">
        <v>6002.384</v>
      </c>
      <c r="E13" s="366">
        <f t="shared" si="0"/>
        <v>61.286964334943185</v>
      </c>
      <c r="F13" s="366">
        <f t="shared" si="1"/>
        <v>-3791.5159999999996</v>
      </c>
    </row>
    <row r="14" spans="1:6" ht="20.25">
      <c r="A14" s="364">
        <v>1050200000</v>
      </c>
      <c r="B14" s="369" t="s">
        <v>232</v>
      </c>
      <c r="C14" s="370">
        <v>1450.7</v>
      </c>
      <c r="D14" s="367">
        <v>1240.7781500000001</v>
      </c>
      <c r="E14" s="366">
        <f t="shared" si="0"/>
        <v>85.529616736747784</v>
      </c>
      <c r="F14" s="366">
        <f t="shared" si="1"/>
        <v>-209.92184999999995</v>
      </c>
    </row>
    <row r="15" spans="1:6" ht="23.25" customHeight="1">
      <c r="A15" s="364">
        <v>1050300000</v>
      </c>
      <c r="B15" s="369" t="s">
        <v>225</v>
      </c>
      <c r="C15" s="370">
        <v>1283.3</v>
      </c>
      <c r="D15" s="367">
        <v>1025.16614</v>
      </c>
      <c r="E15" s="366">
        <f t="shared" si="0"/>
        <v>79.88515078313722</v>
      </c>
      <c r="F15" s="366">
        <f t="shared" si="1"/>
        <v>-258.13385999999991</v>
      </c>
    </row>
    <row r="16" spans="1:6" ht="40.5">
      <c r="A16" s="364">
        <v>1050400002</v>
      </c>
      <c r="B16" s="365" t="s">
        <v>253</v>
      </c>
      <c r="C16" s="370">
        <v>200</v>
      </c>
      <c r="D16" s="367">
        <v>1145.4190699999999</v>
      </c>
      <c r="E16" s="366">
        <f t="shared" si="0"/>
        <v>572.70953499999996</v>
      </c>
      <c r="F16" s="366">
        <f t="shared" si="1"/>
        <v>945.41906999999992</v>
      </c>
    </row>
    <row r="17" spans="1:6" s="6" customFormat="1" ht="24" customHeight="1">
      <c r="A17" s="361">
        <v>1060000</v>
      </c>
      <c r="B17" s="362" t="s">
        <v>133</v>
      </c>
      <c r="C17" s="363">
        <f>SUM(C18:C21)</f>
        <v>2400</v>
      </c>
      <c r="D17" s="363">
        <f>SUM(D18:D21)</f>
        <v>415.27534000000003</v>
      </c>
      <c r="E17" s="363">
        <f t="shared" si="0"/>
        <v>17.303139166666668</v>
      </c>
      <c r="F17" s="363">
        <f t="shared" si="1"/>
        <v>-1984.7246599999999</v>
      </c>
    </row>
    <row r="18" spans="1:6" s="6" customFormat="1" ht="18" hidden="1" customHeight="1">
      <c r="A18" s="364">
        <v>1060100000</v>
      </c>
      <c r="B18" s="369" t="s">
        <v>8</v>
      </c>
      <c r="C18" s="366"/>
      <c r="D18" s="367"/>
      <c r="E18" s="363" t="e">
        <f t="shared" si="0"/>
        <v>#DIV/0!</v>
      </c>
      <c r="F18" s="363">
        <f t="shared" si="1"/>
        <v>0</v>
      </c>
    </row>
    <row r="19" spans="1:6" s="6" customFormat="1" ht="2.25" hidden="1" customHeight="1">
      <c r="A19" s="364">
        <v>1060200000</v>
      </c>
      <c r="B19" s="369" t="s">
        <v>120</v>
      </c>
      <c r="C19" s="366"/>
      <c r="D19" s="367"/>
      <c r="E19" s="363" t="e">
        <f t="shared" si="0"/>
        <v>#DIV/0!</v>
      </c>
      <c r="F19" s="363">
        <f t="shared" si="1"/>
        <v>0</v>
      </c>
    </row>
    <row r="20" spans="1:6" s="6" customFormat="1" ht="21.75" customHeight="1">
      <c r="A20" s="364">
        <v>1060400000</v>
      </c>
      <c r="B20" s="369" t="s">
        <v>265</v>
      </c>
      <c r="C20" s="366">
        <v>2400</v>
      </c>
      <c r="D20" s="367">
        <v>415.27534000000003</v>
      </c>
      <c r="E20" s="366">
        <f t="shared" si="0"/>
        <v>17.303139166666668</v>
      </c>
      <c r="F20" s="366">
        <f t="shared" si="1"/>
        <v>-1984.7246599999999</v>
      </c>
    </row>
    <row r="21" spans="1:6" ht="31.5" hidden="1" customHeight="1">
      <c r="A21" s="364">
        <v>1060600000</v>
      </c>
      <c r="B21" s="369" t="s">
        <v>7</v>
      </c>
      <c r="C21" s="366"/>
      <c r="D21" s="367"/>
      <c r="E21" s="366" t="e">
        <f t="shared" si="0"/>
        <v>#DIV/0!</v>
      </c>
      <c r="F21" s="366">
        <f t="shared" si="1"/>
        <v>0</v>
      </c>
    </row>
    <row r="22" spans="1:6" s="6" customFormat="1" ht="42" customHeight="1">
      <c r="A22" s="361">
        <v>1070000</v>
      </c>
      <c r="B22" s="368" t="s">
        <v>9</v>
      </c>
      <c r="C22" s="363">
        <f>SUM(C23)</f>
        <v>1900</v>
      </c>
      <c r="D22" s="363">
        <f>SUM(D23)</f>
        <v>76.104510000000005</v>
      </c>
      <c r="E22" s="363">
        <f t="shared" si="0"/>
        <v>4.0055005263157897</v>
      </c>
      <c r="F22" s="363">
        <f t="shared" si="1"/>
        <v>-1823.8954899999999</v>
      </c>
    </row>
    <row r="23" spans="1:6" ht="41.25" customHeight="1">
      <c r="A23" s="364">
        <v>1070102001</v>
      </c>
      <c r="B23" s="365" t="s">
        <v>233</v>
      </c>
      <c r="C23" s="366">
        <v>1900</v>
      </c>
      <c r="D23" s="367">
        <v>76.104510000000005</v>
      </c>
      <c r="E23" s="366">
        <f t="shared" si="0"/>
        <v>4.0055005263157897</v>
      </c>
      <c r="F23" s="366">
        <f t="shared" si="1"/>
        <v>-1823.8954899999999</v>
      </c>
    </row>
    <row r="24" spans="1:6" s="6" customFormat="1" ht="20.25">
      <c r="A24" s="361">
        <v>1080000</v>
      </c>
      <c r="B24" s="362" t="s">
        <v>10</v>
      </c>
      <c r="C24" s="363">
        <f>C25+C26+C27</f>
        <v>3000</v>
      </c>
      <c r="D24" s="363">
        <f>D25+D26+D27</f>
        <v>1233.7908199999999</v>
      </c>
      <c r="E24" s="363">
        <f t="shared" si="0"/>
        <v>41.12636066666667</v>
      </c>
      <c r="F24" s="363">
        <f t="shared" si="1"/>
        <v>-1766.2091800000001</v>
      </c>
    </row>
    <row r="25" spans="1:6" ht="36.75" customHeight="1">
      <c r="A25" s="364">
        <v>1080300001</v>
      </c>
      <c r="B25" s="365" t="s">
        <v>234</v>
      </c>
      <c r="C25" s="366">
        <v>2990</v>
      </c>
      <c r="D25" s="367">
        <v>1228.7908199999999</v>
      </c>
      <c r="E25" s="366">
        <f t="shared" si="0"/>
        <v>41.096682943143811</v>
      </c>
      <c r="F25" s="366">
        <f t="shared" si="1"/>
        <v>-1761.2091800000001</v>
      </c>
    </row>
    <row r="26" spans="1:6" ht="33.75" hidden="1" customHeight="1">
      <c r="A26" s="364">
        <v>1080600001</v>
      </c>
      <c r="B26" s="365" t="s">
        <v>223</v>
      </c>
      <c r="C26" s="366">
        <v>0</v>
      </c>
      <c r="D26" s="367">
        <v>0</v>
      </c>
      <c r="E26" s="366" t="e">
        <f>SUM(D26/C26*100)</f>
        <v>#DIV/0!</v>
      </c>
      <c r="F26" s="366">
        <f t="shared" si="1"/>
        <v>0</v>
      </c>
    </row>
    <row r="27" spans="1:6" ht="87.75" customHeight="1">
      <c r="A27" s="364">
        <v>1080700001</v>
      </c>
      <c r="B27" s="365" t="s">
        <v>222</v>
      </c>
      <c r="C27" s="366">
        <v>10</v>
      </c>
      <c r="D27" s="367">
        <v>5</v>
      </c>
      <c r="E27" s="366">
        <f t="shared" si="0"/>
        <v>50</v>
      </c>
      <c r="F27" s="366">
        <f t="shared" si="1"/>
        <v>-5</v>
      </c>
    </row>
    <row r="28" spans="1:6" s="15" customFormat="1" ht="40.5" hidden="1">
      <c r="A28" s="361">
        <v>109000000</v>
      </c>
      <c r="B28" s="368" t="s">
        <v>226</v>
      </c>
      <c r="C28" s="363">
        <f>C29+C30+C31+C32</f>
        <v>0</v>
      </c>
      <c r="D28" s="363">
        <f>D29+D30+D31+D32</f>
        <v>0</v>
      </c>
      <c r="E28" s="366" t="e">
        <f t="shared" si="0"/>
        <v>#DIV/0!</v>
      </c>
      <c r="F28" s="363">
        <f t="shared" si="1"/>
        <v>0</v>
      </c>
    </row>
    <row r="29" spans="1:6" s="15" customFormat="1" ht="17.25" hidden="1" customHeight="1">
      <c r="A29" s="364">
        <v>1090100000</v>
      </c>
      <c r="B29" s="365" t="s">
        <v>122</v>
      </c>
      <c r="C29" s="366">
        <v>0</v>
      </c>
      <c r="D29" s="367">
        <v>0</v>
      </c>
      <c r="E29" s="366" t="e">
        <f t="shared" si="0"/>
        <v>#DIV/0!</v>
      </c>
      <c r="F29" s="366">
        <f t="shared" si="1"/>
        <v>0</v>
      </c>
    </row>
    <row r="30" spans="1:6" s="15" customFormat="1" ht="17.25" hidden="1" customHeight="1">
      <c r="A30" s="364">
        <v>1090400000</v>
      </c>
      <c r="B30" s="365" t="s">
        <v>123</v>
      </c>
      <c r="C30" s="366">
        <v>0</v>
      </c>
      <c r="D30" s="367">
        <v>0</v>
      </c>
      <c r="E30" s="366" t="e">
        <f t="shared" si="0"/>
        <v>#DIV/0!</v>
      </c>
      <c r="F30" s="366">
        <f t="shared" si="1"/>
        <v>0</v>
      </c>
    </row>
    <row r="31" spans="1:6" s="15" customFormat="1" ht="33.75" hidden="1" customHeight="1">
      <c r="A31" s="364">
        <v>1090600000</v>
      </c>
      <c r="B31" s="365" t="s">
        <v>124</v>
      </c>
      <c r="C31" s="366">
        <v>0</v>
      </c>
      <c r="D31" s="367">
        <v>0</v>
      </c>
      <c r="E31" s="366" t="e">
        <f t="shared" si="0"/>
        <v>#DIV/0!</v>
      </c>
      <c r="F31" s="366">
        <f t="shared" si="1"/>
        <v>0</v>
      </c>
    </row>
    <row r="32" spans="1:6" s="15" customFormat="1" ht="1.5" hidden="1" customHeight="1">
      <c r="A32" s="364">
        <v>1090700000</v>
      </c>
      <c r="B32" s="365" t="s">
        <v>125</v>
      </c>
      <c r="C32" s="366">
        <v>0</v>
      </c>
      <c r="D32" s="367">
        <v>0</v>
      </c>
      <c r="E32" s="366" t="e">
        <f t="shared" si="0"/>
        <v>#DIV/0!</v>
      </c>
      <c r="F32" s="366">
        <f t="shared" si="1"/>
        <v>0</v>
      </c>
    </row>
    <row r="33" spans="1:6" s="6" customFormat="1" ht="33.75" customHeight="1">
      <c r="A33" s="361"/>
      <c r="B33" s="362" t="s">
        <v>12</v>
      </c>
      <c r="C33" s="363">
        <f>C34+C43+C45+C48+C51+C53+C58</f>
        <v>19326</v>
      </c>
      <c r="D33" s="363">
        <f>D34+D43+D45+D48+D51+D53+D58</f>
        <v>9716.8413</v>
      </c>
      <c r="E33" s="363">
        <f t="shared" si="0"/>
        <v>50.278595156783609</v>
      </c>
      <c r="F33" s="363">
        <f t="shared" si="1"/>
        <v>-9609.1587</v>
      </c>
    </row>
    <row r="34" spans="1:6" s="6" customFormat="1" ht="60.75" customHeight="1">
      <c r="A34" s="361">
        <v>1110000</v>
      </c>
      <c r="B34" s="368" t="s">
        <v>126</v>
      </c>
      <c r="C34" s="363">
        <f>SUM(C35:C42)</f>
        <v>9596</v>
      </c>
      <c r="D34" s="363">
        <f>SUM(D35+D37+D38+D40+D41+D42)</f>
        <v>3299.9142700000002</v>
      </c>
      <c r="E34" s="363">
        <f t="shared" si="0"/>
        <v>34.388435493955818</v>
      </c>
      <c r="F34" s="363">
        <f t="shared" si="1"/>
        <v>-6296.0857299999998</v>
      </c>
    </row>
    <row r="35" spans="1:6" s="6" customFormat="1" ht="34.5" customHeight="1">
      <c r="A35" s="364">
        <v>1110105005</v>
      </c>
      <c r="B35" s="365" t="s">
        <v>305</v>
      </c>
      <c r="C35" s="366">
        <v>20</v>
      </c>
      <c r="D35" s="366">
        <v>0</v>
      </c>
      <c r="E35" s="366">
        <f t="shared" si="0"/>
        <v>0</v>
      </c>
      <c r="F35" s="366">
        <f t="shared" si="1"/>
        <v>-20</v>
      </c>
    </row>
    <row r="36" spans="1:6" ht="27.75" hidden="1" customHeight="1">
      <c r="A36" s="364">
        <v>1110305005</v>
      </c>
      <c r="B36" s="369" t="s">
        <v>235</v>
      </c>
      <c r="C36" s="366">
        <v>0</v>
      </c>
      <c r="D36" s="367">
        <v>0</v>
      </c>
      <c r="E36" s="366" t="e">
        <f t="shared" si="0"/>
        <v>#DIV/0!</v>
      </c>
      <c r="F36" s="366">
        <f t="shared" si="1"/>
        <v>0</v>
      </c>
    </row>
    <row r="37" spans="1:6" ht="20.25">
      <c r="A37" s="371">
        <v>1110501101</v>
      </c>
      <c r="B37" s="372" t="s">
        <v>221</v>
      </c>
      <c r="C37" s="370">
        <v>8800</v>
      </c>
      <c r="D37" s="367">
        <v>2874.9712300000001</v>
      </c>
      <c r="E37" s="366">
        <f t="shared" si="0"/>
        <v>32.67012761363636</v>
      </c>
      <c r="F37" s="366">
        <f t="shared" si="1"/>
        <v>-5925.0287699999999</v>
      </c>
    </row>
    <row r="38" spans="1:6" ht="18.75" customHeight="1">
      <c r="A38" s="364">
        <v>1110503505</v>
      </c>
      <c r="B38" s="369" t="s">
        <v>220</v>
      </c>
      <c r="C38" s="370">
        <v>246</v>
      </c>
      <c r="D38" s="367">
        <v>133.24114</v>
      </c>
      <c r="E38" s="366">
        <f t="shared" si="0"/>
        <v>54.163065040650402</v>
      </c>
      <c r="F38" s="366">
        <f t="shared" si="1"/>
        <v>-112.75886</v>
      </c>
    </row>
    <row r="39" spans="1:6" ht="131.25" hidden="1" customHeight="1">
      <c r="A39" s="364">
        <v>1110502000</v>
      </c>
      <c r="B39" s="365" t="s">
        <v>262</v>
      </c>
      <c r="C39" s="373">
        <v>0</v>
      </c>
      <c r="D39" s="367">
        <v>0</v>
      </c>
      <c r="E39" s="366" t="e">
        <f t="shared" si="0"/>
        <v>#DIV/0!</v>
      </c>
      <c r="F39" s="366">
        <f t="shared" si="1"/>
        <v>0</v>
      </c>
    </row>
    <row r="40" spans="1:6" s="15" customFormat="1" ht="20.25">
      <c r="A40" s="364">
        <v>1110701505</v>
      </c>
      <c r="B40" s="369" t="s">
        <v>236</v>
      </c>
      <c r="C40" s="370">
        <v>10</v>
      </c>
      <c r="D40" s="367">
        <v>46.985999999999997</v>
      </c>
      <c r="E40" s="366">
        <f t="shared" si="0"/>
        <v>469.86</v>
      </c>
      <c r="F40" s="366">
        <f t="shared" si="1"/>
        <v>36.985999999999997</v>
      </c>
    </row>
    <row r="41" spans="1:6" s="15" customFormat="1" ht="20.25">
      <c r="A41" s="364">
        <v>1110903000</v>
      </c>
      <c r="B41" s="369" t="s">
        <v>390</v>
      </c>
      <c r="C41" s="370">
        <v>0</v>
      </c>
      <c r="D41" s="367">
        <v>0</v>
      </c>
      <c r="E41" s="366" t="e">
        <f>SUM(D41/C41*100)</f>
        <v>#DIV/0!</v>
      </c>
      <c r="F41" s="366">
        <f>SUM(D41-C41)</f>
        <v>0</v>
      </c>
    </row>
    <row r="42" spans="1:6" s="15" customFormat="1" ht="20.25">
      <c r="A42" s="364">
        <v>1110904505</v>
      </c>
      <c r="B42" s="369" t="s">
        <v>316</v>
      </c>
      <c r="C42" s="370">
        <v>520</v>
      </c>
      <c r="D42" s="367">
        <v>244.7159</v>
      </c>
      <c r="E42" s="366">
        <f t="shared" si="0"/>
        <v>47.060749999999999</v>
      </c>
      <c r="F42" s="366">
        <f t="shared" si="1"/>
        <v>-275.28409999999997</v>
      </c>
    </row>
    <row r="43" spans="1:6" s="15" customFormat="1" ht="40.5">
      <c r="A43" s="361">
        <v>1120000</v>
      </c>
      <c r="B43" s="368" t="s">
        <v>127</v>
      </c>
      <c r="C43" s="374">
        <f>C44</f>
        <v>1330</v>
      </c>
      <c r="D43" s="374">
        <f>SUM(D44)</f>
        <v>944.30130999999994</v>
      </c>
      <c r="E43" s="363">
        <f>SUM(D43/C43*100)</f>
        <v>71.000098496240597</v>
      </c>
      <c r="F43" s="363" t="e">
        <f>SUM(D43D43-C43)</f>
        <v>#NAME?</v>
      </c>
    </row>
    <row r="44" spans="1:6" s="15" customFormat="1" ht="40.5">
      <c r="A44" s="364">
        <v>1120100001</v>
      </c>
      <c r="B44" s="365" t="s">
        <v>237</v>
      </c>
      <c r="C44" s="366">
        <v>1330</v>
      </c>
      <c r="D44" s="367">
        <v>944.30130999999994</v>
      </c>
      <c r="E44" s="366">
        <f t="shared" si="0"/>
        <v>71.000098496240597</v>
      </c>
      <c r="F44" s="366">
        <f t="shared" si="1"/>
        <v>-385.69869000000006</v>
      </c>
    </row>
    <row r="45" spans="1:6" s="186" customFormat="1" ht="21.75" customHeight="1">
      <c r="A45" s="375">
        <v>1130000</v>
      </c>
      <c r="B45" s="376" t="s">
        <v>128</v>
      </c>
      <c r="C45" s="363">
        <f>C46+C47</f>
        <v>100</v>
      </c>
      <c r="D45" s="363">
        <f>D46+D47</f>
        <v>6.9664200000000003</v>
      </c>
      <c r="E45" s="363">
        <f t="shared" si="0"/>
        <v>6.9664200000000012</v>
      </c>
      <c r="F45" s="363">
        <f t="shared" si="1"/>
        <v>-93.033580000000001</v>
      </c>
    </row>
    <row r="46" spans="1:6" s="15" customFormat="1" ht="36" customHeight="1">
      <c r="A46" s="364">
        <v>1130200000</v>
      </c>
      <c r="B46" s="365" t="s">
        <v>314</v>
      </c>
      <c r="C46" s="366">
        <v>100</v>
      </c>
      <c r="D46" s="366">
        <v>6.9664200000000003</v>
      </c>
      <c r="E46" s="366">
        <f>SUM(D46/C46*100)</f>
        <v>6.9664200000000012</v>
      </c>
      <c r="F46" s="366">
        <f>SUM(D46-C46)</f>
        <v>-93.033580000000001</v>
      </c>
    </row>
    <row r="47" spans="1:6" ht="25.5" customHeight="1">
      <c r="A47" s="364">
        <v>1130305005</v>
      </c>
      <c r="B47" s="365" t="s">
        <v>219</v>
      </c>
      <c r="C47" s="366">
        <v>0</v>
      </c>
      <c r="D47" s="367">
        <v>0</v>
      </c>
      <c r="E47" s="366"/>
      <c r="F47" s="366">
        <f t="shared" si="1"/>
        <v>0</v>
      </c>
    </row>
    <row r="48" spans="1:6" ht="20.25" customHeight="1">
      <c r="A48" s="377">
        <v>1140000</v>
      </c>
      <c r="B48" s="378" t="s">
        <v>129</v>
      </c>
      <c r="C48" s="363">
        <f>C49+C50</f>
        <v>6000</v>
      </c>
      <c r="D48" s="363">
        <f>D49+D50</f>
        <v>4712.4643900000001</v>
      </c>
      <c r="E48" s="363">
        <f t="shared" si="0"/>
        <v>78.541073166666663</v>
      </c>
      <c r="F48" s="363">
        <f t="shared" si="1"/>
        <v>-1287.5356099999999</v>
      </c>
    </row>
    <row r="49" spans="1:8" ht="20.25">
      <c r="A49" s="371">
        <v>1140200000</v>
      </c>
      <c r="B49" s="379" t="s">
        <v>217</v>
      </c>
      <c r="C49" s="366">
        <v>1000</v>
      </c>
      <c r="D49" s="367">
        <v>649.62864000000002</v>
      </c>
      <c r="E49" s="366">
        <f t="shared" si="0"/>
        <v>64.962863999999996</v>
      </c>
      <c r="F49" s="366">
        <f t="shared" si="1"/>
        <v>-350.37135999999998</v>
      </c>
    </row>
    <row r="50" spans="1:8" ht="24" customHeight="1">
      <c r="A50" s="364">
        <v>1140600000</v>
      </c>
      <c r="B50" s="365" t="s">
        <v>218</v>
      </c>
      <c r="C50" s="366">
        <v>5000</v>
      </c>
      <c r="D50" s="367">
        <v>4062.8357500000002</v>
      </c>
      <c r="E50" s="366">
        <f t="shared" si="0"/>
        <v>81.256715</v>
      </c>
      <c r="F50" s="366">
        <f t="shared" si="1"/>
        <v>-937.16424999999981</v>
      </c>
    </row>
    <row r="51" spans="1:8" ht="0.75" hidden="1" customHeight="1">
      <c r="A51" s="361">
        <v>1150000000</v>
      </c>
      <c r="B51" s="368" t="s">
        <v>230</v>
      </c>
      <c r="C51" s="363">
        <f>C52</f>
        <v>0</v>
      </c>
      <c r="D51" s="363">
        <f>D52</f>
        <v>0</v>
      </c>
      <c r="E51" s="363" t="e">
        <f t="shared" si="0"/>
        <v>#DIV/0!</v>
      </c>
      <c r="F51" s="363">
        <f t="shared" si="1"/>
        <v>0</v>
      </c>
    </row>
    <row r="52" spans="1:8" ht="61.5" hidden="1" customHeight="1">
      <c r="A52" s="364">
        <v>1150205005</v>
      </c>
      <c r="B52" s="365" t="s">
        <v>231</v>
      </c>
      <c r="C52" s="366">
        <v>0</v>
      </c>
      <c r="D52" s="367">
        <v>0</v>
      </c>
      <c r="E52" s="366" t="e">
        <f t="shared" si="0"/>
        <v>#DIV/0!</v>
      </c>
      <c r="F52" s="366">
        <f t="shared" si="1"/>
        <v>0</v>
      </c>
    </row>
    <row r="53" spans="1:8" ht="40.5">
      <c r="A53" s="361">
        <v>1160000</v>
      </c>
      <c r="B53" s="368" t="s">
        <v>131</v>
      </c>
      <c r="C53" s="363">
        <f>SUM(C54:C57)</f>
        <v>2300</v>
      </c>
      <c r="D53" s="363">
        <f>SUM(D54:D57)</f>
        <v>753.19491000000005</v>
      </c>
      <c r="E53" s="363">
        <f>SUM(D53/C53*100)</f>
        <v>32.747604782608697</v>
      </c>
      <c r="F53" s="363">
        <f t="shared" si="1"/>
        <v>-1546.8050899999998</v>
      </c>
      <c r="H53" s="150"/>
    </row>
    <row r="54" spans="1:8" ht="36.75" customHeight="1">
      <c r="A54" s="364">
        <v>1160100001</v>
      </c>
      <c r="B54" s="365" t="s">
        <v>440</v>
      </c>
      <c r="C54" s="366">
        <v>1377</v>
      </c>
      <c r="D54" s="380">
        <v>516.31622000000004</v>
      </c>
      <c r="E54" s="366">
        <f>SUM(D54/C54*100)</f>
        <v>37.495731299927385</v>
      </c>
      <c r="F54" s="366">
        <f t="shared" si="1"/>
        <v>-860.68377999999996</v>
      </c>
    </row>
    <row r="55" spans="1:8" ht="39.75" customHeight="1">
      <c r="A55" s="364">
        <v>1160709000</v>
      </c>
      <c r="B55" s="365" t="s">
        <v>403</v>
      </c>
      <c r="C55" s="366">
        <v>336</v>
      </c>
      <c r="D55" s="381">
        <v>123.92402</v>
      </c>
      <c r="E55" s="366">
        <f t="shared" si="0"/>
        <v>36.882148809523805</v>
      </c>
      <c r="F55" s="366">
        <f t="shared" si="1"/>
        <v>-212.07598000000002</v>
      </c>
    </row>
    <row r="56" spans="1:8" ht="41.25" customHeight="1">
      <c r="A56" s="364">
        <v>1161012000</v>
      </c>
      <c r="B56" s="365" t="s">
        <v>404</v>
      </c>
      <c r="C56" s="382">
        <v>500</v>
      </c>
      <c r="D56" s="381">
        <v>27.47627</v>
      </c>
      <c r="E56" s="366">
        <f t="shared" si="0"/>
        <v>5.4952540000000001</v>
      </c>
      <c r="F56" s="366">
        <f t="shared" si="1"/>
        <v>-472.52373</v>
      </c>
    </row>
    <row r="57" spans="1:8" ht="41.25" customHeight="1">
      <c r="A57" s="364">
        <v>1161100001</v>
      </c>
      <c r="B57" s="365" t="s">
        <v>408</v>
      </c>
      <c r="C57" s="382">
        <v>87</v>
      </c>
      <c r="D57" s="381">
        <v>85.478399999999993</v>
      </c>
      <c r="E57" s="366">
        <f t="shared" si="0"/>
        <v>98.251034482758612</v>
      </c>
      <c r="F57" s="366">
        <f t="shared" si="1"/>
        <v>-1.5216000000000065</v>
      </c>
    </row>
    <row r="58" spans="1:8" ht="25.5" customHeight="1">
      <c r="A58" s="361">
        <v>1170000</v>
      </c>
      <c r="B58" s="368" t="s">
        <v>132</v>
      </c>
      <c r="C58" s="363">
        <f>C59+C60</f>
        <v>0</v>
      </c>
      <c r="D58" s="363">
        <f>D59+D60</f>
        <v>0</v>
      </c>
      <c r="E58" s="366" t="e">
        <f t="shared" si="0"/>
        <v>#DIV/0!</v>
      </c>
      <c r="F58" s="363">
        <f t="shared" si="1"/>
        <v>0</v>
      </c>
    </row>
    <row r="59" spans="1:8" ht="20.25">
      <c r="A59" s="364">
        <v>1170105005</v>
      </c>
      <c r="B59" s="365" t="s">
        <v>15</v>
      </c>
      <c r="C59" s="366">
        <v>0</v>
      </c>
      <c r="D59" s="366">
        <v>0</v>
      </c>
      <c r="E59" s="366" t="e">
        <f t="shared" si="0"/>
        <v>#DIV/0!</v>
      </c>
      <c r="F59" s="366">
        <f t="shared" si="1"/>
        <v>0</v>
      </c>
    </row>
    <row r="60" spans="1:8" ht="20.25">
      <c r="A60" s="364">
        <v>1170505005</v>
      </c>
      <c r="B60" s="369" t="s">
        <v>216</v>
      </c>
      <c r="C60" s="366">
        <v>0</v>
      </c>
      <c r="D60" s="367">
        <v>0</v>
      </c>
      <c r="E60" s="366" t="e">
        <f t="shared" si="0"/>
        <v>#DIV/0!</v>
      </c>
      <c r="F60" s="366">
        <f t="shared" si="1"/>
        <v>0</v>
      </c>
    </row>
    <row r="61" spans="1:8" s="6" customFormat="1" ht="20.25">
      <c r="A61" s="361">
        <v>100000</v>
      </c>
      <c r="B61" s="362" t="s">
        <v>16</v>
      </c>
      <c r="C61" s="470">
        <f>SUM(C4,C33)</f>
        <v>171843</v>
      </c>
      <c r="D61" s="470">
        <f>SUM(D4,D33)</f>
        <v>83765.451089999988</v>
      </c>
      <c r="E61" s="363">
        <f>SUM(D61/C61*100)</f>
        <v>48.745337948010672</v>
      </c>
      <c r="F61" s="363">
        <f>SUM(D61-C61)</f>
        <v>-88077.548910000012</v>
      </c>
      <c r="G61" s="94"/>
      <c r="H61" s="94"/>
    </row>
    <row r="62" spans="1:8" s="6" customFormat="1" ht="30" customHeight="1">
      <c r="A62" s="361">
        <v>200000</v>
      </c>
      <c r="B62" s="362" t="s">
        <v>17</v>
      </c>
      <c r="C62" s="363">
        <f>C63+C66+C67+C68+C70+C65+C69</f>
        <v>787418.27625999996</v>
      </c>
      <c r="D62" s="363">
        <f>D63+D66+D67+D68+D70+D65+D69</f>
        <v>341297.68101000006</v>
      </c>
      <c r="E62" s="363">
        <f t="shared" si="0"/>
        <v>43.343886127594274</v>
      </c>
      <c r="F62" s="363">
        <f t="shared" si="1"/>
        <v>-446120.5952499999</v>
      </c>
      <c r="G62" s="94"/>
      <c r="H62" s="94"/>
    </row>
    <row r="63" spans="1:8" ht="21.75" customHeight="1">
      <c r="A63" s="371">
        <v>2021000000</v>
      </c>
      <c r="B63" s="372" t="s">
        <v>18</v>
      </c>
      <c r="C63" s="370">
        <v>10026.799999999999</v>
      </c>
      <c r="D63" s="383">
        <v>5013.6000000000004</v>
      </c>
      <c r="E63" s="366">
        <f t="shared" si="0"/>
        <v>50.00199465432641</v>
      </c>
      <c r="F63" s="366">
        <f t="shared" si="1"/>
        <v>-5013.1999999999989</v>
      </c>
    </row>
    <row r="64" spans="1:8" ht="0.75" hidden="1" customHeight="1">
      <c r="A64" s="371">
        <v>2020100905</v>
      </c>
      <c r="B64" s="379" t="s">
        <v>261</v>
      </c>
      <c r="C64" s="370">
        <v>0</v>
      </c>
      <c r="D64" s="383" t="s">
        <v>399</v>
      </c>
      <c r="E64" s="366" t="e">
        <f t="shared" si="0"/>
        <v>#VALUE!</v>
      </c>
      <c r="F64" s="366" t="e">
        <f t="shared" si="1"/>
        <v>#VALUE!</v>
      </c>
    </row>
    <row r="65" spans="1:8" ht="0.75" customHeight="1">
      <c r="A65" s="371">
        <v>2021500200</v>
      </c>
      <c r="B65" s="372" t="s">
        <v>227</v>
      </c>
      <c r="C65" s="370"/>
      <c r="D65" s="383"/>
      <c r="E65" s="366" t="e">
        <f t="shared" si="0"/>
        <v>#DIV/0!</v>
      </c>
      <c r="F65" s="366">
        <f t="shared" si="1"/>
        <v>0</v>
      </c>
    </row>
    <row r="66" spans="1:8" ht="20.25">
      <c r="A66" s="371">
        <v>2022000000</v>
      </c>
      <c r="B66" s="372" t="s">
        <v>19</v>
      </c>
      <c r="C66" s="370">
        <v>326927.76165</v>
      </c>
      <c r="D66" s="367">
        <v>105259.61536</v>
      </c>
      <c r="E66" s="366">
        <f t="shared" si="0"/>
        <v>32.196597446713042</v>
      </c>
      <c r="F66" s="366">
        <f t="shared" si="1"/>
        <v>-221668.14629</v>
      </c>
    </row>
    <row r="67" spans="1:8" ht="20.25">
      <c r="A67" s="371">
        <v>2023000000</v>
      </c>
      <c r="B67" s="372" t="s">
        <v>20</v>
      </c>
      <c r="C67" s="370">
        <v>407308.68770000001</v>
      </c>
      <c r="D67" s="384">
        <v>225618.16252000001</v>
      </c>
      <c r="E67" s="366">
        <f t="shared" si="0"/>
        <v>55.39242577761496</v>
      </c>
      <c r="F67" s="366">
        <f t="shared" si="1"/>
        <v>-181690.52518</v>
      </c>
    </row>
    <row r="68" spans="1:8" ht="19.5" customHeight="1">
      <c r="A68" s="371">
        <v>2024000000</v>
      </c>
      <c r="B68" s="379" t="s">
        <v>21</v>
      </c>
      <c r="C68" s="370">
        <v>62894</v>
      </c>
      <c r="D68" s="385">
        <v>24677.481</v>
      </c>
      <c r="E68" s="366">
        <f t="shared" si="0"/>
        <v>39.236621935319747</v>
      </c>
      <c r="F68" s="366">
        <f t="shared" si="1"/>
        <v>-38216.519</v>
      </c>
    </row>
    <row r="69" spans="1:8" ht="20.25">
      <c r="A69" s="371">
        <v>2180500005</v>
      </c>
      <c r="B69" s="379" t="s">
        <v>309</v>
      </c>
      <c r="C69" s="370">
        <v>0</v>
      </c>
      <c r="D69" s="385">
        <v>470.61147</v>
      </c>
      <c r="E69" s="366" t="e">
        <f t="shared" si="0"/>
        <v>#DIV/0!</v>
      </c>
      <c r="F69" s="366">
        <f t="shared" si="1"/>
        <v>470.61147</v>
      </c>
    </row>
    <row r="70" spans="1:8" ht="18" customHeight="1">
      <c r="A70" s="364">
        <v>2196001005</v>
      </c>
      <c r="B70" s="369" t="s">
        <v>23</v>
      </c>
      <c r="C70" s="367">
        <v>-19738.97309</v>
      </c>
      <c r="D70" s="367">
        <v>-19741.789339999999</v>
      </c>
      <c r="E70" s="366">
        <f t="shared" si="0"/>
        <v>100.01426745954392</v>
      </c>
      <c r="F70" s="366">
        <f>SUM(D70-C70)</f>
        <v>-2.8162499999998545</v>
      </c>
    </row>
    <row r="71" spans="1:8" s="6" customFormat="1" ht="22.5" hidden="1" customHeight="1">
      <c r="A71" s="361">
        <v>3000000000</v>
      </c>
      <c r="B71" s="368" t="s">
        <v>24</v>
      </c>
      <c r="C71" s="374">
        <v>0</v>
      </c>
      <c r="D71" s="386">
        <v>0</v>
      </c>
      <c r="E71" s="366" t="e">
        <f t="shared" si="0"/>
        <v>#DIV/0!</v>
      </c>
      <c r="F71" s="363">
        <f t="shared" si="1"/>
        <v>0</v>
      </c>
    </row>
    <row r="72" spans="1:8" s="6" customFormat="1" ht="22.5" customHeight="1">
      <c r="A72" s="361"/>
      <c r="B72" s="362" t="s">
        <v>25</v>
      </c>
      <c r="C72" s="484">
        <f>C61+C62</f>
        <v>959261.27625999996</v>
      </c>
      <c r="D72" s="484">
        <f>D61+D62</f>
        <v>425063.13210000005</v>
      </c>
      <c r="E72" s="366">
        <f>SUM(D72/C72*100)</f>
        <v>44.311507471379478</v>
      </c>
      <c r="F72" s="363">
        <f>SUM(D73-C72)</f>
        <v>-970387.96670999983</v>
      </c>
      <c r="G72" s="212">
        <f>C72-798026.07441</f>
        <v>161235.20184999995</v>
      </c>
      <c r="H72" s="94">
        <f>D72-379713.41199</f>
        <v>45349.720110000053</v>
      </c>
    </row>
    <row r="73" spans="1:8" s="6" customFormat="1" ht="20.25">
      <c r="A73" s="361"/>
      <c r="B73" s="387" t="s">
        <v>306</v>
      </c>
      <c r="C73" s="388">
        <f>C72-C134</f>
        <v>-39056.545679999981</v>
      </c>
      <c r="D73" s="363">
        <f>D72-D134</f>
        <v>-11126.690449999878</v>
      </c>
      <c r="E73" s="389"/>
      <c r="F73" s="389"/>
      <c r="G73" s="94"/>
      <c r="H73" s="94"/>
    </row>
    <row r="74" spans="1:8" ht="20.25">
      <c r="A74" s="390"/>
      <c r="B74" s="391"/>
      <c r="C74" s="392"/>
      <c r="D74" s="392"/>
      <c r="E74" s="393"/>
      <c r="F74" s="393"/>
    </row>
    <row r="75" spans="1:8" ht="101.25">
      <c r="A75" s="394" t="s">
        <v>0</v>
      </c>
      <c r="B75" s="394" t="s">
        <v>26</v>
      </c>
      <c r="C75" s="358" t="s">
        <v>405</v>
      </c>
      <c r="D75" s="359" t="s">
        <v>417</v>
      </c>
      <c r="E75" s="358" t="s">
        <v>2</v>
      </c>
      <c r="F75" s="360" t="s">
        <v>3</v>
      </c>
    </row>
    <row r="76" spans="1:8" ht="20.25">
      <c r="A76" s="395">
        <v>1</v>
      </c>
      <c r="B76" s="394">
        <v>2</v>
      </c>
      <c r="C76" s="396">
        <v>3</v>
      </c>
      <c r="D76" s="397">
        <v>4</v>
      </c>
      <c r="E76" s="396">
        <v>5</v>
      </c>
      <c r="F76" s="396">
        <v>6</v>
      </c>
    </row>
    <row r="77" spans="1:8" s="6" customFormat="1" ht="22.5" customHeight="1">
      <c r="A77" s="398" t="s">
        <v>27</v>
      </c>
      <c r="B77" s="399" t="s">
        <v>28</v>
      </c>
      <c r="C77" s="389">
        <f>SUM(C78+C79+C80+C81+C82+C83+C84)</f>
        <v>46466.097040000001</v>
      </c>
      <c r="D77" s="389">
        <f>SUM(D78:D84)</f>
        <v>20028.370419999999</v>
      </c>
      <c r="E77" s="400">
        <f>SUM(D77/C77*100)</f>
        <v>43.103190704307963</v>
      </c>
      <c r="F77" s="400">
        <f>SUM(D77-C77)</f>
        <v>-26437.726620000001</v>
      </c>
    </row>
    <row r="78" spans="1:8" s="6" customFormat="1" ht="40.5">
      <c r="A78" s="401" t="s">
        <v>29</v>
      </c>
      <c r="B78" s="402" t="s">
        <v>30</v>
      </c>
      <c r="C78" s="403">
        <v>50</v>
      </c>
      <c r="D78" s="403">
        <v>5.6966400000000004</v>
      </c>
      <c r="E78" s="400">
        <f>SUM(D78/C78*100)</f>
        <v>11.393280000000001</v>
      </c>
      <c r="F78" s="400">
        <f>SUM(D78-C78)</f>
        <v>-44.303359999999998</v>
      </c>
    </row>
    <row r="79" spans="1:8" ht="21.75" customHeight="1">
      <c r="A79" s="401" t="s">
        <v>31</v>
      </c>
      <c r="B79" s="404" t="s">
        <v>32</v>
      </c>
      <c r="C79" s="403">
        <v>25519.77</v>
      </c>
      <c r="D79" s="403">
        <v>11147.20673</v>
      </c>
      <c r="E79" s="405">
        <f t="shared" ref="E79:E134" si="2">SUM(D79/C79*100)</f>
        <v>43.680670828929884</v>
      </c>
      <c r="F79" s="405">
        <f t="shared" ref="F79:F134" si="3">SUM(D79-C79)</f>
        <v>-14372.563270000001</v>
      </c>
    </row>
    <row r="80" spans="1:8" ht="19.5" customHeight="1">
      <c r="A80" s="401" t="s">
        <v>33</v>
      </c>
      <c r="B80" s="404" t="s">
        <v>34</v>
      </c>
      <c r="C80" s="403">
        <v>10</v>
      </c>
      <c r="D80" s="403">
        <v>10</v>
      </c>
      <c r="E80" s="405">
        <f t="shared" si="2"/>
        <v>100</v>
      </c>
      <c r="F80" s="405">
        <f t="shared" si="3"/>
        <v>0</v>
      </c>
    </row>
    <row r="81" spans="1:7" ht="36.75" customHeight="1">
      <c r="A81" s="401" t="s">
        <v>35</v>
      </c>
      <c r="B81" s="404" t="s">
        <v>36</v>
      </c>
      <c r="C81" s="406">
        <v>5307.6729999999998</v>
      </c>
      <c r="D81" s="406">
        <v>2544.2552300000002</v>
      </c>
      <c r="E81" s="405">
        <f t="shared" si="2"/>
        <v>47.935417837534459</v>
      </c>
      <c r="F81" s="405">
        <f t="shared" si="3"/>
        <v>-2763.4177699999996</v>
      </c>
    </row>
    <row r="82" spans="1:7" ht="26.25" customHeight="1">
      <c r="A82" s="401" t="s">
        <v>37</v>
      </c>
      <c r="B82" s="404" t="s">
        <v>38</v>
      </c>
      <c r="C82" s="403">
        <v>61.5</v>
      </c>
      <c r="D82" s="403">
        <v>0</v>
      </c>
      <c r="E82" s="405">
        <f t="shared" si="2"/>
        <v>0</v>
      </c>
      <c r="F82" s="405">
        <f t="shared" si="3"/>
        <v>-61.5</v>
      </c>
    </row>
    <row r="83" spans="1:7" ht="24.75" customHeight="1">
      <c r="A83" s="401" t="s">
        <v>39</v>
      </c>
      <c r="B83" s="404" t="s">
        <v>40</v>
      </c>
      <c r="C83" s="406">
        <v>3688.9</v>
      </c>
      <c r="D83" s="406">
        <v>0</v>
      </c>
      <c r="E83" s="405">
        <f t="shared" si="2"/>
        <v>0</v>
      </c>
      <c r="F83" s="405">
        <f t="shared" si="3"/>
        <v>-3688.9</v>
      </c>
    </row>
    <row r="84" spans="1:7" ht="24" customHeight="1">
      <c r="A84" s="401" t="s">
        <v>41</v>
      </c>
      <c r="B84" s="404" t="s">
        <v>42</v>
      </c>
      <c r="C84" s="403">
        <v>11828.25404</v>
      </c>
      <c r="D84" s="403">
        <v>6321.2118200000004</v>
      </c>
      <c r="E84" s="405">
        <f t="shared" si="2"/>
        <v>53.441630511344684</v>
      </c>
      <c r="F84" s="405">
        <f t="shared" si="3"/>
        <v>-5507.0422199999994</v>
      </c>
    </row>
    <row r="85" spans="1:7" s="6" customFormat="1" ht="20.25">
      <c r="A85" s="407" t="s">
        <v>43</v>
      </c>
      <c r="B85" s="408" t="s">
        <v>44</v>
      </c>
      <c r="C85" s="389">
        <f>C86</f>
        <v>2384.6</v>
      </c>
      <c r="D85" s="389">
        <f>D86</f>
        <v>1208.4000000000001</v>
      </c>
      <c r="E85" s="400">
        <f t="shared" si="2"/>
        <v>50.675165646229978</v>
      </c>
      <c r="F85" s="400">
        <f t="shared" si="3"/>
        <v>-1176.1999999999998</v>
      </c>
    </row>
    <row r="86" spans="1:7" ht="20.25">
      <c r="A86" s="409" t="s">
        <v>45</v>
      </c>
      <c r="B86" s="410" t="s">
        <v>46</v>
      </c>
      <c r="C86" s="403">
        <v>2384.6</v>
      </c>
      <c r="D86" s="403">
        <v>1208.4000000000001</v>
      </c>
      <c r="E86" s="405">
        <f t="shared" si="2"/>
        <v>50.675165646229978</v>
      </c>
      <c r="F86" s="405">
        <f t="shared" si="3"/>
        <v>-1176.1999999999998</v>
      </c>
    </row>
    <row r="87" spans="1:7" s="6" customFormat="1" ht="21" customHeight="1">
      <c r="A87" s="398" t="s">
        <v>47</v>
      </c>
      <c r="B87" s="399" t="s">
        <v>48</v>
      </c>
      <c r="C87" s="389">
        <f>SUM(C89:C92)</f>
        <v>5992.2972</v>
      </c>
      <c r="D87" s="475">
        <f>SUM(D89:D92)</f>
        <v>2024.76241</v>
      </c>
      <c r="E87" s="400">
        <f t="shared" si="2"/>
        <v>33.789419022808147</v>
      </c>
      <c r="F87" s="400">
        <f t="shared" si="3"/>
        <v>-3967.5347899999997</v>
      </c>
    </row>
    <row r="88" spans="1:7" ht="23.25" hidden="1" customHeight="1">
      <c r="A88" s="401" t="s">
        <v>49</v>
      </c>
      <c r="B88" s="404" t="s">
        <v>50</v>
      </c>
      <c r="C88" s="403"/>
      <c r="D88" s="403"/>
      <c r="E88" s="405" t="e">
        <f t="shared" si="2"/>
        <v>#DIV/0!</v>
      </c>
      <c r="F88" s="405">
        <f t="shared" si="3"/>
        <v>0</v>
      </c>
    </row>
    <row r="89" spans="1:7" ht="20.25">
      <c r="A89" s="411" t="s">
        <v>51</v>
      </c>
      <c r="B89" s="404" t="s">
        <v>311</v>
      </c>
      <c r="C89" s="403">
        <v>3261.8</v>
      </c>
      <c r="D89" s="403">
        <v>719.4</v>
      </c>
      <c r="E89" s="405">
        <f t="shared" si="2"/>
        <v>22.055306885768591</v>
      </c>
      <c r="F89" s="405">
        <f t="shared" si="3"/>
        <v>-2542.4</v>
      </c>
    </row>
    <row r="90" spans="1:7" ht="36.75" customHeight="1">
      <c r="A90" s="412" t="s">
        <v>53</v>
      </c>
      <c r="B90" s="413" t="s">
        <v>54</v>
      </c>
      <c r="C90" s="403">
        <v>2592</v>
      </c>
      <c r="D90" s="403">
        <v>1213.28341</v>
      </c>
      <c r="E90" s="405">
        <f t="shared" si="2"/>
        <v>46.808773533950614</v>
      </c>
      <c r="F90" s="405">
        <f t="shared" si="3"/>
        <v>-1378.71659</v>
      </c>
    </row>
    <row r="91" spans="1:7" ht="21" customHeight="1">
      <c r="A91" s="412" t="s">
        <v>214</v>
      </c>
      <c r="B91" s="413" t="s">
        <v>215</v>
      </c>
      <c r="C91" s="403">
        <v>0</v>
      </c>
      <c r="D91" s="403">
        <v>0</v>
      </c>
      <c r="E91" s="405" t="e">
        <f t="shared" si="2"/>
        <v>#DIV/0!</v>
      </c>
      <c r="F91" s="405">
        <f t="shared" si="3"/>
        <v>0</v>
      </c>
    </row>
    <row r="92" spans="1:7" ht="34.5" customHeight="1">
      <c r="A92" s="412" t="s">
        <v>338</v>
      </c>
      <c r="B92" s="413" t="s">
        <v>339</v>
      </c>
      <c r="C92" s="414">
        <v>138.49719999999999</v>
      </c>
      <c r="D92" s="403">
        <v>92.078999999999994</v>
      </c>
      <c r="E92" s="405">
        <f t="shared" si="2"/>
        <v>66.484376579454306</v>
      </c>
      <c r="F92" s="405">
        <f t="shared" si="3"/>
        <v>-46.418199999999999</v>
      </c>
    </row>
    <row r="93" spans="1:7" s="6" customFormat="1" ht="27" customHeight="1">
      <c r="A93" s="398" t="s">
        <v>55</v>
      </c>
      <c r="B93" s="399" t="s">
        <v>56</v>
      </c>
      <c r="C93" s="415">
        <f>SUM(C94:C99)</f>
        <v>93135.57</v>
      </c>
      <c r="D93" s="415">
        <f>SUM(D94:D99)</f>
        <v>19010.100709999999</v>
      </c>
      <c r="E93" s="400">
        <f t="shared" si="2"/>
        <v>20.411214222450131</v>
      </c>
      <c r="F93" s="400">
        <f t="shared" si="3"/>
        <v>-74125.469290000008</v>
      </c>
    </row>
    <row r="94" spans="1:7" ht="24" customHeight="1">
      <c r="A94" s="401" t="s">
        <v>396</v>
      </c>
      <c r="B94" s="402" t="s">
        <v>397</v>
      </c>
      <c r="C94" s="416">
        <v>200</v>
      </c>
      <c r="D94" s="416">
        <v>164.5</v>
      </c>
      <c r="E94" s="405">
        <f t="shared" si="2"/>
        <v>82.25</v>
      </c>
      <c r="F94" s="405">
        <f t="shared" si="3"/>
        <v>-35.5</v>
      </c>
    </row>
    <row r="95" spans="1:7" ht="21" hidden="1" customHeight="1">
      <c r="A95" s="401"/>
      <c r="B95" s="404"/>
      <c r="C95" s="416"/>
      <c r="D95" s="403"/>
      <c r="E95" s="405"/>
      <c r="F95" s="405"/>
    </row>
    <row r="96" spans="1:7" s="6" customFormat="1" ht="20.25" customHeight="1">
      <c r="A96" s="401" t="s">
        <v>57</v>
      </c>
      <c r="B96" s="404" t="s">
        <v>308</v>
      </c>
      <c r="C96" s="416">
        <v>559.66999999999996</v>
      </c>
      <c r="D96" s="403">
        <v>6.3</v>
      </c>
      <c r="E96" s="405">
        <f t="shared" si="2"/>
        <v>1.1256633373237801</v>
      </c>
      <c r="F96" s="405">
        <f t="shared" si="3"/>
        <v>-553.37</v>
      </c>
      <c r="G96" s="50"/>
    </row>
    <row r="97" spans="1:7" s="6" customFormat="1" ht="20.25" customHeight="1">
      <c r="A97" s="401" t="s">
        <v>59</v>
      </c>
      <c r="B97" s="404" t="s">
        <v>391</v>
      </c>
      <c r="C97" s="416">
        <v>500</v>
      </c>
      <c r="D97" s="403"/>
      <c r="E97" s="405"/>
      <c r="F97" s="405"/>
      <c r="G97" s="50"/>
    </row>
    <row r="98" spans="1:7" ht="26.25" customHeight="1">
      <c r="A98" s="401" t="s">
        <v>61</v>
      </c>
      <c r="B98" s="404" t="s">
        <v>62</v>
      </c>
      <c r="C98" s="416">
        <v>78385.3</v>
      </c>
      <c r="D98" s="403">
        <v>17388.524310000001</v>
      </c>
      <c r="E98" s="405">
        <f t="shared" si="2"/>
        <v>22.183399578747544</v>
      </c>
      <c r="F98" s="405">
        <f t="shared" si="3"/>
        <v>-60996.775690000002</v>
      </c>
    </row>
    <row r="99" spans="1:7" ht="20.25">
      <c r="A99" s="401" t="s">
        <v>63</v>
      </c>
      <c r="B99" s="404" t="s">
        <v>64</v>
      </c>
      <c r="C99" s="416">
        <v>13490.6</v>
      </c>
      <c r="D99" s="403">
        <v>1450.7764</v>
      </c>
      <c r="E99" s="405">
        <f t="shared" si="2"/>
        <v>10.75397980816272</v>
      </c>
      <c r="F99" s="405">
        <f t="shared" si="3"/>
        <v>-12039.8236</v>
      </c>
    </row>
    <row r="100" spans="1:7" s="6" customFormat="1" ht="20.25">
      <c r="A100" s="398" t="s">
        <v>65</v>
      </c>
      <c r="B100" s="399" t="s">
        <v>66</v>
      </c>
      <c r="C100" s="389">
        <f>SUM(C101:C103)</f>
        <v>62659.594540000006</v>
      </c>
      <c r="D100" s="389">
        <f>SUM(D101:D103)</f>
        <v>7105.1338800000003</v>
      </c>
      <c r="E100" s="400">
        <f t="shared" si="2"/>
        <v>11.339259266135684</v>
      </c>
      <c r="F100" s="400">
        <f t="shared" si="3"/>
        <v>-55554.460660000004</v>
      </c>
    </row>
    <row r="101" spans="1:7" ht="20.25">
      <c r="A101" s="401" t="s">
        <v>67</v>
      </c>
      <c r="B101" s="417" t="s">
        <v>68</v>
      </c>
      <c r="C101" s="403">
        <v>7589.9777000000004</v>
      </c>
      <c r="D101" s="403">
        <v>281.72192000000001</v>
      </c>
      <c r="E101" s="405">
        <f t="shared" si="2"/>
        <v>3.7117621570877604</v>
      </c>
      <c r="F101" s="405">
        <f t="shared" si="3"/>
        <v>-7308.2557800000004</v>
      </c>
    </row>
    <row r="102" spans="1:7" ht="23.25" customHeight="1">
      <c r="A102" s="401" t="s">
        <v>69</v>
      </c>
      <c r="B102" s="417" t="s">
        <v>70</v>
      </c>
      <c r="C102" s="403">
        <v>26832.014999999999</v>
      </c>
      <c r="D102" s="403">
        <v>586.84226999999998</v>
      </c>
      <c r="E102" s="405">
        <f t="shared" si="2"/>
        <v>2.1870972791271917</v>
      </c>
      <c r="F102" s="405">
        <f t="shared" si="3"/>
        <v>-26245.172729999998</v>
      </c>
    </row>
    <row r="103" spans="1:7" ht="19.5" customHeight="1">
      <c r="A103" s="401" t="s">
        <v>71</v>
      </c>
      <c r="B103" s="404" t="s">
        <v>72</v>
      </c>
      <c r="C103" s="403">
        <v>28237.601839999999</v>
      </c>
      <c r="D103" s="403">
        <v>6236.5696900000003</v>
      </c>
      <c r="E103" s="405">
        <f t="shared" si="2"/>
        <v>22.086045852398069</v>
      </c>
      <c r="F103" s="405">
        <f t="shared" si="3"/>
        <v>-22001.032149999999</v>
      </c>
    </row>
    <row r="104" spans="1:7" s="6" customFormat="1" ht="20.25">
      <c r="A104" s="398" t="s">
        <v>73</v>
      </c>
      <c r="B104" s="418" t="s">
        <v>74</v>
      </c>
      <c r="C104" s="415">
        <f>SUM(C105)</f>
        <v>50</v>
      </c>
      <c r="D104" s="415">
        <f>SUM(D105)</f>
        <v>50</v>
      </c>
      <c r="E104" s="400">
        <f t="shared" si="2"/>
        <v>100</v>
      </c>
      <c r="F104" s="400">
        <f t="shared" si="3"/>
        <v>0</v>
      </c>
    </row>
    <row r="105" spans="1:7" ht="40.5">
      <c r="A105" s="401" t="s">
        <v>75</v>
      </c>
      <c r="B105" s="417" t="s">
        <v>76</v>
      </c>
      <c r="C105" s="405">
        <v>50</v>
      </c>
      <c r="D105" s="406">
        <v>50</v>
      </c>
      <c r="E105" s="405">
        <f t="shared" si="2"/>
        <v>100</v>
      </c>
      <c r="F105" s="405">
        <f t="shared" si="3"/>
        <v>0</v>
      </c>
    </row>
    <row r="106" spans="1:7" s="6" customFormat="1" ht="20.25">
      <c r="A106" s="398" t="s">
        <v>77</v>
      </c>
      <c r="B106" s="418" t="s">
        <v>78</v>
      </c>
      <c r="C106" s="415">
        <f>SUM(C107:C111)</f>
        <v>622767.20079999999</v>
      </c>
      <c r="D106" s="415">
        <f>SUM(D108+D109+D110+D111+D107)</f>
        <v>303106.74479999999</v>
      </c>
      <c r="E106" s="400">
        <f t="shared" si="2"/>
        <v>48.670955119446297</v>
      </c>
      <c r="F106" s="400">
        <f t="shared" si="3"/>
        <v>-319660.45600000001</v>
      </c>
    </row>
    <row r="107" spans="1:7" ht="20.25">
      <c r="A107" s="401" t="s">
        <v>79</v>
      </c>
      <c r="B107" s="417" t="s">
        <v>246</v>
      </c>
      <c r="C107" s="416">
        <v>93293.212</v>
      </c>
      <c r="D107" s="403">
        <v>58008.037499999999</v>
      </c>
      <c r="E107" s="405">
        <f t="shared" si="2"/>
        <v>62.178197380533959</v>
      </c>
      <c r="F107" s="405">
        <f t="shared" si="3"/>
        <v>-35285.174500000001</v>
      </c>
    </row>
    <row r="108" spans="1:7" ht="20.25">
      <c r="A108" s="401" t="s">
        <v>80</v>
      </c>
      <c r="B108" s="417" t="s">
        <v>247</v>
      </c>
      <c r="C108" s="416">
        <v>502110.48879999999</v>
      </c>
      <c r="D108" s="403">
        <v>229398.75197000001</v>
      </c>
      <c r="E108" s="405">
        <f t="shared" si="2"/>
        <v>45.686906983011426</v>
      </c>
      <c r="F108" s="405">
        <f t="shared" si="3"/>
        <v>-272711.73682999995</v>
      </c>
    </row>
    <row r="109" spans="1:7" ht="20.25">
      <c r="A109" s="401" t="s">
        <v>317</v>
      </c>
      <c r="B109" s="417" t="s">
        <v>318</v>
      </c>
      <c r="C109" s="416">
        <v>20102.2</v>
      </c>
      <c r="D109" s="403">
        <v>12074.49747</v>
      </c>
      <c r="E109" s="405">
        <f t="shared" si="2"/>
        <v>60.065552377351729</v>
      </c>
      <c r="F109" s="405">
        <f t="shared" si="3"/>
        <v>-8027.7025300000005</v>
      </c>
    </row>
    <row r="110" spans="1:7" ht="20.25">
      <c r="A110" s="401" t="s">
        <v>81</v>
      </c>
      <c r="B110" s="417" t="s">
        <v>248</v>
      </c>
      <c r="C110" s="416">
        <v>4500</v>
      </c>
      <c r="D110" s="403">
        <v>2501.404</v>
      </c>
      <c r="E110" s="405">
        <f t="shared" si="2"/>
        <v>55.586755555555555</v>
      </c>
      <c r="F110" s="405">
        <f t="shared" si="3"/>
        <v>-1998.596</v>
      </c>
    </row>
    <row r="111" spans="1:7" ht="20.25">
      <c r="A111" s="401" t="s">
        <v>82</v>
      </c>
      <c r="B111" s="417" t="s">
        <v>249</v>
      </c>
      <c r="C111" s="416">
        <v>2761.3</v>
      </c>
      <c r="D111" s="403">
        <v>1124.05386</v>
      </c>
      <c r="E111" s="405">
        <f t="shared" si="2"/>
        <v>40.707415347843408</v>
      </c>
      <c r="F111" s="405">
        <f t="shared" si="3"/>
        <v>-1637.2461400000002</v>
      </c>
    </row>
    <row r="112" spans="1:7" s="6" customFormat="1" ht="20.25">
      <c r="A112" s="398" t="s">
        <v>83</v>
      </c>
      <c r="B112" s="399" t="s">
        <v>84</v>
      </c>
      <c r="C112" s="389">
        <f>SUM(C113:C114)</f>
        <v>46145.169000000002</v>
      </c>
      <c r="D112" s="389">
        <f>SUM(D113:D114)</f>
        <v>21695.68347</v>
      </c>
      <c r="E112" s="400">
        <f t="shared" si="2"/>
        <v>47.016153456930674</v>
      </c>
      <c r="F112" s="400">
        <f t="shared" si="3"/>
        <v>-24449.485530000002</v>
      </c>
    </row>
    <row r="113" spans="1:7" ht="20.25">
      <c r="A113" s="401" t="s">
        <v>85</v>
      </c>
      <c r="B113" s="404" t="s">
        <v>229</v>
      </c>
      <c r="C113" s="403">
        <v>45045.169000000002</v>
      </c>
      <c r="D113" s="403">
        <v>21568.36045</v>
      </c>
      <c r="E113" s="405">
        <f t="shared" si="2"/>
        <v>47.881628438334864</v>
      </c>
      <c r="F113" s="405">
        <f t="shared" si="3"/>
        <v>-23476.808550000002</v>
      </c>
    </row>
    <row r="114" spans="1:7" ht="40.5">
      <c r="A114" s="401" t="s">
        <v>258</v>
      </c>
      <c r="B114" s="404" t="s">
        <v>259</v>
      </c>
      <c r="C114" s="403">
        <v>1100</v>
      </c>
      <c r="D114" s="403">
        <v>127.32302</v>
      </c>
      <c r="E114" s="405">
        <f t="shared" si="2"/>
        <v>11.574819999999999</v>
      </c>
      <c r="F114" s="405">
        <f t="shared" si="3"/>
        <v>-972.67697999999996</v>
      </c>
    </row>
    <row r="115" spans="1:7" s="6" customFormat="1" ht="20.25">
      <c r="A115" s="419">
        <v>1000</v>
      </c>
      <c r="B115" s="399" t="s">
        <v>86</v>
      </c>
      <c r="C115" s="389">
        <f>SUM(C116:C119)</f>
        <v>41936.949360000006</v>
      </c>
      <c r="D115" s="454">
        <f>D116+D117+D118+D119</f>
        <v>29009.164129999997</v>
      </c>
      <c r="E115" s="400">
        <f t="shared" si="2"/>
        <v>69.173281730571716</v>
      </c>
      <c r="F115" s="400">
        <f t="shared" si="3"/>
        <v>-12927.785230000009</v>
      </c>
      <c r="G115" s="94"/>
    </row>
    <row r="116" spans="1:7" ht="20.25">
      <c r="A116" s="420">
        <v>1001</v>
      </c>
      <c r="B116" s="421" t="s">
        <v>87</v>
      </c>
      <c r="C116" s="403">
        <v>60</v>
      </c>
      <c r="D116" s="403">
        <v>14.964600000000001</v>
      </c>
      <c r="E116" s="405">
        <f t="shared" si="2"/>
        <v>24.941000000000003</v>
      </c>
      <c r="F116" s="405">
        <f t="shared" si="3"/>
        <v>-45.035399999999996</v>
      </c>
    </row>
    <row r="117" spans="1:7" ht="20.25">
      <c r="A117" s="420">
        <v>1003</v>
      </c>
      <c r="B117" s="421" t="s">
        <v>88</v>
      </c>
      <c r="C117" s="403">
        <v>10606.801009999999</v>
      </c>
      <c r="D117" s="403">
        <v>4562.8731399999997</v>
      </c>
      <c r="E117" s="405">
        <f t="shared" si="2"/>
        <v>43.018372228329376</v>
      </c>
      <c r="F117" s="405">
        <f t="shared" si="3"/>
        <v>-6043.9278699999995</v>
      </c>
    </row>
    <row r="118" spans="1:7" ht="20.25">
      <c r="A118" s="420">
        <v>1004</v>
      </c>
      <c r="B118" s="421" t="s">
        <v>89</v>
      </c>
      <c r="C118" s="403">
        <v>31167.748350000002</v>
      </c>
      <c r="D118" s="455">
        <v>24400.057919999999</v>
      </c>
      <c r="E118" s="405">
        <f t="shared" si="2"/>
        <v>78.286238858188156</v>
      </c>
      <c r="F118" s="405">
        <f t="shared" si="3"/>
        <v>-6767.6904300000024</v>
      </c>
    </row>
    <row r="119" spans="1:7" ht="33.75" customHeight="1">
      <c r="A119" s="401" t="s">
        <v>90</v>
      </c>
      <c r="B119" s="404" t="s">
        <v>91</v>
      </c>
      <c r="C119" s="403">
        <v>102.4</v>
      </c>
      <c r="D119" s="403">
        <v>31.268470000000001</v>
      </c>
      <c r="E119" s="405">
        <f t="shared" si="2"/>
        <v>30.535615234374998</v>
      </c>
      <c r="F119" s="405">
        <f t="shared" si="3"/>
        <v>-71.131529999999998</v>
      </c>
    </row>
    <row r="120" spans="1:7" ht="20.25">
      <c r="A120" s="398" t="s">
        <v>92</v>
      </c>
      <c r="B120" s="399" t="s">
        <v>93</v>
      </c>
      <c r="C120" s="389">
        <f>C121+C122</f>
        <v>7770.1279999999997</v>
      </c>
      <c r="D120" s="389">
        <f>D121+D122</f>
        <v>4981.8050000000003</v>
      </c>
      <c r="E120" s="405">
        <f t="shared" si="2"/>
        <v>64.114838262638656</v>
      </c>
      <c r="F120" s="389">
        <f>F121+F122+F123+F124+F125</f>
        <v>-2788.3229999999994</v>
      </c>
    </row>
    <row r="121" spans="1:7" ht="20.25">
      <c r="A121" s="401" t="s">
        <v>94</v>
      </c>
      <c r="B121" s="404" t="s">
        <v>95</v>
      </c>
      <c r="C121" s="403">
        <v>450</v>
      </c>
      <c r="D121" s="403">
        <v>120.75</v>
      </c>
      <c r="E121" s="405">
        <f t="shared" si="2"/>
        <v>26.833333333333332</v>
      </c>
      <c r="F121" s="405">
        <f t="shared" ref="F121:F129" si="4">SUM(D121-C121)</f>
        <v>-329.25</v>
      </c>
    </row>
    <row r="122" spans="1:7" ht="20.25" customHeight="1">
      <c r="A122" s="401" t="s">
        <v>96</v>
      </c>
      <c r="B122" s="404" t="s">
        <v>97</v>
      </c>
      <c r="C122" s="403">
        <v>7320.1279999999997</v>
      </c>
      <c r="D122" s="403">
        <v>4861.0550000000003</v>
      </c>
      <c r="E122" s="405">
        <f t="shared" si="2"/>
        <v>66.406693981307441</v>
      </c>
      <c r="F122" s="405">
        <f t="shared" si="4"/>
        <v>-2459.0729999999994</v>
      </c>
    </row>
    <row r="123" spans="1:7" ht="15.75" hidden="1" customHeight="1">
      <c r="A123" s="401" t="s">
        <v>98</v>
      </c>
      <c r="B123" s="404" t="s">
        <v>99</v>
      </c>
      <c r="C123" s="403"/>
      <c r="D123" s="403"/>
      <c r="E123" s="405" t="e">
        <f t="shared" si="2"/>
        <v>#DIV/0!</v>
      </c>
      <c r="F123" s="405"/>
    </row>
    <row r="124" spans="1:7" ht="15.75" hidden="1" customHeight="1">
      <c r="A124" s="401" t="s">
        <v>100</v>
      </c>
      <c r="B124" s="404" t="s">
        <v>101</v>
      </c>
      <c r="C124" s="403"/>
      <c r="D124" s="403"/>
      <c r="E124" s="405" t="e">
        <f t="shared" si="2"/>
        <v>#DIV/0!</v>
      </c>
      <c r="F124" s="405"/>
    </row>
    <row r="125" spans="1:7" ht="15.75" hidden="1" customHeight="1">
      <c r="A125" s="401" t="s">
        <v>102</v>
      </c>
      <c r="B125" s="404" t="s">
        <v>103</v>
      </c>
      <c r="C125" s="403"/>
      <c r="D125" s="403"/>
      <c r="E125" s="405" t="e">
        <f t="shared" si="2"/>
        <v>#DIV/0!</v>
      </c>
      <c r="F125" s="405"/>
    </row>
    <row r="126" spans="1:7" ht="20.25" customHeight="1">
      <c r="A126" s="398" t="s">
        <v>104</v>
      </c>
      <c r="B126" s="399" t="s">
        <v>105</v>
      </c>
      <c r="C126" s="389">
        <f>C127</f>
        <v>45</v>
      </c>
      <c r="D126" s="456">
        <f>D127</f>
        <v>0</v>
      </c>
      <c r="E126" s="405">
        <f>SUM(D126/C126*100)</f>
        <v>0</v>
      </c>
      <c r="F126" s="405">
        <f t="shared" si="4"/>
        <v>-45</v>
      </c>
    </row>
    <row r="127" spans="1:7" ht="22.5" customHeight="1">
      <c r="A127" s="401" t="s">
        <v>106</v>
      </c>
      <c r="B127" s="404" t="s">
        <v>107</v>
      </c>
      <c r="C127" s="403">
        <v>45</v>
      </c>
      <c r="D127" s="403">
        <v>0</v>
      </c>
      <c r="E127" s="405">
        <f t="shared" si="2"/>
        <v>0</v>
      </c>
      <c r="F127" s="405">
        <f t="shared" si="4"/>
        <v>-45</v>
      </c>
    </row>
    <row r="128" spans="1:7" ht="19.5" hidden="1" customHeight="1">
      <c r="A128" s="398" t="s">
        <v>108</v>
      </c>
      <c r="B128" s="408" t="s">
        <v>109</v>
      </c>
      <c r="C128" s="422">
        <f>C129</f>
        <v>0</v>
      </c>
      <c r="D128" s="422">
        <v>0</v>
      </c>
      <c r="E128" s="405"/>
      <c r="F128" s="400">
        <f t="shared" si="4"/>
        <v>0</v>
      </c>
    </row>
    <row r="129" spans="1:8" ht="37.5" hidden="1" customHeight="1">
      <c r="A129" s="401" t="s">
        <v>110</v>
      </c>
      <c r="B129" s="410" t="s">
        <v>111</v>
      </c>
      <c r="C129" s="406">
        <v>0</v>
      </c>
      <c r="D129" s="406">
        <v>0</v>
      </c>
      <c r="E129" s="400"/>
      <c r="F129" s="405">
        <f t="shared" si="4"/>
        <v>0</v>
      </c>
    </row>
    <row r="130" spans="1:8" s="6" customFormat="1" ht="19.5" customHeight="1">
      <c r="A130" s="419">
        <v>1400</v>
      </c>
      <c r="B130" s="423" t="s">
        <v>112</v>
      </c>
      <c r="C130" s="415">
        <f>C131+C132+C133</f>
        <v>68965.216</v>
      </c>
      <c r="D130" s="415">
        <f>D131+D132+D133</f>
        <v>27969.657729999999</v>
      </c>
      <c r="E130" s="400">
        <f t="shared" si="2"/>
        <v>40.556180857897985</v>
      </c>
      <c r="F130" s="400">
        <f t="shared" si="3"/>
        <v>-40995.558270000001</v>
      </c>
    </row>
    <row r="131" spans="1:8" ht="40.5" customHeight="1">
      <c r="A131" s="420">
        <v>1401</v>
      </c>
      <c r="B131" s="421" t="s">
        <v>113</v>
      </c>
      <c r="C131" s="416">
        <v>53535.4</v>
      </c>
      <c r="D131" s="403">
        <v>26767.896000000001</v>
      </c>
      <c r="E131" s="405">
        <f t="shared" si="2"/>
        <v>50.000366112889793</v>
      </c>
      <c r="F131" s="405">
        <f t="shared" si="3"/>
        <v>-26767.504000000001</v>
      </c>
    </row>
    <row r="132" spans="1:8" ht="24.75" customHeight="1">
      <c r="A132" s="420">
        <v>1402</v>
      </c>
      <c r="B132" s="421" t="s">
        <v>114</v>
      </c>
      <c r="C132" s="416"/>
      <c r="D132" s="403">
        <v>0</v>
      </c>
      <c r="E132" s="405" t="e">
        <f t="shared" si="2"/>
        <v>#DIV/0!</v>
      </c>
      <c r="F132" s="405">
        <f t="shared" si="3"/>
        <v>0</v>
      </c>
    </row>
    <row r="133" spans="1:8" ht="27" customHeight="1">
      <c r="A133" s="420">
        <v>1403</v>
      </c>
      <c r="B133" s="421" t="s">
        <v>115</v>
      </c>
      <c r="C133" s="416">
        <v>15429.816000000001</v>
      </c>
      <c r="D133" s="403">
        <v>1201.7617299999999</v>
      </c>
      <c r="E133" s="405">
        <f t="shared" si="2"/>
        <v>7.7885681203197752</v>
      </c>
      <c r="F133" s="405">
        <f t="shared" si="3"/>
        <v>-14228.054270000001</v>
      </c>
    </row>
    <row r="134" spans="1:8" s="6" customFormat="1" ht="20.25">
      <c r="A134" s="419"/>
      <c r="B134" s="424" t="s">
        <v>116</v>
      </c>
      <c r="C134" s="484">
        <f>C77+C85+C87+C93+C100+C104+C106+C112+C115+C120+C126+C128+C130</f>
        <v>998317.82193999994</v>
      </c>
      <c r="D134" s="484">
        <f>D77+D85+D87+D93+D100+D104+D106+D112+D115+D120+D126+D128+D130</f>
        <v>436189.82254999992</v>
      </c>
      <c r="E134" s="400">
        <f t="shared" si="2"/>
        <v>43.69248078756781</v>
      </c>
      <c r="F134" s="400">
        <f t="shared" si="3"/>
        <v>-562127.99939000001</v>
      </c>
      <c r="G134" s="94"/>
      <c r="H134" s="94"/>
    </row>
    <row r="135" spans="1:8" ht="20.25">
      <c r="A135" s="425"/>
      <c r="B135" s="426"/>
      <c r="C135" s="427"/>
      <c r="D135" s="439"/>
      <c r="E135" s="428"/>
      <c r="F135" s="428"/>
    </row>
    <row r="136" spans="1:8" s="65" customFormat="1" ht="20.25">
      <c r="A136" s="429" t="s">
        <v>117</v>
      </c>
      <c r="B136" s="429"/>
      <c r="C136" s="430"/>
      <c r="D136" s="430"/>
      <c r="E136" s="431"/>
      <c r="F136" s="431"/>
    </row>
    <row r="137" spans="1:8" s="65" customFormat="1" ht="20.25">
      <c r="A137" s="432" t="s">
        <v>118</v>
      </c>
      <c r="B137" s="432"/>
      <c r="C137" s="430" t="s">
        <v>119</v>
      </c>
      <c r="D137" s="430"/>
      <c r="E137" s="431"/>
      <c r="F137" s="431"/>
    </row>
  </sheetData>
  <customSheetViews>
    <customSheetView guid="{1718F1EE-9F48-4DBE-9531-3B70F9C4A5DD}" scale="60" showPageBreaks="1" hiddenRows="1" view="pageBreakPreview">
      <selection activeCell="C14" sqref="C14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1"/>
      <headerFooter alignWithMargins="0"/>
    </customSheetView>
    <customSheetView guid="{B31C8DB7-3E78-4144-A6B5-8DE36DE63F0E}" scale="67" showPageBreaks="1" hiddenRows="1" view="pageBreakPreview">
      <selection activeCell="B11" sqref="B11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2"/>
      <headerFooter alignWithMargins="0"/>
    </customSheetView>
    <customSheetView guid="{5BFCA170-DEAE-4D2C-98A0-1E68B427AC01}" scale="67" showPageBreaks="1" hiddenRows="1" view="pageBreakPreview" topLeftCell="A110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3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4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5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6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7"/>
      <headerFooter alignWithMargins="0"/>
    </customSheetView>
    <customSheetView guid="{B30CE22D-C12F-4E12-8BB9-3AAE0A6991CC}" scale="60" showPageBreaks="1" view="pageBreakPreview">
      <selection activeCell="D6" sqref="D6"/>
      <rowBreaks count="1" manualBreakCount="1">
        <brk id="85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61528DAC-5C4C-48F4-ADE2-8A724B05A086}" scale="60" showPageBreaks="1" printArea="1" hiddenRows="1" view="pageBreakPreview" topLeftCell="A55">
      <selection activeCell="D70" sqref="D70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50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39" orientation="portrait" r:id="rId10"/>
  <headerFooter alignWithMargins="0"/>
  <rowBreaks count="1" manualBreakCount="1">
    <brk id="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16" zoomScale="70" zoomScaleSheetLayoutView="70" workbookViewId="0">
      <selection activeCell="D85" sqref="D85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30" t="s">
        <v>419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585.42000000000007</v>
      </c>
      <c r="D4" s="5">
        <f>D5+D12+D14+D17+D20+D7</f>
        <v>203.17517000000001</v>
      </c>
      <c r="E4" s="5">
        <f>SUM(D4/C4*100)</f>
        <v>34.705881247651256</v>
      </c>
      <c r="F4" s="5">
        <f>SUM(D4-C4)</f>
        <v>-382.24483000000009</v>
      </c>
    </row>
    <row r="5" spans="1:6" s="6" customFormat="1">
      <c r="A5" s="68">
        <v>1010000000</v>
      </c>
      <c r="B5" s="67" t="s">
        <v>5</v>
      </c>
      <c r="C5" s="5">
        <f>C6</f>
        <v>62.67</v>
      </c>
      <c r="D5" s="5">
        <f>D6</f>
        <v>35.235190000000003</v>
      </c>
      <c r="E5" s="5">
        <f t="shared" ref="E5:E47" si="0">SUM(D5/C5*100)</f>
        <v>56.223376416148085</v>
      </c>
      <c r="F5" s="5">
        <f t="shared" ref="F5:F47" si="1">SUM(D5-C5)</f>
        <v>-27.434809999999999</v>
      </c>
    </row>
    <row r="6" spans="1:6">
      <c r="A6" s="7">
        <v>1010200001</v>
      </c>
      <c r="B6" s="8" t="s">
        <v>224</v>
      </c>
      <c r="C6" s="9">
        <v>62.67</v>
      </c>
      <c r="D6" s="10">
        <v>35.235190000000003</v>
      </c>
      <c r="E6" s="9">
        <f t="shared" ref="E6:E11" si="2">SUM(D6/C6*100)</f>
        <v>56.223376416148085</v>
      </c>
      <c r="F6" s="9">
        <f t="shared" si="1"/>
        <v>-27.434809999999999</v>
      </c>
    </row>
    <row r="7" spans="1:6" ht="31.5">
      <c r="A7" s="3">
        <v>1030000000</v>
      </c>
      <c r="B7" s="13" t="s">
        <v>266</v>
      </c>
      <c r="C7" s="5">
        <f>C8+C10+C9</f>
        <v>249.75</v>
      </c>
      <c r="D7" s="5">
        <f>D8+D10+D9+D11</f>
        <v>129.49946</v>
      </c>
      <c r="E7" s="9">
        <f t="shared" si="2"/>
        <v>51.851635635635638</v>
      </c>
      <c r="F7" s="9">
        <f t="shared" si="1"/>
        <v>-120.25054</v>
      </c>
    </row>
    <row r="8" spans="1:6">
      <c r="A8" s="7">
        <v>1030223001</v>
      </c>
      <c r="B8" s="8" t="s">
        <v>268</v>
      </c>
      <c r="C8" s="9">
        <v>93.16</v>
      </c>
      <c r="D8" s="10">
        <v>58.56035</v>
      </c>
      <c r="E8" s="9">
        <f t="shared" si="2"/>
        <v>62.859972091026194</v>
      </c>
      <c r="F8" s="9">
        <f t="shared" si="1"/>
        <v>-34.599649999999997</v>
      </c>
    </row>
    <row r="9" spans="1:6">
      <c r="A9" s="7">
        <v>1030224001</v>
      </c>
      <c r="B9" s="8" t="s">
        <v>272</v>
      </c>
      <c r="C9" s="9">
        <v>1</v>
      </c>
      <c r="D9" s="10">
        <v>0.44113999999999998</v>
      </c>
      <c r="E9" s="9">
        <f t="shared" si="2"/>
        <v>44.113999999999997</v>
      </c>
      <c r="F9" s="9">
        <f t="shared" si="1"/>
        <v>-0.55886000000000002</v>
      </c>
    </row>
    <row r="10" spans="1:6">
      <c r="A10" s="7">
        <v>1030225001</v>
      </c>
      <c r="B10" s="8" t="s">
        <v>267</v>
      </c>
      <c r="C10" s="9">
        <v>155.59</v>
      </c>
      <c r="D10" s="10">
        <v>81.428659999999994</v>
      </c>
      <c r="E10" s="9">
        <f t="shared" si="2"/>
        <v>52.335407159843172</v>
      </c>
      <c r="F10" s="9">
        <f t="shared" si="1"/>
        <v>-74.16134000000001</v>
      </c>
    </row>
    <row r="11" spans="1:6">
      <c r="A11" s="7">
        <v>1030226001</v>
      </c>
      <c r="B11" s="8" t="s">
        <v>273</v>
      </c>
      <c r="C11" s="9">
        <v>0</v>
      </c>
      <c r="D11" s="10">
        <v>-10.93069</v>
      </c>
      <c r="E11" s="9" t="e">
        <f t="shared" si="2"/>
        <v>#DIV/0!</v>
      </c>
      <c r="F11" s="9">
        <f t="shared" si="1"/>
        <v>-10.93069</v>
      </c>
    </row>
    <row r="12" spans="1:6" s="6" customFormat="1">
      <c r="A12" s="68">
        <v>1050000000</v>
      </c>
      <c r="B12" s="67" t="s">
        <v>6</v>
      </c>
      <c r="C12" s="5">
        <f>C13</f>
        <v>25</v>
      </c>
      <c r="D12" s="5">
        <f>D13</f>
        <v>0</v>
      </c>
      <c r="E12" s="5">
        <f t="shared" si="0"/>
        <v>0</v>
      </c>
      <c r="F12" s="5">
        <f t="shared" si="1"/>
        <v>-25</v>
      </c>
    </row>
    <row r="13" spans="1:6" ht="15.75" customHeight="1">
      <c r="A13" s="7">
        <v>1050300000</v>
      </c>
      <c r="B13" s="11" t="s">
        <v>225</v>
      </c>
      <c r="C13" s="12">
        <v>25</v>
      </c>
      <c r="D13" s="10">
        <v>0</v>
      </c>
      <c r="E13" s="9">
        <f t="shared" si="0"/>
        <v>0</v>
      </c>
      <c r="F13" s="9">
        <f t="shared" si="1"/>
        <v>-25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245</v>
      </c>
      <c r="D14" s="5">
        <f>D15+D16</f>
        <v>38.240520000000004</v>
      </c>
      <c r="E14" s="5">
        <f t="shared" si="0"/>
        <v>15.608375510204084</v>
      </c>
      <c r="F14" s="5">
        <f t="shared" si="1"/>
        <v>-206.75948</v>
      </c>
    </row>
    <row r="15" spans="1:6" s="6" customFormat="1" ht="15.75" customHeight="1">
      <c r="A15" s="7">
        <v>1060100000</v>
      </c>
      <c r="B15" s="11" t="s">
        <v>8</v>
      </c>
      <c r="C15" s="9">
        <v>50</v>
      </c>
      <c r="D15" s="10">
        <v>17.257729999999999</v>
      </c>
      <c r="E15" s="9">
        <f t="shared" si="0"/>
        <v>34.515459999999997</v>
      </c>
      <c r="F15" s="9">
        <f>SUM(D15-C15)</f>
        <v>-32.742270000000005</v>
      </c>
    </row>
    <row r="16" spans="1:6" ht="15" customHeight="1">
      <c r="A16" s="7">
        <v>1060600000</v>
      </c>
      <c r="B16" s="11" t="s">
        <v>7</v>
      </c>
      <c r="C16" s="9">
        <v>195</v>
      </c>
      <c r="D16" s="10">
        <v>20.982790000000001</v>
      </c>
      <c r="E16" s="9">
        <f t="shared" si="0"/>
        <v>10.760405128205129</v>
      </c>
      <c r="F16" s="9">
        <f t="shared" si="1"/>
        <v>-174.01721000000001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0.2</v>
      </c>
      <c r="E17" s="9">
        <f t="shared" si="0"/>
        <v>6.666666666666667</v>
      </c>
      <c r="F17" s="5">
        <f t="shared" si="1"/>
        <v>-2.8</v>
      </c>
    </row>
    <row r="18" spans="1:6" ht="18.75" customHeight="1">
      <c r="A18" s="7">
        <v>1080402001</v>
      </c>
      <c r="B18" s="8" t="s">
        <v>223</v>
      </c>
      <c r="C18" s="9">
        <v>3</v>
      </c>
      <c r="D18" s="10">
        <v>0.2</v>
      </c>
      <c r="E18" s="9">
        <f t="shared" si="0"/>
        <v>6.666666666666667</v>
      </c>
      <c r="F18" s="9">
        <f t="shared" si="1"/>
        <v>-2.8</v>
      </c>
    </row>
    <row r="19" spans="1:6" ht="15" hidden="1" customHeight="1">
      <c r="A19" s="7">
        <v>1080714001</v>
      </c>
      <c r="B19" s="8" t="s">
        <v>222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226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54.3</v>
      </c>
      <c r="D25" s="5">
        <f>D26+D31+D34+D29</f>
        <v>0</v>
      </c>
      <c r="E25" s="5">
        <f t="shared" si="0"/>
        <v>0</v>
      </c>
      <c r="F25" s="5">
        <f t="shared" si="1"/>
        <v>-54.3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54.3</v>
      </c>
      <c r="D26" s="5">
        <f>D27+D28</f>
        <v>0</v>
      </c>
      <c r="E26" s="5">
        <f t="shared" si="0"/>
        <v>0</v>
      </c>
      <c r="F26" s="5">
        <f t="shared" si="1"/>
        <v>-54.3</v>
      </c>
    </row>
    <row r="27" spans="1:6" ht="22.5" customHeight="1">
      <c r="A27" s="16">
        <v>1110502000</v>
      </c>
      <c r="B27" s="17" t="s">
        <v>221</v>
      </c>
      <c r="C27" s="12">
        <v>54.3</v>
      </c>
      <c r="D27" s="10">
        <v>0</v>
      </c>
      <c r="E27" s="9">
        <f t="shared" si="0"/>
        <v>0</v>
      </c>
      <c r="F27" s="9">
        <f t="shared" si="1"/>
        <v>-54.3</v>
      </c>
    </row>
    <row r="28" spans="1:6" hidden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hidden="1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30.75" hidden="1" customHeight="1">
      <c r="A30" s="7">
        <v>1130200000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129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 hidden="1">
      <c r="A34" s="3">
        <v>1170000000</v>
      </c>
      <c r="B34" s="13" t="s">
        <v>132</v>
      </c>
      <c r="C34" s="5">
        <v>0</v>
      </c>
      <c r="D34" s="249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hidden="1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16</v>
      </c>
      <c r="C37" s="126">
        <f>C25+C4</f>
        <v>639.72</v>
      </c>
      <c r="D37" s="126">
        <f>SUM(D4,D25)</f>
        <v>203.17517000000001</v>
      </c>
      <c r="E37" s="5">
        <f t="shared" si="0"/>
        <v>31.76001531920215</v>
      </c>
      <c r="F37" s="5">
        <f t="shared" si="1"/>
        <v>-436.54483000000005</v>
      </c>
    </row>
    <row r="38" spans="1:11" s="6" customFormat="1">
      <c r="A38" s="3">
        <v>2000000000</v>
      </c>
      <c r="B38" s="4" t="s">
        <v>17</v>
      </c>
      <c r="C38" s="191">
        <f>C39+C40+C41+C42+C43+C44</f>
        <v>2633.5679999999998</v>
      </c>
      <c r="D38" s="191">
        <f>D39+D40+D41+D42+D43+D45+D44</f>
        <v>1152.7517999999998</v>
      </c>
      <c r="E38" s="5">
        <f t="shared" si="0"/>
        <v>43.771484161411436</v>
      </c>
      <c r="F38" s="5">
        <f t="shared" si="1"/>
        <v>-1480.8162</v>
      </c>
      <c r="G38" s="19"/>
    </row>
    <row r="39" spans="1:11">
      <c r="A39" s="16">
        <v>2021000000</v>
      </c>
      <c r="B39" s="17" t="s">
        <v>18</v>
      </c>
      <c r="C39" s="223">
        <v>1901.5</v>
      </c>
      <c r="D39" s="20">
        <v>950.76</v>
      </c>
      <c r="E39" s="9">
        <f t="shared" si="0"/>
        <v>50.000525900604785</v>
      </c>
      <c r="F39" s="9">
        <f t="shared" si="1"/>
        <v>-950.74</v>
      </c>
    </row>
    <row r="40" spans="1:11">
      <c r="A40" s="16">
        <v>2021500200</v>
      </c>
      <c r="B40" s="17" t="s">
        <v>227</v>
      </c>
      <c r="C40" s="220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20">
        <v>366.14</v>
      </c>
      <c r="D41" s="10">
        <v>130.273</v>
      </c>
      <c r="E41" s="9">
        <f t="shared" si="0"/>
        <v>35.580105970393838</v>
      </c>
      <c r="F41" s="9">
        <f t="shared" si="1"/>
        <v>-235.86699999999999</v>
      </c>
    </row>
    <row r="42" spans="1:11" ht="19.5" customHeight="1">
      <c r="A42" s="16">
        <v>2023000000</v>
      </c>
      <c r="B42" s="17" t="s">
        <v>20</v>
      </c>
      <c r="C42" s="220">
        <v>103.383</v>
      </c>
      <c r="D42" s="184">
        <v>51.763800000000003</v>
      </c>
      <c r="E42" s="9">
        <f t="shared" si="0"/>
        <v>50.069934128435044</v>
      </c>
      <c r="F42" s="9">
        <f t="shared" si="1"/>
        <v>-51.619199999999992</v>
      </c>
    </row>
    <row r="43" spans="1:11">
      <c r="A43" s="7">
        <v>2070500010</v>
      </c>
      <c r="B43" s="17" t="s">
        <v>337</v>
      </c>
      <c r="C43" s="220">
        <v>0</v>
      </c>
      <c r="D43" s="185">
        <v>0</v>
      </c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20">
        <v>262.54500000000002</v>
      </c>
      <c r="D44" s="185">
        <v>19.954999999999998</v>
      </c>
      <c r="E44" s="9">
        <f t="shared" si="0"/>
        <v>7.600601801595916</v>
      </c>
      <c r="F44" s="9">
        <f t="shared" si="1"/>
        <v>-242.59000000000003</v>
      </c>
    </row>
    <row r="45" spans="1:11" ht="17.25" customHeight="1">
      <c r="A45" s="7">
        <v>2190000010</v>
      </c>
      <c r="B45" s="11" t="s">
        <v>23</v>
      </c>
      <c r="C45" s="228">
        <v>0</v>
      </c>
      <c r="D45" s="217">
        <v>0</v>
      </c>
      <c r="E45" s="5" t="e">
        <f t="shared" si="0"/>
        <v>#DIV/0!</v>
      </c>
      <c r="F45" s="5">
        <f>SUM(D45-C45)</f>
        <v>0</v>
      </c>
    </row>
    <row r="46" spans="1:11" s="438" customFormat="1" ht="19.5" hidden="1" customHeight="1">
      <c r="A46" s="3">
        <v>3000000000</v>
      </c>
      <c r="B46" s="13" t="s">
        <v>24</v>
      </c>
      <c r="C46" s="229">
        <v>0</v>
      </c>
      <c r="D46" s="230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73"/>
      <c r="B47" s="274" t="s">
        <v>25</v>
      </c>
      <c r="C47" s="471">
        <f>C37+C38</f>
        <v>3273.2879999999996</v>
      </c>
      <c r="D47" s="464">
        <f>D37+D38</f>
        <v>1355.9269699999998</v>
      </c>
      <c r="E47" s="275">
        <f t="shared" si="0"/>
        <v>41.42400454833183</v>
      </c>
      <c r="F47" s="275">
        <f t="shared" si="1"/>
        <v>-1917.3610299999998</v>
      </c>
      <c r="G47" s="197"/>
      <c r="H47" s="197"/>
      <c r="K47" s="129"/>
    </row>
    <row r="48" spans="1:11" s="6" customFormat="1">
      <c r="A48" s="3"/>
      <c r="B48" s="21" t="s">
        <v>307</v>
      </c>
      <c r="C48" s="469">
        <f>C47-C94</f>
        <v>12.935799999998835</v>
      </c>
      <c r="D48" s="5">
        <f>D47-D94</f>
        <v>253.08050999999978</v>
      </c>
      <c r="E48" s="22"/>
      <c r="F48" s="22"/>
    </row>
    <row r="49" spans="1:6">
      <c r="A49" s="23"/>
      <c r="B49" s="24"/>
      <c r="C49" s="183"/>
      <c r="D49" s="183"/>
      <c r="E49" s="26"/>
      <c r="F49" s="92"/>
    </row>
    <row r="50" spans="1:6" ht="50.25" customHeight="1">
      <c r="A50" s="28" t="s">
        <v>0</v>
      </c>
      <c r="B50" s="28" t="s">
        <v>26</v>
      </c>
      <c r="C50" s="177" t="s">
        <v>405</v>
      </c>
      <c r="D50" s="178" t="s">
        <v>415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1221.6660000000002</v>
      </c>
      <c r="D52" s="22">
        <f>D54+D57+D58+D59</f>
        <v>586.73122000000001</v>
      </c>
      <c r="E52" s="34">
        <f>SUM(D52/C52*100)</f>
        <v>48.027138350416557</v>
      </c>
      <c r="F52" s="34">
        <f>SUM(D52-C52)</f>
        <v>-634.93478000000016</v>
      </c>
    </row>
    <row r="53" spans="1:6" s="6" customFormat="1" ht="31.5" hidden="1">
      <c r="A53" s="35" t="s">
        <v>29</v>
      </c>
      <c r="B53" s="36" t="s">
        <v>30</v>
      </c>
      <c r="C53" s="92"/>
      <c r="D53" s="92"/>
      <c r="E53" s="38"/>
      <c r="F53" s="38"/>
    </row>
    <row r="54" spans="1:6" ht="16.5" customHeight="1">
      <c r="A54" s="35" t="s">
        <v>31</v>
      </c>
      <c r="B54" s="39" t="s">
        <v>32</v>
      </c>
      <c r="C54" s="92">
        <v>1154.4000000000001</v>
      </c>
      <c r="D54" s="92">
        <v>572.73122000000001</v>
      </c>
      <c r="E54" s="38">
        <f>SUM(D54/C54*100)</f>
        <v>49.612891545391541</v>
      </c>
      <c r="F54" s="38">
        <f t="shared" ref="F54:F94" si="3">SUM(D54-C54)</f>
        <v>-581.66878000000008</v>
      </c>
    </row>
    <row r="55" spans="1:6" ht="0.75" hidden="1" customHeight="1">
      <c r="A55" s="35" t="s">
        <v>33</v>
      </c>
      <c r="B55" s="39" t="s">
        <v>34</v>
      </c>
      <c r="C55" s="92"/>
      <c r="D55" s="92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2"/>
      <c r="D56" s="92"/>
      <c r="E56" s="38" t="e">
        <f t="shared" ref="E56:E94" si="4">SUM(D56/C56*100)</f>
        <v>#DIV/0!</v>
      </c>
      <c r="F56" s="38">
        <f t="shared" si="3"/>
        <v>0</v>
      </c>
    </row>
    <row r="57" spans="1:6" ht="17.25" hidden="1" customHeight="1">
      <c r="A57" s="35" t="s">
        <v>37</v>
      </c>
      <c r="B57" s="39" t="s">
        <v>38</v>
      </c>
      <c r="C57" s="92">
        <v>0</v>
      </c>
      <c r="D57" s="92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3">
        <v>50</v>
      </c>
      <c r="D58" s="103">
        <v>0</v>
      </c>
      <c r="E58" s="38">
        <f t="shared" si="4"/>
        <v>0</v>
      </c>
      <c r="F58" s="38">
        <f t="shared" si="3"/>
        <v>-50</v>
      </c>
    </row>
    <row r="59" spans="1:6" ht="17.25" customHeight="1">
      <c r="A59" s="35" t="s">
        <v>41</v>
      </c>
      <c r="B59" s="39" t="s">
        <v>42</v>
      </c>
      <c r="C59" s="92">
        <v>17.265999999999998</v>
      </c>
      <c r="D59" s="92">
        <v>14</v>
      </c>
      <c r="E59" s="38">
        <f t="shared" si="4"/>
        <v>81.084211745627258</v>
      </c>
      <c r="F59" s="38">
        <f t="shared" si="3"/>
        <v>-3.2659999999999982</v>
      </c>
    </row>
    <row r="60" spans="1:6" s="6" customFormat="1">
      <c r="A60" s="41" t="s">
        <v>43</v>
      </c>
      <c r="B60" s="42" t="s">
        <v>44</v>
      </c>
      <c r="C60" s="22">
        <f>C61</f>
        <v>103.383</v>
      </c>
      <c r="D60" s="22">
        <f>D61</f>
        <v>43.63796</v>
      </c>
      <c r="E60" s="34">
        <f t="shared" si="4"/>
        <v>42.209995840708821</v>
      </c>
      <c r="F60" s="34">
        <f t="shared" si="3"/>
        <v>-59.745039999999996</v>
      </c>
    </row>
    <row r="61" spans="1:6">
      <c r="A61" s="43" t="s">
        <v>45</v>
      </c>
      <c r="B61" s="44" t="s">
        <v>46</v>
      </c>
      <c r="C61" s="92">
        <v>103.383</v>
      </c>
      <c r="D61" s="92">
        <v>43.63796</v>
      </c>
      <c r="E61" s="38">
        <f t="shared" si="4"/>
        <v>42.209995840708821</v>
      </c>
      <c r="F61" s="38">
        <f t="shared" si="3"/>
        <v>-59.745039999999996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15</v>
      </c>
      <c r="D62" s="22">
        <f>D65+D66+D67</f>
        <v>2.81148</v>
      </c>
      <c r="E62" s="34">
        <f t="shared" si="4"/>
        <v>18.743199999999998</v>
      </c>
      <c r="F62" s="34">
        <f t="shared" si="3"/>
        <v>-12.18852</v>
      </c>
    </row>
    <row r="63" spans="1:6" ht="13.5" hidden="1" customHeight="1">
      <c r="A63" s="35" t="s">
        <v>49</v>
      </c>
      <c r="B63" s="39" t="s">
        <v>50</v>
      </c>
      <c r="C63" s="92"/>
      <c r="D63" s="92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2"/>
      <c r="D64" s="9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2">
        <v>3</v>
      </c>
      <c r="D65" s="92">
        <v>2.81148</v>
      </c>
      <c r="E65" s="34">
        <f t="shared" si="4"/>
        <v>93.715999999999994</v>
      </c>
      <c r="F65" s="34">
        <f t="shared" si="3"/>
        <v>-0.18852000000000002</v>
      </c>
    </row>
    <row r="66" spans="1:7" ht="15.75" customHeight="1">
      <c r="A66" s="46" t="s">
        <v>214</v>
      </c>
      <c r="B66" s="47" t="s">
        <v>215</v>
      </c>
      <c r="C66" s="92">
        <v>10</v>
      </c>
      <c r="D66" s="92">
        <v>0</v>
      </c>
      <c r="E66" s="38">
        <f t="shared" si="4"/>
        <v>0</v>
      </c>
      <c r="F66" s="38">
        <f t="shared" si="3"/>
        <v>-10</v>
      </c>
    </row>
    <row r="67" spans="1:7" ht="15.75" customHeight="1">
      <c r="A67" s="46" t="s">
        <v>338</v>
      </c>
      <c r="B67" s="47" t="s">
        <v>392</v>
      </c>
      <c r="C67" s="92">
        <v>2</v>
      </c>
      <c r="D67" s="92">
        <v>0</v>
      </c>
      <c r="E67" s="38"/>
      <c r="F67" s="38"/>
    </row>
    <row r="68" spans="1:7" s="6" customFormat="1">
      <c r="A68" s="30" t="s">
        <v>55</v>
      </c>
      <c r="B68" s="31" t="s">
        <v>56</v>
      </c>
      <c r="C68" s="104">
        <f>C71+C72+C69+C70</f>
        <v>901.94420000000002</v>
      </c>
      <c r="D68" s="104">
        <f>D71+D72+D69+D70</f>
        <v>157.74741</v>
      </c>
      <c r="E68" s="34">
        <f t="shared" si="4"/>
        <v>17.489708343376453</v>
      </c>
      <c r="F68" s="34">
        <f t="shared" si="3"/>
        <v>-744.19678999999996</v>
      </c>
    </row>
    <row r="69" spans="1:7" ht="16.5" customHeight="1">
      <c r="A69" s="35" t="s">
        <v>57</v>
      </c>
      <c r="B69" s="39" t="s">
        <v>58</v>
      </c>
      <c r="C69" s="105">
        <v>0</v>
      </c>
      <c r="D69" s="92">
        <v>0</v>
      </c>
      <c r="E69" s="38" t="e">
        <f t="shared" si="4"/>
        <v>#DIV/0!</v>
      </c>
      <c r="F69" s="38">
        <f t="shared" si="3"/>
        <v>0</v>
      </c>
    </row>
    <row r="70" spans="1:7" s="6" customFormat="1" ht="15.75" customHeight="1">
      <c r="A70" s="35" t="s">
        <v>59</v>
      </c>
      <c r="B70" s="39" t="s">
        <v>60</v>
      </c>
      <c r="C70" s="105">
        <v>22</v>
      </c>
      <c r="D70" s="92">
        <v>0</v>
      </c>
      <c r="E70" s="38">
        <f t="shared" si="4"/>
        <v>0</v>
      </c>
      <c r="F70" s="38">
        <f t="shared" si="3"/>
        <v>-22</v>
      </c>
      <c r="G70" s="50"/>
    </row>
    <row r="71" spans="1:7" ht="15.75" customHeight="1">
      <c r="A71" s="35" t="s">
        <v>61</v>
      </c>
      <c r="B71" s="39" t="s">
        <v>62</v>
      </c>
      <c r="C71" s="105">
        <v>829.94420000000002</v>
      </c>
      <c r="D71" s="92">
        <v>149.74741</v>
      </c>
      <c r="E71" s="38">
        <f t="shared" si="4"/>
        <v>18.043069642513316</v>
      </c>
      <c r="F71" s="38">
        <f t="shared" si="3"/>
        <v>-680.19678999999996</v>
      </c>
    </row>
    <row r="72" spans="1:7" hidden="1">
      <c r="A72" s="35" t="s">
        <v>63</v>
      </c>
      <c r="B72" s="39" t="s">
        <v>64</v>
      </c>
      <c r="C72" s="105">
        <v>50</v>
      </c>
      <c r="D72" s="92">
        <v>8</v>
      </c>
      <c r="E72" s="38">
        <f t="shared" si="4"/>
        <v>16</v>
      </c>
      <c r="F72" s="38">
        <f t="shared" si="3"/>
        <v>-42</v>
      </c>
    </row>
    <row r="73" spans="1:7" s="6" customFormat="1" ht="18" customHeight="1">
      <c r="A73" s="30" t="s">
        <v>65</v>
      </c>
      <c r="B73" s="31" t="s">
        <v>66</v>
      </c>
      <c r="C73" s="22">
        <f>C76</f>
        <v>654.15499999999997</v>
      </c>
      <c r="D73" s="22">
        <f>D76</f>
        <v>165.91838999999999</v>
      </c>
      <c r="E73" s="34">
        <f t="shared" si="4"/>
        <v>25.363773111877151</v>
      </c>
      <c r="F73" s="34">
        <f t="shared" si="3"/>
        <v>-488.23660999999998</v>
      </c>
    </row>
    <row r="74" spans="1:7" ht="0.75" hidden="1" customHeight="1">
      <c r="A74" s="35" t="s">
        <v>67</v>
      </c>
      <c r="B74" s="51" t="s">
        <v>68</v>
      </c>
      <c r="C74" s="92"/>
      <c r="D74" s="92"/>
      <c r="E74" s="38" t="e">
        <f t="shared" si="4"/>
        <v>#DIV/0!</v>
      </c>
      <c r="F74" s="38">
        <f t="shared" si="3"/>
        <v>0</v>
      </c>
    </row>
    <row r="75" spans="1:7" hidden="1">
      <c r="A75" s="35" t="s">
        <v>69</v>
      </c>
      <c r="B75" s="51" t="s">
        <v>70</v>
      </c>
      <c r="C75" s="92"/>
      <c r="D75" s="92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71</v>
      </c>
      <c r="B76" s="39" t="s">
        <v>72</v>
      </c>
      <c r="C76" s="92">
        <v>654.15499999999997</v>
      </c>
      <c r="D76" s="92">
        <v>165.91838999999999</v>
      </c>
      <c r="E76" s="38">
        <f t="shared" si="4"/>
        <v>25.363773111877151</v>
      </c>
      <c r="F76" s="38">
        <f t="shared" si="3"/>
        <v>-488.23660999999998</v>
      </c>
    </row>
    <row r="77" spans="1:7" s="6" customFormat="1">
      <c r="A77" s="30" t="s">
        <v>83</v>
      </c>
      <c r="B77" s="31" t="s">
        <v>84</v>
      </c>
      <c r="C77" s="22">
        <f>C78</f>
        <v>334.20400000000001</v>
      </c>
      <c r="D77" s="22">
        <f>D78</f>
        <v>146</v>
      </c>
      <c r="E77" s="34">
        <f t="shared" si="4"/>
        <v>43.685892448923411</v>
      </c>
      <c r="F77" s="34">
        <f t="shared" si="3"/>
        <v>-188.20400000000001</v>
      </c>
    </row>
    <row r="78" spans="1:7" ht="14.25" customHeight="1">
      <c r="A78" s="35" t="s">
        <v>85</v>
      </c>
      <c r="B78" s="39" t="s">
        <v>229</v>
      </c>
      <c r="C78" s="92">
        <v>334.20400000000001</v>
      </c>
      <c r="D78" s="92">
        <v>146</v>
      </c>
      <c r="E78" s="38">
        <f t="shared" si="4"/>
        <v>43.685892448923411</v>
      </c>
      <c r="F78" s="38">
        <f t="shared" si="3"/>
        <v>-188.20400000000001</v>
      </c>
    </row>
    <row r="79" spans="1:7" s="6" customFormat="1" ht="0.75" hidden="1" customHeight="1">
      <c r="A79" s="52">
        <v>1000</v>
      </c>
      <c r="B79" s="31" t="s">
        <v>86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87</v>
      </c>
      <c r="C80" s="92"/>
      <c r="D80" s="9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88</v>
      </c>
      <c r="C81" s="92"/>
      <c r="D81" s="9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89</v>
      </c>
      <c r="C82" s="92"/>
      <c r="D82" s="187"/>
      <c r="E82" s="38" t="e">
        <f t="shared" si="4"/>
        <v>#DIV/0!</v>
      </c>
      <c r="F82" s="38">
        <f t="shared" si="3"/>
        <v>0</v>
      </c>
    </row>
    <row r="83" spans="1:7" ht="0.75" hidden="1" customHeight="1">
      <c r="A83" s="35" t="s">
        <v>90</v>
      </c>
      <c r="B83" s="39" t="s">
        <v>91</v>
      </c>
      <c r="C83" s="92"/>
      <c r="D83" s="92"/>
      <c r="E83" s="38"/>
      <c r="F83" s="38">
        <f t="shared" si="3"/>
        <v>0</v>
      </c>
    </row>
    <row r="84" spans="1:7" ht="12" customHeight="1">
      <c r="A84" s="30" t="s">
        <v>92</v>
      </c>
      <c r="B84" s="31" t="s">
        <v>93</v>
      </c>
      <c r="C84" s="22">
        <f>C85</f>
        <v>30</v>
      </c>
      <c r="D84" s="22">
        <f>D85</f>
        <v>0</v>
      </c>
      <c r="E84" s="38">
        <f t="shared" si="4"/>
        <v>0</v>
      </c>
      <c r="F84" s="22">
        <f>F85+F86+F87+F88+F89</f>
        <v>-30</v>
      </c>
    </row>
    <row r="85" spans="1:7" ht="11.25" customHeight="1">
      <c r="A85" s="35" t="s">
        <v>94</v>
      </c>
      <c r="B85" s="39" t="s">
        <v>95</v>
      </c>
      <c r="C85" s="92">
        <v>30</v>
      </c>
      <c r="D85" s="92">
        <v>0</v>
      </c>
      <c r="E85" s="38">
        <v>0</v>
      </c>
      <c r="F85" s="38">
        <f>SUM(D85-C85)</f>
        <v>-30</v>
      </c>
    </row>
    <row r="86" spans="1:7" ht="14.25" hidden="1" customHeight="1">
      <c r="A86" s="35" t="s">
        <v>96</v>
      </c>
      <c r="B86" s="39" t="s">
        <v>97</v>
      </c>
      <c r="C86" s="92"/>
      <c r="D86" s="9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98</v>
      </c>
      <c r="B87" s="39" t="s">
        <v>99</v>
      </c>
      <c r="C87" s="92"/>
      <c r="D87" s="92"/>
      <c r="E87" s="38" t="e">
        <f t="shared" si="4"/>
        <v>#DIV/0!</v>
      </c>
      <c r="F87" s="38"/>
    </row>
    <row r="88" spans="1:7" ht="9.75" hidden="1" customHeight="1">
      <c r="A88" s="35" t="s">
        <v>100</v>
      </c>
      <c r="B88" s="39" t="s">
        <v>101</v>
      </c>
      <c r="C88" s="92"/>
      <c r="D88" s="92"/>
      <c r="E88" s="38" t="e">
        <f t="shared" si="4"/>
        <v>#DIV/0!</v>
      </c>
      <c r="F88" s="38"/>
    </row>
    <row r="89" spans="1:7" ht="11.25" hidden="1" customHeight="1">
      <c r="A89" s="35" t="s">
        <v>102</v>
      </c>
      <c r="B89" s="39" t="s">
        <v>103</v>
      </c>
      <c r="C89" s="92"/>
      <c r="D89" s="9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112</v>
      </c>
      <c r="C90" s="104">
        <v>0</v>
      </c>
      <c r="D90" s="104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113</v>
      </c>
      <c r="C91" s="105"/>
      <c r="D91" s="9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114</v>
      </c>
      <c r="C92" s="105"/>
      <c r="D92" s="9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115</v>
      </c>
      <c r="C93" s="105"/>
      <c r="D93" s="9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116</v>
      </c>
      <c r="C94" s="457">
        <f>C52+C60+C62+C68+C73+C77+C84</f>
        <v>3260.3522000000007</v>
      </c>
      <c r="D94" s="457">
        <f>D52+D60+D62+D68+D73+D77+D79+D84+D90</f>
        <v>1102.84646</v>
      </c>
      <c r="E94" s="127">
        <f t="shared" si="4"/>
        <v>33.82599156005292</v>
      </c>
      <c r="F94" s="34">
        <f t="shared" si="3"/>
        <v>-2157.5057400000005</v>
      </c>
      <c r="G94" s="197"/>
    </row>
    <row r="95" spans="1:7">
      <c r="C95" s="125"/>
      <c r="D95" s="101"/>
    </row>
    <row r="96" spans="1:7" s="65" customFormat="1" ht="16.5" customHeight="1">
      <c r="A96" s="63" t="s">
        <v>117</v>
      </c>
      <c r="B96" s="63"/>
      <c r="C96" s="182"/>
      <c r="D96" s="182"/>
    </row>
    <row r="97" spans="1:3" s="65" customFormat="1" ht="20.25" customHeight="1">
      <c r="A97" s="66" t="s">
        <v>118</v>
      </c>
      <c r="B97" s="66"/>
      <c r="C97" s="65" t="s">
        <v>119</v>
      </c>
    </row>
    <row r="98" spans="1:3" ht="13.5" customHeight="1"/>
    <row r="100" spans="1:3" ht="5.25" customHeight="1"/>
    <row r="142" hidden="1"/>
  </sheetData>
  <customSheetViews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1"/>
      <headerFooter alignWithMargins="0"/>
    </customSheetView>
    <customSheetView guid="{B31C8DB7-3E78-4144-A6B5-8DE36DE63F0E}" hiddenRows="1" topLeftCell="A47">
      <selection activeCell="D58" sqref="D58"/>
      <pageMargins left="0.75" right="0.75" top="0.18" bottom="0.17" header="0.5" footer="0.25"/>
      <pageSetup paperSize="9" scale="63" orientation="portrait" r:id="rId2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3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4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5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7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8"/>
      <headerFooter alignWithMargins="0"/>
    </customSheetView>
    <customSheetView guid="{61528DAC-5C4C-48F4-ADE2-8A724B05A086}" scale="70" showPageBreaks="1" printArea="1" hiddenRows="1" view="pageBreakPreview" topLeftCell="A35">
      <selection activeCell="C85" sqref="C85"/>
      <pageMargins left="0.74803149606299213" right="0.74803149606299213" top="0.19685039370078741" bottom="0.15748031496062992" header="0.51181102362204722" footer="0.23622047244094491"/>
      <pageSetup paperSize="9" scale="60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0.18" bottom="0.17" header="0.5" footer="0.25"/>
  <pageSetup paperSize="9" scale="49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2"/>
  <sheetViews>
    <sheetView view="pageBreakPreview" topLeftCell="A31" zoomScale="70" zoomScaleSheetLayoutView="70" workbookViewId="0">
      <selection activeCell="C63" sqref="C63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421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134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3260.32</v>
      </c>
      <c r="D4" s="5">
        <f>D5+D12+D14+D17+D7</f>
        <v>931.11243000000013</v>
      </c>
      <c r="E4" s="5">
        <f>SUM(D4/C4*100)</f>
        <v>28.558927651273496</v>
      </c>
      <c r="F4" s="5">
        <f>SUM(D4-C4)</f>
        <v>-2329.20757</v>
      </c>
    </row>
    <row r="5" spans="1:6" s="6" customFormat="1">
      <c r="A5" s="68">
        <v>1010000000</v>
      </c>
      <c r="B5" s="67" t="s">
        <v>5</v>
      </c>
      <c r="C5" s="5">
        <f>C6</f>
        <v>350.22</v>
      </c>
      <c r="D5" s="5">
        <f>D6</f>
        <v>151.59511000000001</v>
      </c>
      <c r="E5" s="5">
        <f t="shared" ref="E5:E52" si="0">SUM(D5/C5*100)</f>
        <v>43.285680429444348</v>
      </c>
      <c r="F5" s="5">
        <f t="shared" ref="F5:F52" si="1">SUM(D5-C5)</f>
        <v>-198.62489000000002</v>
      </c>
    </row>
    <row r="6" spans="1:6">
      <c r="A6" s="7">
        <v>1010200001</v>
      </c>
      <c r="B6" s="8" t="s">
        <v>224</v>
      </c>
      <c r="C6" s="9">
        <v>350.22</v>
      </c>
      <c r="D6" s="10">
        <v>151.59511000000001</v>
      </c>
      <c r="E6" s="9">
        <f t="shared" ref="E6:E11" si="2">SUM(D6/C6*100)</f>
        <v>43.285680429444348</v>
      </c>
      <c r="F6" s="9">
        <f t="shared" si="1"/>
        <v>-198.62489000000002</v>
      </c>
    </row>
    <row r="7" spans="1:6" ht="31.5">
      <c r="A7" s="3">
        <v>1030000000</v>
      </c>
      <c r="B7" s="13" t="s">
        <v>266</v>
      </c>
      <c r="C7" s="5">
        <f>C8+C10+C9</f>
        <v>717.1</v>
      </c>
      <c r="D7" s="5">
        <f>D8+D10+D9+D11</f>
        <v>371.83009000000004</v>
      </c>
      <c r="E7" s="5">
        <f t="shared" si="2"/>
        <v>51.851916050760003</v>
      </c>
      <c r="F7" s="5">
        <f t="shared" si="1"/>
        <v>-345.26990999999998</v>
      </c>
    </row>
    <row r="8" spans="1:6">
      <c r="A8" s="7">
        <v>1030223001</v>
      </c>
      <c r="B8" s="8" t="s">
        <v>268</v>
      </c>
      <c r="C8" s="9">
        <v>267.48</v>
      </c>
      <c r="D8" s="10">
        <v>168.14356000000001</v>
      </c>
      <c r="E8" s="9">
        <f t="shared" si="2"/>
        <v>62.862105577987137</v>
      </c>
      <c r="F8" s="9">
        <f t="shared" si="1"/>
        <v>-99.33644000000001</v>
      </c>
    </row>
    <row r="9" spans="1:6">
      <c r="A9" s="7">
        <v>1030224001</v>
      </c>
      <c r="B9" s="8" t="s">
        <v>274</v>
      </c>
      <c r="C9" s="9">
        <v>2.87</v>
      </c>
      <c r="D9" s="10">
        <v>1.2666299999999999</v>
      </c>
      <c r="E9" s="9">
        <f t="shared" si="2"/>
        <v>44.13344947735191</v>
      </c>
      <c r="F9" s="9">
        <f t="shared" si="1"/>
        <v>-1.6033700000000002</v>
      </c>
    </row>
    <row r="10" spans="1:6">
      <c r="A10" s="7">
        <v>1030225001</v>
      </c>
      <c r="B10" s="8" t="s">
        <v>267</v>
      </c>
      <c r="C10" s="9">
        <v>446.75</v>
      </c>
      <c r="D10" s="10">
        <v>233.80504999999999</v>
      </c>
      <c r="E10" s="9">
        <f t="shared" si="2"/>
        <v>52.334650251818694</v>
      </c>
      <c r="F10" s="9">
        <f t="shared" si="1"/>
        <v>-212.94495000000001</v>
      </c>
    </row>
    <row r="11" spans="1:6">
      <c r="A11" s="7">
        <v>1030226001</v>
      </c>
      <c r="B11" s="8" t="s">
        <v>276</v>
      </c>
      <c r="C11" s="9">
        <v>0</v>
      </c>
      <c r="D11" s="10">
        <v>-31.385149999999999</v>
      </c>
      <c r="E11" s="9" t="e">
        <f t="shared" si="2"/>
        <v>#DIV/0!</v>
      </c>
      <c r="F11" s="9">
        <f t="shared" si="1"/>
        <v>-31.385149999999999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42.529200000000003</v>
      </c>
      <c r="E12" s="5">
        <f t="shared" si="0"/>
        <v>106.32300000000001</v>
      </c>
      <c r="F12" s="5">
        <f t="shared" si="1"/>
        <v>2.529200000000003</v>
      </c>
    </row>
    <row r="13" spans="1:6" ht="15.75" customHeight="1">
      <c r="A13" s="7">
        <v>1050300000</v>
      </c>
      <c r="B13" s="11" t="s">
        <v>225</v>
      </c>
      <c r="C13" s="12">
        <v>40</v>
      </c>
      <c r="D13" s="10">
        <v>42.529200000000003</v>
      </c>
      <c r="E13" s="9">
        <f t="shared" si="0"/>
        <v>106.32300000000001</v>
      </c>
      <c r="F13" s="9">
        <f t="shared" si="1"/>
        <v>2.529200000000003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2143</v>
      </c>
      <c r="D14" s="5">
        <f>D15+D16</f>
        <v>363.29803000000004</v>
      </c>
      <c r="E14" s="5">
        <f t="shared" si="0"/>
        <v>16.952777881474571</v>
      </c>
      <c r="F14" s="5">
        <f t="shared" si="1"/>
        <v>-1779.7019700000001</v>
      </c>
    </row>
    <row r="15" spans="1:6" s="6" customFormat="1" ht="15.75" customHeight="1">
      <c r="A15" s="7">
        <v>1060100000</v>
      </c>
      <c r="B15" s="11" t="s">
        <v>8</v>
      </c>
      <c r="C15" s="9">
        <v>943</v>
      </c>
      <c r="D15" s="10">
        <v>65.424430000000001</v>
      </c>
      <c r="E15" s="5">
        <f t="shared" si="0"/>
        <v>6.9379034994697779</v>
      </c>
      <c r="F15" s="9">
        <f>SUM(D15-C15)</f>
        <v>-877.57556999999997</v>
      </c>
    </row>
    <row r="16" spans="1:6" ht="15" customHeight="1">
      <c r="A16" s="7">
        <v>1060600000</v>
      </c>
      <c r="B16" s="11" t="s">
        <v>7</v>
      </c>
      <c r="C16" s="9">
        <v>1200</v>
      </c>
      <c r="D16" s="10">
        <v>297.87360000000001</v>
      </c>
      <c r="E16" s="5">
        <f t="shared" si="0"/>
        <v>24.822800000000001</v>
      </c>
      <c r="F16" s="9">
        <f t="shared" si="1"/>
        <v>-902.12639999999999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1.86</v>
      </c>
      <c r="E17" s="5">
        <f t="shared" si="0"/>
        <v>18.600000000000001</v>
      </c>
      <c r="F17" s="5">
        <f t="shared" si="1"/>
        <v>-8.14</v>
      </c>
    </row>
    <row r="18" spans="1:6" ht="18" customHeight="1">
      <c r="A18" s="7">
        <v>1080400001</v>
      </c>
      <c r="B18" s="8" t="s">
        <v>223</v>
      </c>
      <c r="C18" s="9">
        <v>10</v>
      </c>
      <c r="D18" s="10">
        <v>1.86</v>
      </c>
      <c r="E18" s="9">
        <f t="shared" si="0"/>
        <v>18.600000000000001</v>
      </c>
      <c r="F18" s="9">
        <f t="shared" si="1"/>
        <v>-8.14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C26+C30+C32+C37+C35</f>
        <v>415</v>
      </c>
      <c r="D25" s="5">
        <f>D26+D30+D32+D35+D37</f>
        <v>50.21302</v>
      </c>
      <c r="E25" s="5">
        <f t="shared" si="0"/>
        <v>12.099522891566265</v>
      </c>
      <c r="F25" s="5">
        <f t="shared" si="1"/>
        <v>-364.78697999999997</v>
      </c>
    </row>
    <row r="26" spans="1:6" s="6" customFormat="1" ht="30.75" customHeight="1">
      <c r="A26" s="68">
        <v>1110000000</v>
      </c>
      <c r="B26" s="69" t="s">
        <v>126</v>
      </c>
      <c r="C26" s="5">
        <f>C28+C29</f>
        <v>215</v>
      </c>
      <c r="D26" s="5">
        <f>D28+D29</f>
        <v>31.001999999999999</v>
      </c>
      <c r="E26" s="5">
        <f t="shared" si="0"/>
        <v>14.41953488372093</v>
      </c>
      <c r="F26" s="5">
        <f t="shared" si="1"/>
        <v>-183.99799999999999</v>
      </c>
    </row>
    <row r="27" spans="1:6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312</v>
      </c>
      <c r="C28" s="12">
        <v>165</v>
      </c>
      <c r="D28" s="10">
        <v>6</v>
      </c>
      <c r="E28" s="9">
        <f t="shared" si="0"/>
        <v>3.6363636363636362</v>
      </c>
      <c r="F28" s="9">
        <f t="shared" si="1"/>
        <v>-159</v>
      </c>
    </row>
    <row r="29" spans="1:6">
      <c r="A29" s="7">
        <v>1110503000</v>
      </c>
      <c r="B29" s="11" t="s">
        <v>220</v>
      </c>
      <c r="C29" s="12">
        <v>50</v>
      </c>
      <c r="D29" s="10">
        <v>25.001999999999999</v>
      </c>
      <c r="E29" s="9">
        <f>SUM(D29/C29*100)</f>
        <v>50.003999999999991</v>
      </c>
      <c r="F29" s="9">
        <f t="shared" si="1"/>
        <v>-24.998000000000001</v>
      </c>
    </row>
    <row r="30" spans="1:6" s="15" customFormat="1" ht="35.25" customHeight="1">
      <c r="A30" s="68">
        <v>1130000000</v>
      </c>
      <c r="B30" s="69" t="s">
        <v>128</v>
      </c>
      <c r="C30" s="5">
        <f>C31</f>
        <v>200</v>
      </c>
      <c r="D30" s="5">
        <f>D31</f>
        <v>21.78417</v>
      </c>
      <c r="E30" s="5">
        <f t="shared" si="0"/>
        <v>10.892085</v>
      </c>
      <c r="F30" s="5">
        <f t="shared" si="1"/>
        <v>-178.21583000000001</v>
      </c>
    </row>
    <row r="31" spans="1:6" ht="18" customHeight="1">
      <c r="A31" s="7">
        <v>1130206005</v>
      </c>
      <c r="B31" s="8" t="s">
        <v>219</v>
      </c>
      <c r="C31" s="9">
        <v>200</v>
      </c>
      <c r="D31" s="10">
        <v>21.78417</v>
      </c>
      <c r="E31" s="9">
        <f>SUM(D31/C31*100)</f>
        <v>10.892085</v>
      </c>
      <c r="F31" s="9">
        <f t="shared" si="1"/>
        <v>-178.21583000000001</v>
      </c>
    </row>
    <row r="32" spans="1:6" ht="18.7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.75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6.5" hidden="1" customHeight="1">
      <c r="A35" s="100">
        <v>1160000000</v>
      </c>
      <c r="B35" s="13" t="s">
        <v>240</v>
      </c>
      <c r="C35" s="5">
        <f>C36</f>
        <v>0</v>
      </c>
      <c r="D35" s="14">
        <f>D36</f>
        <v>0</v>
      </c>
      <c r="E35" s="9" t="e">
        <f t="shared" si="0"/>
        <v>#DIV/0!</v>
      </c>
      <c r="F35" s="9">
        <f t="shared" si="1"/>
        <v>0</v>
      </c>
    </row>
    <row r="36" spans="1:7" ht="46.5" hidden="1" customHeight="1">
      <c r="A36" s="7">
        <v>1160701010</v>
      </c>
      <c r="B36" s="8" t="s">
        <v>401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29.25" customHeight="1">
      <c r="A37" s="3">
        <v>1170000000</v>
      </c>
      <c r="B37" s="13" t="s">
        <v>132</v>
      </c>
      <c r="C37" s="5">
        <f>C38+C39</f>
        <v>0</v>
      </c>
      <c r="D37" s="5">
        <f>D38+D39</f>
        <v>-2.57315</v>
      </c>
      <c r="E37" s="5" t="e">
        <f t="shared" si="0"/>
        <v>#DIV/0!</v>
      </c>
      <c r="F37" s="5">
        <f t="shared" si="1"/>
        <v>-2.57315</v>
      </c>
    </row>
    <row r="38" spans="1:7" ht="13.5" customHeight="1">
      <c r="A38" s="7">
        <v>1170105005</v>
      </c>
      <c r="B38" s="8" t="s">
        <v>15</v>
      </c>
      <c r="C38" s="9">
        <v>0</v>
      </c>
      <c r="D38" s="9">
        <v>-2.57315</v>
      </c>
      <c r="E38" s="9" t="e">
        <f t="shared" si="0"/>
        <v>#DIV/0!</v>
      </c>
      <c r="F38" s="9">
        <f t="shared" si="1"/>
        <v>-2.57315</v>
      </c>
    </row>
    <row r="39" spans="1:7" ht="24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29.25" customHeight="1">
      <c r="A40" s="3">
        <v>1000000000</v>
      </c>
      <c r="B40" s="4" t="s">
        <v>16</v>
      </c>
      <c r="C40" s="126">
        <f>SUM(C4,C25)</f>
        <v>3675.32</v>
      </c>
      <c r="D40" s="126">
        <f>D4+D25</f>
        <v>981.32545000000016</v>
      </c>
      <c r="E40" s="5">
        <f t="shared" si="0"/>
        <v>26.700408399812808</v>
      </c>
      <c r="F40" s="5">
        <f t="shared" si="1"/>
        <v>-2693.9945499999999</v>
      </c>
    </row>
    <row r="41" spans="1:7" s="6" customFormat="1" ht="20.25" customHeight="1">
      <c r="A41" s="3">
        <v>2000000000</v>
      </c>
      <c r="B41" s="4" t="s">
        <v>17</v>
      </c>
      <c r="C41" s="443">
        <f>C42+C43+C44+C46+C47+C45+C48</f>
        <v>14157.656709999999</v>
      </c>
      <c r="D41" s="443">
        <f>D42+D43+D44+D46+D47+D45+D48</f>
        <v>5874.7641700000004</v>
      </c>
      <c r="E41" s="5">
        <f t="shared" si="0"/>
        <v>41.495314446001998</v>
      </c>
      <c r="F41" s="5">
        <f t="shared" si="1"/>
        <v>-8282.8925399999989</v>
      </c>
      <c r="G41" s="19"/>
    </row>
    <row r="42" spans="1:7" ht="19.5" customHeight="1">
      <c r="A42" s="16">
        <v>2021000000</v>
      </c>
      <c r="B42" s="17" t="s">
        <v>18</v>
      </c>
      <c r="C42" s="444">
        <v>6036.4</v>
      </c>
      <c r="D42" s="445">
        <v>3018.2220000000002</v>
      </c>
      <c r="E42" s="9">
        <f t="shared" si="0"/>
        <v>50.000364455635818</v>
      </c>
      <c r="F42" s="9">
        <f t="shared" si="1"/>
        <v>-3018.1779999999994</v>
      </c>
    </row>
    <row r="43" spans="1:7" ht="27.75" hidden="1" customHeight="1">
      <c r="A43" s="16">
        <v>2021500200</v>
      </c>
      <c r="B43" s="17" t="s">
        <v>227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19</v>
      </c>
      <c r="C44" s="12">
        <v>6340.6076700000003</v>
      </c>
      <c r="D44" s="10">
        <v>2722.4372699999999</v>
      </c>
      <c r="E44" s="9">
        <f t="shared" si="0"/>
        <v>42.936535608108365</v>
      </c>
      <c r="F44" s="9">
        <f t="shared" si="1"/>
        <v>-3618.1704000000004</v>
      </c>
    </row>
    <row r="45" spans="1:7" ht="23.25" hidden="1" customHeight="1">
      <c r="A45" s="16">
        <v>2022999910</v>
      </c>
      <c r="B45" s="18" t="s">
        <v>330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20</v>
      </c>
      <c r="C46" s="12">
        <v>249.4229</v>
      </c>
      <c r="D46" s="184">
        <v>103.5288</v>
      </c>
      <c r="E46" s="9">
        <f t="shared" si="0"/>
        <v>41.507335533345177</v>
      </c>
      <c r="F46" s="9">
        <f t="shared" si="1"/>
        <v>-145.89409999999998</v>
      </c>
    </row>
    <row r="47" spans="1:7" ht="15.75" customHeight="1">
      <c r="A47" s="16">
        <v>2020400000</v>
      </c>
      <c r="B47" s="17" t="s">
        <v>21</v>
      </c>
      <c r="C47" s="12">
        <v>1322.807</v>
      </c>
      <c r="D47" s="185">
        <v>0</v>
      </c>
      <c r="E47" s="9">
        <f t="shared" si="0"/>
        <v>0</v>
      </c>
      <c r="F47" s="9">
        <f t="shared" si="1"/>
        <v>-1322.807</v>
      </c>
    </row>
    <row r="48" spans="1:7" ht="16.5" customHeight="1">
      <c r="A48" s="7">
        <v>2070500010</v>
      </c>
      <c r="B48" s="17" t="s">
        <v>331</v>
      </c>
      <c r="C48" s="12">
        <v>208.41914</v>
      </c>
      <c r="D48" s="185">
        <v>30.5761</v>
      </c>
      <c r="E48" s="9">
        <f t="shared" si="0"/>
        <v>14.670485637739414</v>
      </c>
      <c r="F48" s="9">
        <f t="shared" si="1"/>
        <v>-177.84304</v>
      </c>
    </row>
    <row r="49" spans="1:8" ht="47.25" hidden="1">
      <c r="A49" s="16">
        <v>2020900000</v>
      </c>
      <c r="B49" s="18" t="s">
        <v>22</v>
      </c>
      <c r="C49" s="269"/>
      <c r="D49" s="268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23</v>
      </c>
      <c r="C50" s="267">
        <v>0</v>
      </c>
      <c r="D50" s="267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24</v>
      </c>
      <c r="C51" s="270">
        <v>0</v>
      </c>
      <c r="D51" s="267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25</v>
      </c>
      <c r="C52" s="231">
        <f>SUM(C40,C41,C51)</f>
        <v>17832.976709999999</v>
      </c>
      <c r="D52" s="465">
        <f>D40+D41</f>
        <v>6856.0896200000007</v>
      </c>
      <c r="E52" s="5">
        <f t="shared" si="0"/>
        <v>38.446131184343372</v>
      </c>
      <c r="F52" s="5">
        <f t="shared" si="1"/>
        <v>-10976.887089999998</v>
      </c>
      <c r="G52" s="94"/>
      <c r="H52" s="94"/>
    </row>
    <row r="53" spans="1:8" s="6" customFormat="1">
      <c r="A53" s="3"/>
      <c r="B53" s="21" t="s">
        <v>306</v>
      </c>
      <c r="C53" s="5">
        <f>C52-C101</f>
        <v>-338.10342999999921</v>
      </c>
      <c r="D53" s="5">
        <f>D52-D101</f>
        <v>627.4931600000009</v>
      </c>
      <c r="E53" s="22"/>
      <c r="F53" s="22"/>
    </row>
    <row r="54" spans="1:8" ht="15.75" customHeight="1">
      <c r="A54" s="23"/>
      <c r="B54" s="24"/>
      <c r="C54" s="114"/>
      <c r="D54" s="114"/>
      <c r="E54" s="26"/>
      <c r="F54" s="27"/>
    </row>
    <row r="55" spans="1:8" ht="63">
      <c r="A55" s="28" t="s">
        <v>0</v>
      </c>
      <c r="B55" s="28" t="s">
        <v>26</v>
      </c>
      <c r="C55" s="144" t="s">
        <v>405</v>
      </c>
      <c r="D55" s="145" t="s">
        <v>420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27</v>
      </c>
      <c r="B57" s="31" t="s">
        <v>28</v>
      </c>
      <c r="C57" s="102">
        <f>C58+C59+C60+C61+C62+C64+C63</f>
        <v>2064.6989999999996</v>
      </c>
      <c r="D57" s="102">
        <f>D58+D59+D60+D61+D62+D64+D63</f>
        <v>846.22745999999995</v>
      </c>
      <c r="E57" s="34">
        <f>SUM(D57/C57*100)</f>
        <v>40.985512173929472</v>
      </c>
      <c r="F57" s="34">
        <f>SUM(D57-C57)</f>
        <v>-1218.4715399999995</v>
      </c>
    </row>
    <row r="58" spans="1:8" s="6" customFormat="1" ht="0.75" customHeight="1">
      <c r="A58" s="35" t="s">
        <v>29</v>
      </c>
      <c r="B58" s="36" t="s">
        <v>30</v>
      </c>
      <c r="C58" s="92"/>
      <c r="D58" s="92"/>
      <c r="E58" s="38"/>
      <c r="F58" s="38"/>
    </row>
    <row r="59" spans="1:8" ht="16.5" customHeight="1">
      <c r="A59" s="35" t="s">
        <v>31</v>
      </c>
      <c r="B59" s="39" t="s">
        <v>32</v>
      </c>
      <c r="C59" s="146">
        <v>1939.6</v>
      </c>
      <c r="D59" s="92">
        <v>836.72745999999995</v>
      </c>
      <c r="E59" s="38">
        <f t="shared" ref="E59:E101" si="3">SUM(D59/C59*100)</f>
        <v>43.139176118787375</v>
      </c>
      <c r="F59" s="38">
        <f t="shared" ref="F59:F101" si="4">SUM(D59-C59)</f>
        <v>-1102.8725399999998</v>
      </c>
    </row>
    <row r="60" spans="1:8" ht="12.75" hidden="1" customHeight="1">
      <c r="A60" s="35" t="s">
        <v>33</v>
      </c>
      <c r="B60" s="39" t="s">
        <v>34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35</v>
      </c>
      <c r="B61" s="39" t="s">
        <v>36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37</v>
      </c>
      <c r="B62" s="39" t="s">
        <v>38</v>
      </c>
      <c r="C62" s="92">
        <v>10.86</v>
      </c>
      <c r="D62" s="92">
        <v>0</v>
      </c>
      <c r="E62" s="38">
        <f t="shared" si="3"/>
        <v>0</v>
      </c>
      <c r="F62" s="38">
        <f t="shared" si="4"/>
        <v>-10.86</v>
      </c>
    </row>
    <row r="63" spans="1:8" ht="18" customHeight="1">
      <c r="A63" s="35" t="s">
        <v>39</v>
      </c>
      <c r="B63" s="39" t="s">
        <v>40</v>
      </c>
      <c r="C63" s="103">
        <v>100</v>
      </c>
      <c r="D63" s="103">
        <v>0</v>
      </c>
      <c r="E63" s="38">
        <f t="shared" si="3"/>
        <v>0</v>
      </c>
      <c r="F63" s="38">
        <f t="shared" si="4"/>
        <v>-100</v>
      </c>
    </row>
    <row r="64" spans="1:8" ht="18" customHeight="1">
      <c r="A64" s="35" t="s">
        <v>41</v>
      </c>
      <c r="B64" s="39" t="s">
        <v>42</v>
      </c>
      <c r="C64" s="92">
        <v>14.239000000000001</v>
      </c>
      <c r="D64" s="92">
        <v>9.5</v>
      </c>
      <c r="E64" s="38">
        <f t="shared" si="3"/>
        <v>66.718168410702987</v>
      </c>
      <c r="F64" s="38">
        <f t="shared" si="4"/>
        <v>-4.7390000000000008</v>
      </c>
    </row>
    <row r="65" spans="1:7" s="6" customFormat="1" ht="15.75" customHeight="1">
      <c r="A65" s="41" t="s">
        <v>43</v>
      </c>
      <c r="B65" s="42" t="s">
        <v>44</v>
      </c>
      <c r="C65" s="22">
        <f>C66</f>
        <v>206.767</v>
      </c>
      <c r="D65" s="22">
        <f>D66</f>
        <v>72.421310000000005</v>
      </c>
      <c r="E65" s="34">
        <f t="shared" si="3"/>
        <v>35.025565007955819</v>
      </c>
      <c r="F65" s="34">
        <f t="shared" si="4"/>
        <v>-134.34568999999999</v>
      </c>
    </row>
    <row r="66" spans="1:7">
      <c r="A66" s="43" t="s">
        <v>45</v>
      </c>
      <c r="B66" s="44" t="s">
        <v>46</v>
      </c>
      <c r="C66" s="92">
        <v>206.767</v>
      </c>
      <c r="D66" s="92">
        <v>72.421310000000005</v>
      </c>
      <c r="E66" s="38">
        <f t="shared" si="3"/>
        <v>35.025565007955819</v>
      </c>
      <c r="F66" s="38">
        <f t="shared" si="4"/>
        <v>-134.34568999999999</v>
      </c>
    </row>
    <row r="67" spans="1:7" s="6" customFormat="1" ht="20.25" customHeight="1">
      <c r="A67" s="30" t="s">
        <v>47</v>
      </c>
      <c r="B67" s="31" t="s">
        <v>48</v>
      </c>
      <c r="C67" s="22">
        <f>C70+C72+C71</f>
        <v>331</v>
      </c>
      <c r="D67" s="22">
        <f>D70+D72+D71</f>
        <v>9.7114799999999999</v>
      </c>
      <c r="E67" s="34">
        <f t="shared" si="3"/>
        <v>2.9339818731117826</v>
      </c>
      <c r="F67" s="34">
        <f t="shared" si="4"/>
        <v>-321.28852000000001</v>
      </c>
    </row>
    <row r="68" spans="1:7" ht="0.75" hidden="1" customHeight="1">
      <c r="A68" s="35" t="s">
        <v>49</v>
      </c>
      <c r="B68" s="39" t="s">
        <v>50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51</v>
      </c>
      <c r="B69" s="39" t="s">
        <v>52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53</v>
      </c>
      <c r="B70" s="47" t="s">
        <v>54</v>
      </c>
      <c r="C70" s="92">
        <v>19</v>
      </c>
      <c r="D70" s="92">
        <v>7.6114800000000002</v>
      </c>
      <c r="E70" s="34">
        <f t="shared" si="3"/>
        <v>40.060421052631575</v>
      </c>
      <c r="F70" s="34">
        <f t="shared" si="4"/>
        <v>-11.38852</v>
      </c>
    </row>
    <row r="71" spans="1:7" ht="15.75" customHeight="1">
      <c r="A71" s="46" t="s">
        <v>214</v>
      </c>
      <c r="B71" s="47" t="s">
        <v>215</v>
      </c>
      <c r="C71" s="92">
        <v>310</v>
      </c>
      <c r="D71" s="92">
        <v>2.1</v>
      </c>
      <c r="E71" s="38">
        <f t="shared" ref="E71" si="5">SUM(D71/C71*100)</f>
        <v>0.67741935483870974</v>
      </c>
      <c r="F71" s="38">
        <f t="shared" ref="F71" si="6">SUM(D71-C71)</f>
        <v>-307.89999999999998</v>
      </c>
    </row>
    <row r="72" spans="1:7" ht="15.75" customHeight="1">
      <c r="A72" s="46" t="s">
        <v>338</v>
      </c>
      <c r="B72" s="47" t="s">
        <v>339</v>
      </c>
      <c r="C72" s="92">
        <v>2</v>
      </c>
      <c r="D72" s="92">
        <v>0</v>
      </c>
      <c r="E72" s="34">
        <v>0</v>
      </c>
      <c r="F72" s="34">
        <v>0</v>
      </c>
    </row>
    <row r="73" spans="1:7" s="6" customFormat="1" ht="17.25" customHeight="1">
      <c r="A73" s="440" t="s">
        <v>55</v>
      </c>
      <c r="B73" s="31" t="s">
        <v>56</v>
      </c>
      <c r="C73" s="104">
        <f>C75+C76+C77+C74</f>
        <v>3419.39633</v>
      </c>
      <c r="D73" s="104">
        <f>SUM(D74:D77)</f>
        <v>382.38191999999998</v>
      </c>
      <c r="E73" s="34">
        <f t="shared" si="3"/>
        <v>11.182731777687788</v>
      </c>
      <c r="F73" s="34">
        <f t="shared" si="4"/>
        <v>-3037.0144100000002</v>
      </c>
    </row>
    <row r="74" spans="1:7" ht="15.75" customHeight="1">
      <c r="A74" s="35" t="s">
        <v>57</v>
      </c>
      <c r="B74" s="39" t="s">
        <v>58</v>
      </c>
      <c r="C74" s="105">
        <v>42.655900000000003</v>
      </c>
      <c r="D74" s="92">
        <v>0</v>
      </c>
      <c r="E74" s="38">
        <f t="shared" si="3"/>
        <v>0</v>
      </c>
      <c r="F74" s="38">
        <f t="shared" si="4"/>
        <v>-42.655900000000003</v>
      </c>
    </row>
    <row r="75" spans="1:7" s="6" customFormat="1" ht="19.5" customHeight="1">
      <c r="A75" s="35" t="s">
        <v>59</v>
      </c>
      <c r="B75" s="39" t="s">
        <v>60</v>
      </c>
      <c r="C75" s="105">
        <v>0</v>
      </c>
      <c r="D75" s="92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105">
        <v>3176.7404299999998</v>
      </c>
      <c r="D76" s="92">
        <v>315.88191999999998</v>
      </c>
      <c r="E76" s="38">
        <f t="shared" si="3"/>
        <v>9.9435861053337611</v>
      </c>
      <c r="F76" s="38">
        <f t="shared" si="4"/>
        <v>-2860.85851</v>
      </c>
    </row>
    <row r="77" spans="1:7">
      <c r="A77" s="35" t="s">
        <v>63</v>
      </c>
      <c r="B77" s="39" t="s">
        <v>64</v>
      </c>
      <c r="C77" s="105">
        <v>200</v>
      </c>
      <c r="D77" s="92">
        <v>66.5</v>
      </c>
      <c r="E77" s="38">
        <f t="shared" si="3"/>
        <v>33.25</v>
      </c>
      <c r="F77" s="38">
        <f t="shared" si="4"/>
        <v>-133.5</v>
      </c>
    </row>
    <row r="78" spans="1:7" s="6" customFormat="1" ht="24" customHeight="1">
      <c r="A78" s="30" t="s">
        <v>65</v>
      </c>
      <c r="B78" s="31" t="s">
        <v>66</v>
      </c>
      <c r="C78" s="22">
        <f>SUM(C79:C82)</f>
        <v>8594.0178099999994</v>
      </c>
      <c r="D78" s="22">
        <f>SUM(D79:D82)</f>
        <v>3190.3260800000003</v>
      </c>
      <c r="E78" s="34">
        <f t="shared" si="3"/>
        <v>37.12263751987733</v>
      </c>
      <c r="F78" s="34">
        <f t="shared" si="4"/>
        <v>-5403.6917299999986</v>
      </c>
    </row>
    <row r="79" spans="1:7" ht="2.25" hidden="1" customHeight="1">
      <c r="A79" s="35" t="s">
        <v>67</v>
      </c>
      <c r="B79" s="51" t="s">
        <v>68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92">
        <v>2021.34304</v>
      </c>
      <c r="D80" s="92">
        <v>386.88063</v>
      </c>
      <c r="E80" s="38">
        <f t="shared" si="3"/>
        <v>19.139780944851399</v>
      </c>
      <c r="F80" s="38">
        <f t="shared" si="4"/>
        <v>-1634.4624100000001</v>
      </c>
    </row>
    <row r="81" spans="1:6" ht="15" customHeight="1">
      <c r="A81" s="35" t="s">
        <v>71</v>
      </c>
      <c r="B81" s="39" t="s">
        <v>72</v>
      </c>
      <c r="C81" s="92">
        <v>6572.6747699999996</v>
      </c>
      <c r="D81" s="92">
        <v>2803.4454500000002</v>
      </c>
      <c r="E81" s="38">
        <f t="shared" si="3"/>
        <v>42.653037737328972</v>
      </c>
      <c r="F81" s="38">
        <f t="shared" si="4"/>
        <v>-3769.2293199999995</v>
      </c>
    </row>
    <row r="82" spans="1:6" ht="18" hidden="1" customHeight="1">
      <c r="A82" s="35" t="s">
        <v>251</v>
      </c>
      <c r="B82" s="39" t="s">
        <v>252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83</v>
      </c>
      <c r="B83" s="31" t="s">
        <v>84</v>
      </c>
      <c r="C83" s="22">
        <f>C84+C85</f>
        <v>3505.2</v>
      </c>
      <c r="D83" s="22">
        <f>D84+D85</f>
        <v>1725.47621</v>
      </c>
      <c r="E83" s="34">
        <f t="shared" si="3"/>
        <v>49.22618424055689</v>
      </c>
      <c r="F83" s="34">
        <f t="shared" si="4"/>
        <v>-1779.7237899999998</v>
      </c>
    </row>
    <row r="84" spans="1:6" ht="14.25" customHeight="1">
      <c r="A84" s="35" t="s">
        <v>85</v>
      </c>
      <c r="B84" s="39" t="s">
        <v>229</v>
      </c>
      <c r="C84" s="92">
        <v>3505.2</v>
      </c>
      <c r="D84" s="92">
        <v>1725.47621</v>
      </c>
      <c r="E84" s="38">
        <f t="shared" si="3"/>
        <v>49.22618424055689</v>
      </c>
      <c r="F84" s="38">
        <f t="shared" si="4"/>
        <v>-1779.7237899999998</v>
      </c>
    </row>
    <row r="85" spans="1:6" ht="14.25" hidden="1" customHeight="1">
      <c r="A85" s="35" t="s">
        <v>258</v>
      </c>
      <c r="B85" s="39" t="s">
        <v>259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hidden="1" customHeight="1">
      <c r="A86" s="52">
        <v>1000</v>
      </c>
      <c r="B86" s="31" t="s">
        <v>86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idden="1">
      <c r="A87" s="53">
        <v>1001</v>
      </c>
      <c r="B87" s="54" t="s">
        <v>87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88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89</v>
      </c>
      <c r="C89" s="92"/>
      <c r="D89" s="187"/>
      <c r="E89" s="34" t="e">
        <f t="shared" si="3"/>
        <v>#DIV/0!</v>
      </c>
      <c r="F89" s="38">
        <f t="shared" si="4"/>
        <v>0</v>
      </c>
    </row>
    <row r="90" spans="1:6" ht="0.75" hidden="1" customHeight="1">
      <c r="A90" s="35" t="s">
        <v>90</v>
      </c>
      <c r="B90" s="39" t="s">
        <v>91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92</v>
      </c>
      <c r="B91" s="31" t="s">
        <v>93</v>
      </c>
      <c r="C91" s="22">
        <f>C92+C93+C94+C95+C96</f>
        <v>50</v>
      </c>
      <c r="D91" s="22">
        <f>D92+D93+D94+D95+D96</f>
        <v>2.052</v>
      </c>
      <c r="E91" s="34">
        <f t="shared" si="3"/>
        <v>4.1040000000000001</v>
      </c>
      <c r="F91" s="22">
        <f>F92+F93+F94+F95+F96</f>
        <v>-47.948</v>
      </c>
    </row>
    <row r="92" spans="1:6" ht="15.75" customHeight="1">
      <c r="A92" s="35" t="s">
        <v>94</v>
      </c>
      <c r="B92" s="39" t="s">
        <v>95</v>
      </c>
      <c r="C92" s="92">
        <v>50</v>
      </c>
      <c r="D92" s="92">
        <v>2.052</v>
      </c>
      <c r="E92" s="38">
        <f t="shared" si="3"/>
        <v>4.1040000000000001</v>
      </c>
      <c r="F92" s="38">
        <f>SUM(D92-C92)</f>
        <v>-47.948</v>
      </c>
    </row>
    <row r="93" spans="1:6" ht="15" hidden="1" customHeight="1">
      <c r="A93" s="35" t="s">
        <v>96</v>
      </c>
      <c r="B93" s="39" t="s">
        <v>97</v>
      </c>
      <c r="C93" s="131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98</v>
      </c>
      <c r="B94" s="39" t="s">
        <v>99</v>
      </c>
      <c r="C94" s="131"/>
      <c r="D94" s="92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131"/>
      <c r="D95" s="92"/>
      <c r="E95" s="38" t="e">
        <f t="shared" si="3"/>
        <v>#DIV/0!</v>
      </c>
      <c r="F95" s="38"/>
    </row>
    <row r="96" spans="1:6" ht="57.75" hidden="1" customHeight="1">
      <c r="A96" s="35" t="s">
        <v>102</v>
      </c>
      <c r="B96" s="39" t="s">
        <v>103</v>
      </c>
      <c r="C96" s="174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112</v>
      </c>
      <c r="C97" s="48"/>
      <c r="D97" s="104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113</v>
      </c>
      <c r="C98" s="105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114</v>
      </c>
      <c r="C99" s="105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hidden="1" customHeight="1">
      <c r="A100" s="53">
        <v>1403</v>
      </c>
      <c r="B100" s="54" t="s">
        <v>115</v>
      </c>
      <c r="C100" s="105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116</v>
      </c>
      <c r="C101" s="457">
        <f>C57+C65+C67+C73+C78+C83+C91+C86+C97</f>
        <v>18171.080139999998</v>
      </c>
      <c r="D101" s="457">
        <f>D57+D65+D67+D73+D78+D83+D91+D86+D97</f>
        <v>6228.5964599999998</v>
      </c>
      <c r="E101" s="34">
        <f t="shared" si="3"/>
        <v>34.277524572075329</v>
      </c>
      <c r="F101" s="34">
        <f t="shared" si="4"/>
        <v>-11942.483679999998</v>
      </c>
      <c r="G101" s="94"/>
    </row>
    <row r="102" spans="1:7" ht="5.25" customHeight="1">
      <c r="D102" s="61"/>
    </row>
    <row r="103" spans="1:7" s="65" customFormat="1" ht="12.75">
      <c r="A103" s="63" t="s">
        <v>117</v>
      </c>
      <c r="B103" s="63"/>
      <c r="C103" s="132"/>
      <c r="D103" s="64"/>
    </row>
    <row r="104" spans="1:7" s="65" customFormat="1" ht="12.75">
      <c r="A104" s="66" t="s">
        <v>118</v>
      </c>
      <c r="B104" s="66"/>
      <c r="C104" s="132" t="s">
        <v>119</v>
      </c>
    </row>
    <row r="142" hidden="1"/>
  </sheetData>
  <customSheetViews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1"/>
      <headerFooter alignWithMargins="0"/>
    </customSheetView>
    <customSheetView guid="{B31C8DB7-3E78-4144-A6B5-8DE36DE63F0E}" hiddenRows="1">
      <selection activeCell="D55" sqref="D55"/>
      <pageMargins left="0.75" right="0.75" top="1" bottom="1" header="0.5" footer="0.5"/>
      <pageSetup paperSize="9" scale="56" orientation="portrait" r:id="rId2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3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4"/>
      <headerFooter alignWithMargins="0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5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6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7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4" orientation="portrait" r:id="rId8"/>
      <headerFooter alignWithMargins="0"/>
    </customSheetView>
    <customSheetView guid="{61528DAC-5C4C-48F4-ADE2-8A724B05A086}" scale="70" showPageBreaks="1" printArea="1" hiddenRows="1" view="pageBreakPreview" topLeftCell="A38">
      <selection activeCell="D81" sqref="D81"/>
      <pageMargins left="0.74803149606299213" right="0.74803149606299213" top="0.98425196850393704" bottom="0.98425196850393704" header="0.51181102362204722" footer="0.51181102362204722"/>
      <pageSetup paperSize="9" scale="49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5" right="0.75" top="1" bottom="1" header="0.5" footer="0.5"/>
  <pageSetup paperSize="9" scale="36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144"/>
  <sheetViews>
    <sheetView view="pageBreakPreview" topLeftCell="A43" zoomScale="70" zoomScaleSheetLayoutView="70" workbookViewId="0">
      <selection activeCell="C93" sqref="C93"/>
    </sheetView>
  </sheetViews>
  <sheetFormatPr defaultRowHeight="15.75"/>
  <cols>
    <col min="1" max="1" width="15.570312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422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415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1846.19</v>
      </c>
      <c r="D4" s="5">
        <f>D5+D12+D14+D17+D7</f>
        <v>616.77763000000004</v>
      </c>
      <c r="E4" s="5">
        <f>SUM(D4/C4*100)</f>
        <v>33.408134049041543</v>
      </c>
      <c r="F4" s="5">
        <f>SUM(D4-C4)</f>
        <v>-1229.41237</v>
      </c>
    </row>
    <row r="5" spans="1:6" s="6" customFormat="1">
      <c r="A5" s="68">
        <v>1010000000</v>
      </c>
      <c r="B5" s="67" t="s">
        <v>5</v>
      </c>
      <c r="C5" s="5">
        <f>C6</f>
        <v>70.650000000000006</v>
      </c>
      <c r="D5" s="5">
        <f>D6</f>
        <v>46.858150000000002</v>
      </c>
      <c r="E5" s="5">
        <f t="shared" ref="E5:E53" si="0">SUM(D5/C5*100)</f>
        <v>66.324345364472748</v>
      </c>
      <c r="F5" s="5">
        <f t="shared" ref="F5:F53" si="1">SUM(D5-C5)</f>
        <v>-23.791850000000004</v>
      </c>
    </row>
    <row r="6" spans="1:6">
      <c r="A6" s="7">
        <v>1010200001</v>
      </c>
      <c r="B6" s="8" t="s">
        <v>224</v>
      </c>
      <c r="C6" s="9">
        <v>70.650000000000006</v>
      </c>
      <c r="D6" s="10">
        <v>46.858150000000002</v>
      </c>
      <c r="E6" s="9">
        <f t="shared" ref="E6:E11" si="2">SUM(D6/C6*100)</f>
        <v>66.324345364472748</v>
      </c>
      <c r="F6" s="9">
        <f t="shared" si="1"/>
        <v>-23.791850000000004</v>
      </c>
    </row>
    <row r="7" spans="1:6" ht="31.5">
      <c r="A7" s="3">
        <v>1030000000</v>
      </c>
      <c r="B7" s="13" t="s">
        <v>266</v>
      </c>
      <c r="C7" s="5">
        <f>C8+C10+C9</f>
        <v>677.54000000000008</v>
      </c>
      <c r="D7" s="5">
        <f>D8+D10+D9+D11</f>
        <v>351.31531999999999</v>
      </c>
      <c r="E7" s="9">
        <f t="shared" si="2"/>
        <v>51.851598429612999</v>
      </c>
      <c r="F7" s="9">
        <f t="shared" si="1"/>
        <v>-326.22468000000009</v>
      </c>
    </row>
    <row r="8" spans="1:6">
      <c r="A8" s="7">
        <v>1030223001</v>
      </c>
      <c r="B8" s="8" t="s">
        <v>268</v>
      </c>
      <c r="C8" s="9">
        <v>252.72</v>
      </c>
      <c r="D8" s="10">
        <v>158.86667</v>
      </c>
      <c r="E8" s="9">
        <f t="shared" si="2"/>
        <v>62.862721589110478</v>
      </c>
      <c r="F8" s="9">
        <f t="shared" si="1"/>
        <v>-93.85333</v>
      </c>
    </row>
    <row r="9" spans="1:6">
      <c r="A9" s="7">
        <v>1030224001</v>
      </c>
      <c r="B9" s="8" t="s">
        <v>274</v>
      </c>
      <c r="C9" s="9">
        <v>2.71</v>
      </c>
      <c r="D9" s="10">
        <v>1.1967399999999999</v>
      </c>
      <c r="E9" s="9">
        <f t="shared" si="2"/>
        <v>44.160147601476012</v>
      </c>
      <c r="F9" s="9">
        <f t="shared" si="1"/>
        <v>-1.51326</v>
      </c>
    </row>
    <row r="10" spans="1:6">
      <c r="A10" s="7">
        <v>1030225001</v>
      </c>
      <c r="B10" s="8" t="s">
        <v>267</v>
      </c>
      <c r="C10" s="9">
        <v>422.11</v>
      </c>
      <c r="D10" s="10">
        <v>220.90546000000001</v>
      </c>
      <c r="E10" s="9">
        <f t="shared" si="2"/>
        <v>52.333623936888486</v>
      </c>
      <c r="F10" s="9">
        <f t="shared" si="1"/>
        <v>-201.20454000000001</v>
      </c>
    </row>
    <row r="11" spans="1:6">
      <c r="A11" s="7">
        <v>1030226001</v>
      </c>
      <c r="B11" s="8" t="s">
        <v>276</v>
      </c>
      <c r="C11" s="9">
        <v>0</v>
      </c>
      <c r="D11" s="10">
        <v>-29.653549999999999</v>
      </c>
      <c r="E11" s="9" t="e">
        <f t="shared" si="2"/>
        <v>#DIV/0!</v>
      </c>
      <c r="F11" s="9">
        <f t="shared" si="1"/>
        <v>-29.653549999999999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0.94381000000000004</v>
      </c>
      <c r="E12" s="5">
        <f t="shared" si="0"/>
        <v>9.4381000000000004</v>
      </c>
      <c r="F12" s="5">
        <f t="shared" si="1"/>
        <v>-9.0561900000000009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0.94381000000000004</v>
      </c>
      <c r="E13" s="9">
        <f t="shared" si="0"/>
        <v>9.4381000000000004</v>
      </c>
      <c r="F13" s="9">
        <f t="shared" si="1"/>
        <v>-9.0561900000000009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1084</v>
      </c>
      <c r="D14" s="5">
        <f>D15+D16</f>
        <v>216.96035000000001</v>
      </c>
      <c r="E14" s="5">
        <f t="shared" si="0"/>
        <v>20.014792435424354</v>
      </c>
      <c r="F14" s="5">
        <f t="shared" si="1"/>
        <v>-867.03964999999994</v>
      </c>
    </row>
    <row r="15" spans="1:6" s="6" customFormat="1" ht="15.75" customHeight="1">
      <c r="A15" s="7">
        <v>1060100000</v>
      </c>
      <c r="B15" s="11" t="s">
        <v>8</v>
      </c>
      <c r="C15" s="9">
        <v>334</v>
      </c>
      <c r="D15" s="10">
        <v>80.354129999999998</v>
      </c>
      <c r="E15" s="9">
        <f t="shared" si="0"/>
        <v>24.058122754491016</v>
      </c>
      <c r="F15" s="9">
        <f>SUM(D15-C15)</f>
        <v>-253.64587</v>
      </c>
    </row>
    <row r="16" spans="1:6" ht="15.75" customHeight="1">
      <c r="A16" s="7">
        <v>1060600000</v>
      </c>
      <c r="B16" s="11" t="s">
        <v>7</v>
      </c>
      <c r="C16" s="9">
        <v>750</v>
      </c>
      <c r="D16" s="10">
        <v>136.60622000000001</v>
      </c>
      <c r="E16" s="9">
        <f t="shared" si="0"/>
        <v>18.214162666666667</v>
      </c>
      <c r="F16" s="9">
        <f t="shared" si="1"/>
        <v>-613.39377999999999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0.7</v>
      </c>
      <c r="E17" s="5">
        <f t="shared" si="0"/>
        <v>17.5</v>
      </c>
      <c r="F17" s="5">
        <f t="shared" si="1"/>
        <v>-3.3</v>
      </c>
    </row>
    <row r="18" spans="1:6" ht="21.75" customHeight="1">
      <c r="A18" s="7">
        <v>1080400001</v>
      </c>
      <c r="B18" s="8" t="s">
        <v>223</v>
      </c>
      <c r="C18" s="9">
        <v>4</v>
      </c>
      <c r="D18" s="10">
        <v>0.7</v>
      </c>
      <c r="E18" s="9">
        <f t="shared" si="0"/>
        <v>17.5</v>
      </c>
      <c r="F18" s="9">
        <f t="shared" si="1"/>
        <v>-3.3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C26+C30+C32+C38+C35</f>
        <v>484.6</v>
      </c>
      <c r="D25" s="5">
        <f>D26+D30+D32+D38+D35</f>
        <v>369.09299000000004</v>
      </c>
      <c r="E25" s="5">
        <f t="shared" si="0"/>
        <v>76.164463475030971</v>
      </c>
      <c r="F25" s="5">
        <f t="shared" si="1"/>
        <v>-115.50700999999998</v>
      </c>
    </row>
    <row r="26" spans="1:6" s="6" customFormat="1" ht="30" customHeight="1">
      <c r="A26" s="68">
        <v>1110000000</v>
      </c>
      <c r="B26" s="69" t="s">
        <v>126</v>
      </c>
      <c r="C26" s="5">
        <f>C27+C28+C29</f>
        <v>384.6</v>
      </c>
      <c r="D26" s="5">
        <f>D27+D28+D29</f>
        <v>148.71449999999999</v>
      </c>
      <c r="E26" s="5">
        <f t="shared" si="0"/>
        <v>38.667316692667704</v>
      </c>
      <c r="F26" s="5">
        <f t="shared" si="1"/>
        <v>-235.88550000000004</v>
      </c>
    </row>
    <row r="27" spans="1:6">
      <c r="A27" s="16">
        <v>1110501101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285</v>
      </c>
      <c r="C28" s="12">
        <v>354</v>
      </c>
      <c r="D28" s="10">
        <v>123.21299999999999</v>
      </c>
      <c r="E28" s="9">
        <f t="shared" si="0"/>
        <v>34.80593220338983</v>
      </c>
      <c r="F28" s="9">
        <f t="shared" si="1"/>
        <v>-230.78700000000001</v>
      </c>
    </row>
    <row r="29" spans="1:6" ht="36" customHeight="1">
      <c r="A29" s="7">
        <v>1110503505</v>
      </c>
      <c r="B29" s="11" t="s">
        <v>220</v>
      </c>
      <c r="C29" s="12">
        <v>30.6</v>
      </c>
      <c r="D29" s="10">
        <v>25.5015</v>
      </c>
      <c r="E29" s="9">
        <f t="shared" si="0"/>
        <v>83.338235294117652</v>
      </c>
      <c r="F29" s="9">
        <f t="shared" si="1"/>
        <v>-5.0985000000000014</v>
      </c>
    </row>
    <row r="30" spans="1:6" s="15" customFormat="1" ht="31.5" customHeight="1">
      <c r="A30" s="68">
        <v>1130000000</v>
      </c>
      <c r="B30" s="69" t="s">
        <v>128</v>
      </c>
      <c r="C30" s="5">
        <f>C31</f>
        <v>100</v>
      </c>
      <c r="D30" s="5">
        <f>D31</f>
        <v>43.86112</v>
      </c>
      <c r="E30" s="5">
        <f t="shared" si="0"/>
        <v>43.86112</v>
      </c>
      <c r="F30" s="5">
        <f t="shared" si="1"/>
        <v>-56.13888</v>
      </c>
    </row>
    <row r="31" spans="1:6" ht="22.5" customHeight="1">
      <c r="A31" s="7">
        <v>1130206510</v>
      </c>
      <c r="B31" s="8" t="s">
        <v>14</v>
      </c>
      <c r="C31" s="9">
        <v>100</v>
      </c>
      <c r="D31" s="10">
        <v>43.86112</v>
      </c>
      <c r="E31" s="9">
        <f t="shared" si="0"/>
        <v>43.86112</v>
      </c>
      <c r="F31" s="9">
        <f t="shared" si="1"/>
        <v>-56.13888</v>
      </c>
    </row>
    <row r="32" spans="1:6" ht="21.75" customHeight="1">
      <c r="A32" s="70">
        <v>1140000000</v>
      </c>
      <c r="B32" s="71" t="s">
        <v>129</v>
      </c>
      <c r="C32" s="5">
        <f>C34</f>
        <v>0</v>
      </c>
      <c r="D32" s="5">
        <f>D33+D34</f>
        <v>169.65564000000001</v>
      </c>
      <c r="E32" s="5" t="e">
        <f t="shared" si="0"/>
        <v>#DIV/0!</v>
      </c>
      <c r="F32" s="5">
        <f t="shared" si="1"/>
        <v>169.65564000000001</v>
      </c>
    </row>
    <row r="33" spans="1:7" ht="22.5" customHeight="1">
      <c r="A33" s="16">
        <v>1140200000</v>
      </c>
      <c r="B33" s="18" t="s">
        <v>130</v>
      </c>
      <c r="C33" s="9">
        <v>0</v>
      </c>
      <c r="D33" s="10">
        <v>169.65564000000001</v>
      </c>
      <c r="E33" s="9" t="e">
        <f t="shared" si="0"/>
        <v>#DIV/0!</v>
      </c>
      <c r="F33" s="9">
        <f t="shared" si="1"/>
        <v>169.65564000000001</v>
      </c>
    </row>
    <row r="34" spans="1:7" ht="20.25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2.5" customHeight="1">
      <c r="A35" s="3">
        <v>1160000000</v>
      </c>
      <c r="B35" s="13" t="s">
        <v>240</v>
      </c>
      <c r="C35" s="5">
        <f>C37+C36</f>
        <v>0</v>
      </c>
      <c r="D35" s="5">
        <f>D37+D36</f>
        <v>6.8617299999999997</v>
      </c>
      <c r="E35" s="5" t="e">
        <f t="shared" si="0"/>
        <v>#DIV/0!</v>
      </c>
      <c r="F35" s="5">
        <f t="shared" si="1"/>
        <v>6.8617299999999997</v>
      </c>
    </row>
    <row r="36" spans="1:7" ht="21.75" customHeight="1">
      <c r="A36" s="7">
        <v>1160709000</v>
      </c>
      <c r="B36" s="8" t="s">
        <v>407</v>
      </c>
      <c r="C36" s="9">
        <v>0</v>
      </c>
      <c r="D36" s="9">
        <v>0.1484</v>
      </c>
      <c r="E36" s="9" t="e">
        <f>SUM(D36/C36*100)</f>
        <v>#DIV/0!</v>
      </c>
      <c r="F36" s="9">
        <f>SUM(D36-C36)</f>
        <v>0.1484</v>
      </c>
    </row>
    <row r="37" spans="1:7" ht="48.75" customHeight="1">
      <c r="A37" s="7">
        <v>1160701010</v>
      </c>
      <c r="B37" s="8" t="s">
        <v>423</v>
      </c>
      <c r="C37" s="9">
        <v>0</v>
      </c>
      <c r="D37" s="10">
        <v>6.71333</v>
      </c>
      <c r="E37" s="9" t="e">
        <f t="shared" si="0"/>
        <v>#DIV/0!</v>
      </c>
      <c r="F37" s="9">
        <f t="shared" si="1"/>
        <v>6.71333</v>
      </c>
    </row>
    <row r="38" spans="1:7" ht="18" customHeight="1">
      <c r="A38" s="3">
        <v>1170000000</v>
      </c>
      <c r="B38" s="13" t="s">
        <v>132</v>
      </c>
      <c r="C38" s="5">
        <f>C39+C40</f>
        <v>0</v>
      </c>
      <c r="D38" s="5">
        <f>D39+D40</f>
        <v>0</v>
      </c>
      <c r="E38" s="9" t="e">
        <f t="shared" si="0"/>
        <v>#DIV/0!</v>
      </c>
      <c r="F38" s="5">
        <f t="shared" si="1"/>
        <v>0</v>
      </c>
    </row>
    <row r="39" spans="1:7" ht="17.2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s="279" customFormat="1" ht="17.25" customHeight="1">
      <c r="A40" s="276">
        <v>1170505005</v>
      </c>
      <c r="B40" s="277" t="s">
        <v>216</v>
      </c>
      <c r="C40" s="146">
        <v>0</v>
      </c>
      <c r="D40" s="441">
        <v>0</v>
      </c>
      <c r="E40" s="278" t="e">
        <f t="shared" si="0"/>
        <v>#DIV/0!</v>
      </c>
      <c r="F40" s="278">
        <f t="shared" si="1"/>
        <v>0</v>
      </c>
    </row>
    <row r="41" spans="1:7" s="6" customFormat="1" ht="15" customHeight="1">
      <c r="A41" s="3">
        <v>1000000000</v>
      </c>
      <c r="B41" s="4" t="s">
        <v>16</v>
      </c>
      <c r="C41" s="126">
        <f>SUM(C4,C25)</f>
        <v>2330.79</v>
      </c>
      <c r="D41" s="126">
        <f>D4+D25</f>
        <v>985.87062000000014</v>
      </c>
      <c r="E41" s="5">
        <f t="shared" si="0"/>
        <v>42.297702495720344</v>
      </c>
      <c r="F41" s="5">
        <f t="shared" si="1"/>
        <v>-1344.9193799999998</v>
      </c>
    </row>
    <row r="42" spans="1:7" s="6" customFormat="1">
      <c r="A42" s="3">
        <v>2000000000</v>
      </c>
      <c r="B42" s="4" t="s">
        <v>17</v>
      </c>
      <c r="C42" s="5">
        <f>C43+C45+C47+C48+C49+C50+C44+C46+C52</f>
        <v>10484.744640000001</v>
      </c>
      <c r="D42" s="5">
        <f>D43+D45+D47+D48+D49+D50+D44+D46+D52</f>
        <v>2658.0445100000002</v>
      </c>
      <c r="E42" s="5">
        <f t="shared" si="0"/>
        <v>25.351542658076603</v>
      </c>
      <c r="F42" s="5">
        <f t="shared" si="1"/>
        <v>-7826.7001300000011</v>
      </c>
      <c r="G42" s="19"/>
    </row>
    <row r="43" spans="1:7">
      <c r="A43" s="16">
        <v>2021000000</v>
      </c>
      <c r="B43" s="17" t="s">
        <v>18</v>
      </c>
      <c r="C43" s="442">
        <v>3002.3</v>
      </c>
      <c r="D43" s="20">
        <v>1501.164</v>
      </c>
      <c r="E43" s="9">
        <f t="shared" si="0"/>
        <v>50.000466309162974</v>
      </c>
      <c r="F43" s="9">
        <f t="shared" si="1"/>
        <v>-1501.1360000000002</v>
      </c>
    </row>
    <row r="44" spans="1:7">
      <c r="A44" s="16">
        <v>2021500200</v>
      </c>
      <c r="B44" s="17" t="s">
        <v>227</v>
      </c>
      <c r="C44" s="12"/>
      <c r="D44" s="20">
        <v>0</v>
      </c>
      <c r="E44" s="9" t="e">
        <f t="shared" si="0"/>
        <v>#DIV/0!</v>
      </c>
      <c r="F44" s="9">
        <f t="shared" si="1"/>
        <v>0</v>
      </c>
    </row>
    <row r="45" spans="1:7" ht="16.5" customHeight="1">
      <c r="A45" s="16">
        <v>2022000000</v>
      </c>
      <c r="B45" s="17" t="s">
        <v>19</v>
      </c>
      <c r="C45" s="12">
        <v>3177.58464</v>
      </c>
      <c r="D45" s="10">
        <v>270.97300000000001</v>
      </c>
      <c r="E45" s="9">
        <f t="shared" si="0"/>
        <v>8.5276406673466294</v>
      </c>
      <c r="F45" s="9">
        <f t="shared" si="1"/>
        <v>-2906.6116400000001</v>
      </c>
    </row>
    <row r="46" spans="1:7" hidden="1">
      <c r="A46" s="16">
        <v>2022999910</v>
      </c>
      <c r="B46" s="18" t="s">
        <v>330</v>
      </c>
      <c r="C46" s="12"/>
      <c r="D46" s="10">
        <v>0</v>
      </c>
      <c r="E46" s="9" t="e">
        <f>SUM(D46/C46*100)</f>
        <v>#DIV/0!</v>
      </c>
      <c r="F46" s="9">
        <f>SUM(D46-C46)</f>
        <v>0</v>
      </c>
    </row>
    <row r="47" spans="1:7" ht="18" customHeight="1">
      <c r="A47" s="16">
        <v>2023000000</v>
      </c>
      <c r="B47" s="17" t="s">
        <v>20</v>
      </c>
      <c r="C47" s="12">
        <v>206.767</v>
      </c>
      <c r="D47" s="184">
        <v>103.52878</v>
      </c>
      <c r="E47" s="9">
        <f>SUM(D47/C47*100)</f>
        <v>50.070262662804019</v>
      </c>
      <c r="F47" s="9">
        <f>SUM(D47-C47)</f>
        <v>-103.23822</v>
      </c>
    </row>
    <row r="48" spans="1:7" ht="20.25" customHeight="1">
      <c r="A48" s="16">
        <v>2024000000</v>
      </c>
      <c r="B48" s="17" t="s">
        <v>21</v>
      </c>
      <c r="C48" s="12">
        <v>4098.0929999999998</v>
      </c>
      <c r="D48" s="185">
        <v>782.37873000000002</v>
      </c>
      <c r="E48" s="9">
        <f t="shared" si="0"/>
        <v>19.091287825825329</v>
      </c>
      <c r="F48" s="9">
        <f t="shared" si="1"/>
        <v>-3315.7142699999999</v>
      </c>
    </row>
    <row r="49" spans="1:8" ht="18" customHeight="1">
      <c r="A49" s="16">
        <v>2020700000</v>
      </c>
      <c r="B49" s="18" t="s">
        <v>22</v>
      </c>
      <c r="C49" s="12"/>
      <c r="D49" s="185"/>
      <c r="E49" s="9" t="e">
        <f t="shared" si="0"/>
        <v>#DIV/0!</v>
      </c>
      <c r="F49" s="9">
        <f t="shared" si="1"/>
        <v>0</v>
      </c>
    </row>
    <row r="50" spans="1:8" ht="15" customHeight="1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15.75" customHeight="1">
      <c r="A51" s="3">
        <v>3000000000</v>
      </c>
      <c r="B51" s="13" t="s">
        <v>24</v>
      </c>
      <c r="C51" s="188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>
      <c r="A52" s="7">
        <v>2070500010</v>
      </c>
      <c r="B52" s="17" t="s">
        <v>337</v>
      </c>
      <c r="C52" s="12">
        <v>0</v>
      </c>
      <c r="D52" s="10">
        <v>0</v>
      </c>
      <c r="E52" s="9" t="e">
        <f t="shared" si="0"/>
        <v>#DIV/0!</v>
      </c>
      <c r="F52" s="9">
        <f t="shared" si="1"/>
        <v>0</v>
      </c>
    </row>
    <row r="53" spans="1:8" s="6" customFormat="1" ht="23.25" customHeight="1">
      <c r="A53" s="3"/>
      <c r="B53" s="4" t="s">
        <v>25</v>
      </c>
      <c r="C53" s="231">
        <f>C41+C42</f>
        <v>12815.534640000002</v>
      </c>
      <c r="D53" s="466">
        <f>D41+D42</f>
        <v>3643.9151300000003</v>
      </c>
      <c r="E53" s="5">
        <f t="shared" si="0"/>
        <v>28.433578718023739</v>
      </c>
      <c r="F53" s="5">
        <f t="shared" si="1"/>
        <v>-9171.6195100000004</v>
      </c>
      <c r="G53" s="94"/>
      <c r="H53" s="94"/>
    </row>
    <row r="54" spans="1:8" s="6" customFormat="1">
      <c r="A54" s="3"/>
      <c r="B54" s="21" t="s">
        <v>306</v>
      </c>
      <c r="C54" s="5">
        <f>C53-C102</f>
        <v>-613.46612999999888</v>
      </c>
      <c r="D54" s="5">
        <f>D53-D102</f>
        <v>-29.567199999999502</v>
      </c>
      <c r="E54" s="22"/>
      <c r="F54" s="22"/>
    </row>
    <row r="55" spans="1:8" ht="32.25" customHeight="1">
      <c r="A55" s="23"/>
      <c r="B55" s="24"/>
      <c r="C55" s="181"/>
      <c r="D55" s="25"/>
      <c r="E55" s="26"/>
      <c r="F55" s="27"/>
    </row>
    <row r="56" spans="1:8" ht="63">
      <c r="A56" s="28" t="s">
        <v>0</v>
      </c>
      <c r="B56" s="28" t="s">
        <v>26</v>
      </c>
      <c r="C56" s="72" t="s">
        <v>405</v>
      </c>
      <c r="D56" s="73" t="s">
        <v>415</v>
      </c>
      <c r="E56" s="72" t="s">
        <v>2</v>
      </c>
      <c r="F56" s="74" t="s">
        <v>3</v>
      </c>
    </row>
    <row r="57" spans="1:8">
      <c r="A57" s="89">
        <v>1</v>
      </c>
      <c r="B57" s="28">
        <v>2</v>
      </c>
      <c r="C57" s="87">
        <v>3</v>
      </c>
      <c r="D57" s="87">
        <v>4</v>
      </c>
      <c r="E57" s="87">
        <v>5</v>
      </c>
      <c r="F57" s="87">
        <v>6</v>
      </c>
    </row>
    <row r="58" spans="1:8" s="6" customFormat="1" ht="18" customHeight="1">
      <c r="A58" s="30" t="s">
        <v>27</v>
      </c>
      <c r="B58" s="31" t="s">
        <v>28</v>
      </c>
      <c r="C58" s="22">
        <f>C59+C60+C61+C62+C63+C65+C64</f>
        <v>1633.307</v>
      </c>
      <c r="D58" s="102">
        <f>D59+D60+D61+D62+D63+D65+D64</f>
        <v>790.65291000000002</v>
      </c>
      <c r="E58" s="34">
        <f>SUM(D58/C58*100)</f>
        <v>48.408101477554432</v>
      </c>
      <c r="F58" s="34">
        <f>SUM(D58-C58)</f>
        <v>-842.65409</v>
      </c>
    </row>
    <row r="59" spans="1:8" s="6" customFormat="1" ht="1.5" hidden="1" customHeight="1">
      <c r="A59" s="35" t="s">
        <v>29</v>
      </c>
      <c r="B59" s="36" t="s">
        <v>30</v>
      </c>
      <c r="C59" s="92">
        <v>0</v>
      </c>
      <c r="D59" s="92">
        <v>0</v>
      </c>
      <c r="E59" s="38" t="e">
        <f>SUM(D59/C59*100)</f>
        <v>#DIV/0!</v>
      </c>
      <c r="F59" s="38">
        <f>SUM(D59-C59)</f>
        <v>0</v>
      </c>
    </row>
    <row r="60" spans="1:8">
      <c r="A60" s="35" t="s">
        <v>31</v>
      </c>
      <c r="B60" s="39" t="s">
        <v>32</v>
      </c>
      <c r="C60" s="92">
        <v>1531.7</v>
      </c>
      <c r="D60" s="92">
        <v>765.65291000000002</v>
      </c>
      <c r="E60" s="38">
        <f t="shared" ref="E60:E102" si="3">SUM(D60/C60*100)</f>
        <v>49.987132597767186</v>
      </c>
      <c r="F60" s="38">
        <f t="shared" ref="F60:F102" si="4">SUM(D60-C60)</f>
        <v>-766.04709000000003</v>
      </c>
    </row>
    <row r="61" spans="1:8" ht="16.5" hidden="1" customHeight="1">
      <c r="A61" s="35" t="s">
        <v>33</v>
      </c>
      <c r="B61" s="39" t="s">
        <v>34</v>
      </c>
      <c r="C61" s="92"/>
      <c r="D61" s="92"/>
      <c r="E61" s="38"/>
      <c r="F61" s="38">
        <f t="shared" si="4"/>
        <v>0</v>
      </c>
    </row>
    <row r="62" spans="1:8" ht="31.5" hidden="1" customHeight="1">
      <c r="A62" s="35" t="s">
        <v>35</v>
      </c>
      <c r="B62" s="39" t="s">
        <v>36</v>
      </c>
      <c r="C62" s="92"/>
      <c r="D62" s="92"/>
      <c r="E62" s="38" t="e">
        <f t="shared" si="3"/>
        <v>#DIV/0!</v>
      </c>
      <c r="F62" s="38">
        <f t="shared" si="4"/>
        <v>0</v>
      </c>
    </row>
    <row r="63" spans="1:8" ht="19.5" hidden="1" customHeight="1">
      <c r="A63" s="35" t="s">
        <v>37</v>
      </c>
      <c r="B63" s="39" t="s">
        <v>38</v>
      </c>
      <c r="C63" s="92">
        <v>0</v>
      </c>
      <c r="D63" s="92">
        <v>0</v>
      </c>
      <c r="E63" s="38" t="e">
        <f t="shared" si="3"/>
        <v>#DIV/0!</v>
      </c>
      <c r="F63" s="38">
        <f t="shared" si="4"/>
        <v>0</v>
      </c>
    </row>
    <row r="64" spans="1:8" ht="15.75" customHeight="1">
      <c r="A64" s="35" t="s">
        <v>39</v>
      </c>
      <c r="B64" s="39" t="s">
        <v>40</v>
      </c>
      <c r="C64" s="103">
        <v>17</v>
      </c>
      <c r="D64" s="103">
        <v>0</v>
      </c>
      <c r="E64" s="38">
        <f t="shared" si="3"/>
        <v>0</v>
      </c>
      <c r="F64" s="38">
        <f t="shared" si="4"/>
        <v>-17</v>
      </c>
    </row>
    <row r="65" spans="1:7" ht="14.25" customHeight="1">
      <c r="A65" s="35" t="s">
        <v>41</v>
      </c>
      <c r="B65" s="39" t="s">
        <v>42</v>
      </c>
      <c r="C65" s="92">
        <v>84.606999999999999</v>
      </c>
      <c r="D65" s="92">
        <v>25</v>
      </c>
      <c r="E65" s="38">
        <f t="shared" si="3"/>
        <v>29.548382521540773</v>
      </c>
      <c r="F65" s="38">
        <f t="shared" si="4"/>
        <v>-59.606999999999999</v>
      </c>
    </row>
    <row r="66" spans="1:7" s="6" customFormat="1">
      <c r="A66" s="41" t="s">
        <v>43</v>
      </c>
      <c r="B66" s="42" t="s">
        <v>44</v>
      </c>
      <c r="C66" s="22">
        <f>C67</f>
        <v>206.767</v>
      </c>
      <c r="D66" s="22">
        <f>D67</f>
        <v>88.275919999999999</v>
      </c>
      <c r="E66" s="34">
        <f t="shared" si="3"/>
        <v>42.693427868083397</v>
      </c>
      <c r="F66" s="34">
        <f t="shared" si="4"/>
        <v>-118.49108</v>
      </c>
    </row>
    <row r="67" spans="1:7" ht="15" customHeight="1">
      <c r="A67" s="43" t="s">
        <v>45</v>
      </c>
      <c r="B67" s="44" t="s">
        <v>46</v>
      </c>
      <c r="C67" s="92">
        <v>206.767</v>
      </c>
      <c r="D67" s="92">
        <v>88.275919999999999</v>
      </c>
      <c r="E67" s="38">
        <f t="shared" si="3"/>
        <v>42.693427868083397</v>
      </c>
      <c r="F67" s="38">
        <f t="shared" si="4"/>
        <v>-118.49108</v>
      </c>
    </row>
    <row r="68" spans="1:7" s="6" customFormat="1" ht="18" customHeight="1">
      <c r="A68" s="30" t="s">
        <v>47</v>
      </c>
      <c r="B68" s="31" t="s">
        <v>48</v>
      </c>
      <c r="C68" s="22">
        <f>C71+C72+C73</f>
        <v>15</v>
      </c>
      <c r="D68" s="22">
        <f>D71+D72+D73</f>
        <v>9.2800000000000011</v>
      </c>
      <c r="E68" s="34">
        <f t="shared" si="3"/>
        <v>61.866666666666667</v>
      </c>
      <c r="F68" s="34">
        <f t="shared" si="4"/>
        <v>-5.7199999999999989</v>
      </c>
    </row>
    <row r="69" spans="1:7" ht="0.75" hidden="1" customHeight="1">
      <c r="A69" s="35" t="s">
        <v>49</v>
      </c>
      <c r="B69" s="39" t="s">
        <v>50</v>
      </c>
      <c r="C69" s="92"/>
      <c r="D69" s="92"/>
      <c r="E69" s="34" t="e">
        <f t="shared" si="3"/>
        <v>#DIV/0!</v>
      </c>
      <c r="F69" s="34">
        <f t="shared" si="4"/>
        <v>0</v>
      </c>
    </row>
    <row r="70" spans="1:7" ht="18" hidden="1" customHeight="1">
      <c r="A70" s="45" t="s">
        <v>51</v>
      </c>
      <c r="B70" s="39" t="s">
        <v>52</v>
      </c>
      <c r="C70" s="92"/>
      <c r="D70" s="92"/>
      <c r="E70" s="34" t="e">
        <f t="shared" si="3"/>
        <v>#DIV/0!</v>
      </c>
      <c r="F70" s="34">
        <f t="shared" si="4"/>
        <v>0</v>
      </c>
    </row>
    <row r="71" spans="1:7" ht="17.25" customHeight="1">
      <c r="A71" s="46" t="s">
        <v>53</v>
      </c>
      <c r="B71" s="47" t="s">
        <v>54</v>
      </c>
      <c r="C71" s="92">
        <v>3</v>
      </c>
      <c r="D71" s="92">
        <v>0</v>
      </c>
      <c r="E71" s="34">
        <f t="shared" si="3"/>
        <v>0</v>
      </c>
      <c r="F71" s="34">
        <f t="shared" si="4"/>
        <v>-3</v>
      </c>
    </row>
    <row r="72" spans="1:7" ht="17.25" customHeight="1">
      <c r="A72" s="46" t="s">
        <v>214</v>
      </c>
      <c r="B72" s="47" t="s">
        <v>215</v>
      </c>
      <c r="C72" s="92">
        <v>10</v>
      </c>
      <c r="D72" s="92">
        <v>7.28</v>
      </c>
      <c r="E72" s="38">
        <f t="shared" si="3"/>
        <v>72.8</v>
      </c>
      <c r="F72" s="38">
        <f t="shared" si="4"/>
        <v>-2.7199999999999998</v>
      </c>
    </row>
    <row r="73" spans="1:7" ht="17.25" customHeight="1">
      <c r="A73" s="46" t="s">
        <v>338</v>
      </c>
      <c r="B73" s="47" t="s">
        <v>389</v>
      </c>
      <c r="C73" s="92">
        <v>2</v>
      </c>
      <c r="D73" s="92">
        <v>2</v>
      </c>
      <c r="E73" s="38">
        <f>SUM(D73/C73*100)</f>
        <v>100</v>
      </c>
      <c r="F73" s="38">
        <f>SUM(D73-C73)</f>
        <v>0</v>
      </c>
    </row>
    <row r="74" spans="1:7" s="6" customFormat="1" ht="19.5" customHeight="1">
      <c r="A74" s="30" t="s">
        <v>55</v>
      </c>
      <c r="B74" s="31" t="s">
        <v>56</v>
      </c>
      <c r="C74" s="104">
        <f>C76+C77+C78+C75</f>
        <v>4415.7606700000006</v>
      </c>
      <c r="D74" s="104">
        <f>SUM(D75:D78)</f>
        <v>412.12943000000001</v>
      </c>
      <c r="E74" s="34">
        <f t="shared" si="3"/>
        <v>9.3331468981084971</v>
      </c>
      <c r="F74" s="34">
        <f t="shared" si="4"/>
        <v>-4003.6312400000006</v>
      </c>
    </row>
    <row r="75" spans="1:7" ht="17.25" customHeight="1">
      <c r="A75" s="35" t="s">
        <v>57</v>
      </c>
      <c r="B75" s="39" t="s">
        <v>58</v>
      </c>
      <c r="C75" s="105"/>
      <c r="D75" s="92">
        <v>0</v>
      </c>
      <c r="E75" s="38" t="e">
        <f t="shared" si="3"/>
        <v>#DIV/0!</v>
      </c>
      <c r="F75" s="38">
        <f t="shared" si="4"/>
        <v>0</v>
      </c>
    </row>
    <row r="76" spans="1:7" s="6" customFormat="1" ht="17.25" customHeight="1">
      <c r="A76" s="35" t="s">
        <v>59</v>
      </c>
      <c r="B76" s="39" t="s">
        <v>60</v>
      </c>
      <c r="C76" s="105">
        <v>0</v>
      </c>
      <c r="D76" s="92">
        <v>0</v>
      </c>
      <c r="E76" s="38" t="e">
        <f t="shared" si="3"/>
        <v>#DIV/0!</v>
      </c>
      <c r="F76" s="38">
        <f t="shared" si="4"/>
        <v>0</v>
      </c>
      <c r="G76" s="50"/>
    </row>
    <row r="77" spans="1:7" ht="16.5" customHeight="1">
      <c r="A77" s="35" t="s">
        <v>61</v>
      </c>
      <c r="B77" s="39" t="s">
        <v>62</v>
      </c>
      <c r="C77" s="105">
        <v>3676.6990300000002</v>
      </c>
      <c r="D77" s="92">
        <v>368.12943000000001</v>
      </c>
      <c r="E77" s="38">
        <f t="shared" si="3"/>
        <v>10.012498357800039</v>
      </c>
      <c r="F77" s="38">
        <f t="shared" si="4"/>
        <v>-3308.5696000000003</v>
      </c>
    </row>
    <row r="78" spans="1:7" ht="16.5" customHeight="1">
      <c r="A78" s="35" t="s">
        <v>63</v>
      </c>
      <c r="B78" s="39" t="s">
        <v>64</v>
      </c>
      <c r="C78" s="105">
        <v>739.06164000000001</v>
      </c>
      <c r="D78" s="92">
        <v>44</v>
      </c>
      <c r="E78" s="38">
        <f t="shared" si="3"/>
        <v>5.9534952997966446</v>
      </c>
      <c r="F78" s="38">
        <f t="shared" si="4"/>
        <v>-695.06164000000001</v>
      </c>
    </row>
    <row r="79" spans="1:7" ht="15.75" hidden="1" customHeight="1">
      <c r="A79" s="30" t="s">
        <v>47</v>
      </c>
      <c r="B79" s="31" t="s">
        <v>48</v>
      </c>
      <c r="C79" s="104">
        <v>0</v>
      </c>
      <c r="D79" s="92"/>
      <c r="E79" s="38"/>
      <c r="F79" s="38"/>
    </row>
    <row r="80" spans="1:7" ht="15.75" hidden="1" customHeight="1">
      <c r="A80" s="46" t="s">
        <v>214</v>
      </c>
      <c r="B80" s="47" t="s">
        <v>215</v>
      </c>
      <c r="C80" s="105">
        <v>0</v>
      </c>
      <c r="D80" s="92"/>
      <c r="E80" s="38"/>
      <c r="F80" s="38"/>
    </row>
    <row r="81" spans="1:6" s="6" customFormat="1" ht="19.5" customHeight="1">
      <c r="A81" s="30" t="s">
        <v>65</v>
      </c>
      <c r="B81" s="31" t="s">
        <v>66</v>
      </c>
      <c r="C81" s="22">
        <f>SUM(C82:C84)</f>
        <v>3866.0661</v>
      </c>
      <c r="D81" s="22">
        <f>SUM(D82:D84)</f>
        <v>1048.8005599999999</v>
      </c>
      <c r="E81" s="34">
        <f t="shared" si="3"/>
        <v>27.128365963530733</v>
      </c>
      <c r="F81" s="34">
        <f t="shared" si="4"/>
        <v>-2817.2655400000003</v>
      </c>
    </row>
    <row r="82" spans="1:6" hidden="1">
      <c r="A82" s="35" t="s">
        <v>67</v>
      </c>
      <c r="B82" s="51" t="s">
        <v>68</v>
      </c>
      <c r="C82" s="92"/>
      <c r="D82" s="92"/>
      <c r="E82" s="38" t="e">
        <f t="shared" si="3"/>
        <v>#DIV/0!</v>
      </c>
      <c r="F82" s="38">
        <f t="shared" si="4"/>
        <v>0</v>
      </c>
    </row>
    <row r="83" spans="1:6">
      <c r="A83" s="35" t="s">
        <v>69</v>
      </c>
      <c r="B83" s="51" t="s">
        <v>70</v>
      </c>
      <c r="C83" s="92">
        <v>3350.6361000000002</v>
      </c>
      <c r="D83" s="92">
        <v>909.00662</v>
      </c>
      <c r="E83" s="38">
        <f t="shared" si="3"/>
        <v>27.129374628298191</v>
      </c>
      <c r="F83" s="38">
        <f t="shared" si="4"/>
        <v>-2441.6294800000001</v>
      </c>
    </row>
    <row r="84" spans="1:6" ht="18" customHeight="1">
      <c r="A84" s="35" t="s">
        <v>71</v>
      </c>
      <c r="B84" s="39" t="s">
        <v>72</v>
      </c>
      <c r="C84" s="92">
        <v>515.42999999999995</v>
      </c>
      <c r="D84" s="92">
        <v>139.79393999999999</v>
      </c>
      <c r="E84" s="38">
        <f t="shared" si="3"/>
        <v>27.121808975030561</v>
      </c>
      <c r="F84" s="38">
        <f t="shared" si="4"/>
        <v>-375.63605999999993</v>
      </c>
    </row>
    <row r="85" spans="1:6" s="6" customFormat="1" ht="16.5" customHeight="1">
      <c r="A85" s="30" t="s">
        <v>83</v>
      </c>
      <c r="B85" s="31" t="s">
        <v>84</v>
      </c>
      <c r="C85" s="22">
        <f>C86</f>
        <v>3282.1</v>
      </c>
      <c r="D85" s="22">
        <f>SUM(D86)</f>
        <v>1324.3435099999999</v>
      </c>
      <c r="E85" s="34">
        <f t="shared" si="3"/>
        <v>40.350492367691416</v>
      </c>
      <c r="F85" s="34">
        <f t="shared" si="4"/>
        <v>-1957.75649</v>
      </c>
    </row>
    <row r="86" spans="1:6" ht="14.25" customHeight="1">
      <c r="A86" s="35" t="s">
        <v>85</v>
      </c>
      <c r="B86" s="39" t="s">
        <v>229</v>
      </c>
      <c r="C86" s="92">
        <v>3282.1</v>
      </c>
      <c r="D86" s="92">
        <v>1324.3435099999999</v>
      </c>
      <c r="E86" s="38">
        <f t="shared" si="3"/>
        <v>40.350492367691416</v>
      </c>
      <c r="F86" s="38">
        <f t="shared" si="4"/>
        <v>-1957.75649</v>
      </c>
    </row>
    <row r="87" spans="1:6" s="6" customFormat="1" ht="12" hidden="1" customHeight="1">
      <c r="A87" s="52">
        <v>1000</v>
      </c>
      <c r="B87" s="31" t="s">
        <v>86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t="9" hidden="1" customHeight="1">
      <c r="A88" s="53">
        <v>1001</v>
      </c>
      <c r="B88" s="54" t="s">
        <v>87</v>
      </c>
      <c r="C88" s="92"/>
      <c r="D88" s="92"/>
      <c r="E88" s="38" t="e">
        <f t="shared" si="3"/>
        <v>#DIV/0!</v>
      </c>
      <c r="F88" s="38">
        <f t="shared" si="4"/>
        <v>0</v>
      </c>
    </row>
    <row r="89" spans="1:6" ht="12" hidden="1" customHeight="1">
      <c r="A89" s="53">
        <v>1003</v>
      </c>
      <c r="B89" s="54" t="s">
        <v>88</v>
      </c>
      <c r="C89" s="92">
        <v>0</v>
      </c>
      <c r="D89" s="92">
        <v>0</v>
      </c>
      <c r="E89" s="38" t="e">
        <f t="shared" si="3"/>
        <v>#DIV/0!</v>
      </c>
      <c r="F89" s="38">
        <f t="shared" si="4"/>
        <v>0</v>
      </c>
    </row>
    <row r="90" spans="1:6" ht="12.75" hidden="1" customHeight="1">
      <c r="A90" s="53">
        <v>1004</v>
      </c>
      <c r="B90" s="54" t="s">
        <v>89</v>
      </c>
      <c r="C90" s="92">
        <v>0</v>
      </c>
      <c r="D90" s="187">
        <v>0</v>
      </c>
      <c r="E90" s="38" t="e">
        <f t="shared" si="3"/>
        <v>#DIV/0!</v>
      </c>
      <c r="F90" s="38">
        <f t="shared" si="4"/>
        <v>0</v>
      </c>
    </row>
    <row r="91" spans="1:6" ht="19.5" hidden="1" customHeight="1">
      <c r="A91" s="35" t="s">
        <v>90</v>
      </c>
      <c r="B91" s="39" t="s">
        <v>91</v>
      </c>
      <c r="C91" s="92">
        <v>0</v>
      </c>
      <c r="D91" s="92">
        <v>0</v>
      </c>
      <c r="E91" s="38"/>
      <c r="F91" s="38">
        <f t="shared" si="4"/>
        <v>0</v>
      </c>
    </row>
    <row r="92" spans="1:6" ht="15" customHeight="1">
      <c r="A92" s="30" t="s">
        <v>92</v>
      </c>
      <c r="B92" s="31" t="s">
        <v>93</v>
      </c>
      <c r="C92" s="22">
        <f>C93+C94+C95+C96+C97</f>
        <v>10</v>
      </c>
      <c r="D92" s="22">
        <f>D93+D94+D95+D96+D97</f>
        <v>0</v>
      </c>
      <c r="E92" s="38">
        <f t="shared" si="3"/>
        <v>0</v>
      </c>
      <c r="F92" s="22">
        <f>F93+F94+F95+F96+F97</f>
        <v>-10</v>
      </c>
    </row>
    <row r="93" spans="1:6" ht="19.5" customHeight="1">
      <c r="A93" s="35" t="s">
        <v>94</v>
      </c>
      <c r="B93" s="39" t="s">
        <v>95</v>
      </c>
      <c r="C93" s="92">
        <v>10</v>
      </c>
      <c r="D93" s="92">
        <v>0</v>
      </c>
      <c r="E93" s="38">
        <f t="shared" si="3"/>
        <v>0</v>
      </c>
      <c r="F93" s="38">
        <f>SUM(D93-C93)</f>
        <v>-10</v>
      </c>
    </row>
    <row r="94" spans="1:6" ht="15" hidden="1" customHeight="1">
      <c r="A94" s="35" t="s">
        <v>96</v>
      </c>
      <c r="B94" s="39" t="s">
        <v>97</v>
      </c>
      <c r="C94" s="92"/>
      <c r="D94" s="92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98</v>
      </c>
      <c r="B95" s="39" t="s">
        <v>99</v>
      </c>
      <c r="C95" s="92"/>
      <c r="D95" s="92"/>
      <c r="E95" s="38" t="e">
        <f t="shared" si="3"/>
        <v>#DIV/0!</v>
      </c>
      <c r="F95" s="38"/>
    </row>
    <row r="96" spans="1:6" ht="15" hidden="1" customHeight="1">
      <c r="A96" s="35" t="s">
        <v>100</v>
      </c>
      <c r="B96" s="39" t="s">
        <v>101</v>
      </c>
      <c r="C96" s="92"/>
      <c r="D96" s="92"/>
      <c r="E96" s="38" t="e">
        <f t="shared" si="3"/>
        <v>#DIV/0!</v>
      </c>
      <c r="F96" s="38"/>
    </row>
    <row r="97" spans="1:6" ht="57.75" hidden="1" customHeight="1">
      <c r="A97" s="35" t="s">
        <v>102</v>
      </c>
      <c r="B97" s="39" t="s">
        <v>103</v>
      </c>
      <c r="C97" s="92"/>
      <c r="D97" s="92"/>
      <c r="E97" s="38" t="e">
        <f t="shared" si="3"/>
        <v>#DIV/0!</v>
      </c>
      <c r="F97" s="38"/>
    </row>
    <row r="98" spans="1:6" s="6" customFormat="1" ht="15" hidden="1" customHeight="1">
      <c r="A98" s="52">
        <v>1400</v>
      </c>
      <c r="B98" s="56" t="s">
        <v>112</v>
      </c>
      <c r="C98" s="104">
        <f>C99+C100+C101</f>
        <v>0</v>
      </c>
      <c r="D98" s="104">
        <f>SUM(D99:D101)</f>
        <v>0</v>
      </c>
      <c r="E98" s="34" t="e">
        <f t="shared" si="3"/>
        <v>#DIV/0!</v>
      </c>
      <c r="F98" s="34">
        <f t="shared" si="4"/>
        <v>0</v>
      </c>
    </row>
    <row r="99" spans="1:6" ht="16.5" hidden="1" customHeight="1">
      <c r="A99" s="53">
        <v>1401</v>
      </c>
      <c r="B99" s="54" t="s">
        <v>113</v>
      </c>
      <c r="C99" s="92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20.25" hidden="1" customHeight="1">
      <c r="A100" s="53">
        <v>1402</v>
      </c>
      <c r="B100" s="54" t="s">
        <v>114</v>
      </c>
      <c r="C100" s="105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ht="13.5" hidden="1" customHeight="1">
      <c r="A101" s="53">
        <v>1403</v>
      </c>
      <c r="B101" s="54" t="s">
        <v>115</v>
      </c>
      <c r="C101" s="105">
        <v>0</v>
      </c>
      <c r="D101" s="92">
        <v>0</v>
      </c>
      <c r="E101" s="38" t="e">
        <f t="shared" si="3"/>
        <v>#DIV/0!</v>
      </c>
      <c r="F101" s="38">
        <f t="shared" si="4"/>
        <v>0</v>
      </c>
    </row>
    <row r="102" spans="1:6" s="6" customFormat="1">
      <c r="A102" s="52"/>
      <c r="B102" s="57" t="s">
        <v>116</v>
      </c>
      <c r="C102" s="457">
        <f>C58+C66+C68+C74+C81+C85+C87+C92+C79</f>
        <v>13429.000770000001</v>
      </c>
      <c r="D102" s="457">
        <f>D58+D66+D68+D74+D81+D85+D92+D87</f>
        <v>3673.4823299999998</v>
      </c>
      <c r="E102" s="34">
        <f t="shared" si="3"/>
        <v>27.354844883220597</v>
      </c>
      <c r="F102" s="34">
        <f t="shared" si="4"/>
        <v>-9755.5184399999998</v>
      </c>
    </row>
    <row r="103" spans="1:6" ht="5.25" customHeight="1">
      <c r="C103" s="119"/>
      <c r="D103" s="61"/>
    </row>
    <row r="104" spans="1:6" s="65" customFormat="1" ht="12.75">
      <c r="A104" s="63" t="s">
        <v>117</v>
      </c>
      <c r="B104" s="63"/>
      <c r="C104" s="115"/>
      <c r="D104" s="64"/>
    </row>
    <row r="105" spans="1:6" s="65" customFormat="1" ht="12.75">
      <c r="A105" s="66" t="s">
        <v>118</v>
      </c>
      <c r="B105" s="66"/>
      <c r="C105" s="65" t="s">
        <v>119</v>
      </c>
    </row>
    <row r="106" spans="1:6">
      <c r="C106" s="119"/>
    </row>
    <row r="144" hidden="1"/>
  </sheetData>
  <customSheetViews>
    <customSheetView guid="{1718F1EE-9F48-4DBE-9531-3B70F9C4A5DD}" scale="70" showPageBreaks="1" printArea="1" hiddenRows="1" view="pageBreakPreview" topLeftCell="A41">
      <selection activeCell="C99" sqref="C99:D99"/>
      <pageMargins left="0.7" right="0.7" top="0.75" bottom="0.75" header="0.3" footer="0.3"/>
      <pageSetup paperSize="9" scale="39" orientation="portrait" r:id="rId1"/>
    </customSheetView>
    <customSheetView guid="{B31C8DB7-3E78-4144-A6B5-8DE36DE63F0E}" scale="89" showPageBreaks="1" printArea="1" hiddenRows="1" view="pageBreakPreview" topLeftCell="A50">
      <selection activeCell="D68" sqref="D68"/>
      <pageMargins left="0.7" right="0.7" top="0.75" bottom="0.75" header="0.3" footer="0.3"/>
      <pageSetup paperSize="9" scale="47" orientation="portrait" r:id="rId2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3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5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7"/>
    </customSheetView>
    <customSheetView guid="{B30CE22D-C12F-4E12-8BB9-3AAE0A6991CC}" scale="70" showPageBreaks="1" fitToPage="1" printArea="1" hiddenRows="1" view="pageBreakPreview" topLeftCell="A35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4" orientation="portrait" r:id="rId8"/>
    </customSheetView>
    <customSheetView guid="{61528DAC-5C4C-48F4-ADE2-8A724B05A086}" scale="70" showPageBreaks="1" fitToPage="1" printArea="1" hiddenRows="1" view="pageBreakPreview">
      <selection activeCell="D65" sqref="D65"/>
      <pageMargins left="0.70866141732283472" right="0.70866141732283472" top="0.74803149606299213" bottom="0.74803149606299213" header="0.31496062992125984" footer="0.31496062992125984"/>
      <pageSetup paperSize="9" scale="50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39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28" zoomScale="7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30" t="s">
        <v>424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91">
        <f>C5+C12+C14+C17+C20+C7</f>
        <v>4757.13</v>
      </c>
      <c r="D4" s="191">
        <f>D5+D12+D14+D17+D20+D7</f>
        <v>1455.3064199999999</v>
      </c>
      <c r="E4" s="5">
        <f>SUM(D4/C4*100)</f>
        <v>30.592109528223947</v>
      </c>
      <c r="F4" s="5">
        <f>SUM(D4-C4)</f>
        <v>-3301.8235800000002</v>
      </c>
    </row>
    <row r="5" spans="1:6" s="6" customFormat="1">
      <c r="A5" s="68">
        <v>1010000000</v>
      </c>
      <c r="B5" s="67" t="s">
        <v>5</v>
      </c>
      <c r="C5" s="191">
        <f>C6</f>
        <v>486</v>
      </c>
      <c r="D5" s="191">
        <f>D6</f>
        <v>251.15543</v>
      </c>
      <c r="E5" s="5">
        <f t="shared" ref="E5:E50" si="0">SUM(D5/C5*100)</f>
        <v>51.678072016460909</v>
      </c>
      <c r="F5" s="5">
        <f t="shared" ref="F5:F50" si="1">SUM(D5-C5)</f>
        <v>-234.84457</v>
      </c>
    </row>
    <row r="6" spans="1:6">
      <c r="A6" s="7">
        <v>1010200001</v>
      </c>
      <c r="B6" s="8" t="s">
        <v>224</v>
      </c>
      <c r="C6" s="218">
        <v>486</v>
      </c>
      <c r="D6" s="219">
        <v>251.15543</v>
      </c>
      <c r="E6" s="9">
        <f t="shared" ref="E6:E11" si="2">SUM(D6/C6*100)</f>
        <v>51.678072016460909</v>
      </c>
      <c r="F6" s="9">
        <f t="shared" si="1"/>
        <v>-234.84457</v>
      </c>
    </row>
    <row r="7" spans="1:6" ht="31.5">
      <c r="A7" s="3">
        <v>1030000000</v>
      </c>
      <c r="B7" s="13" t="s">
        <v>266</v>
      </c>
      <c r="C7" s="262">
        <f>C8+C10+C9</f>
        <v>806.13000000000011</v>
      </c>
      <c r="D7" s="191">
        <f>D8+D10+D9+D11</f>
        <v>417.98828999999995</v>
      </c>
      <c r="E7" s="5">
        <f t="shared" si="2"/>
        <v>51.851226229020121</v>
      </c>
      <c r="F7" s="5">
        <f t="shared" si="1"/>
        <v>-388.14171000000016</v>
      </c>
    </row>
    <row r="8" spans="1:6">
      <c r="A8" s="7">
        <v>1030223001</v>
      </c>
      <c r="B8" s="8" t="s">
        <v>268</v>
      </c>
      <c r="C8" s="218">
        <v>300.69</v>
      </c>
      <c r="D8" s="219">
        <v>189.01653999999999</v>
      </c>
      <c r="E8" s="9">
        <f t="shared" si="2"/>
        <v>62.860933187003219</v>
      </c>
      <c r="F8" s="9">
        <f t="shared" si="1"/>
        <v>-111.67346000000001</v>
      </c>
    </row>
    <row r="9" spans="1:6">
      <c r="A9" s="7">
        <v>1030224001</v>
      </c>
      <c r="B9" s="8" t="s">
        <v>274</v>
      </c>
      <c r="C9" s="218">
        <v>3.22</v>
      </c>
      <c r="D9" s="219">
        <v>1.4238599999999999</v>
      </c>
      <c r="E9" s="9">
        <f t="shared" si="2"/>
        <v>44.21925465838509</v>
      </c>
      <c r="F9" s="9">
        <f t="shared" si="1"/>
        <v>-1.7961400000000003</v>
      </c>
    </row>
    <row r="10" spans="1:6">
      <c r="A10" s="7">
        <v>1030225001</v>
      </c>
      <c r="B10" s="8" t="s">
        <v>267</v>
      </c>
      <c r="C10" s="218">
        <v>502.22</v>
      </c>
      <c r="D10" s="219">
        <v>262.82911999999999</v>
      </c>
      <c r="E10" s="9">
        <f t="shared" si="2"/>
        <v>52.333463422404513</v>
      </c>
      <c r="F10" s="9">
        <f t="shared" si="1"/>
        <v>-239.39088000000004</v>
      </c>
    </row>
    <row r="11" spans="1:6">
      <c r="A11" s="7">
        <v>1030226001</v>
      </c>
      <c r="B11" s="8" t="s">
        <v>275</v>
      </c>
      <c r="C11" s="218">
        <v>0</v>
      </c>
      <c r="D11" s="217">
        <v>-35.281230000000001</v>
      </c>
      <c r="E11" s="9" t="e">
        <f t="shared" si="2"/>
        <v>#DIV/0!</v>
      </c>
      <c r="F11" s="9">
        <f t="shared" si="1"/>
        <v>-35.281230000000001</v>
      </c>
    </row>
    <row r="12" spans="1:6" s="6" customFormat="1">
      <c r="A12" s="68">
        <v>1050000000</v>
      </c>
      <c r="B12" s="67" t="s">
        <v>6</v>
      </c>
      <c r="C12" s="191">
        <f>SUM(C13:C13)</f>
        <v>95</v>
      </c>
      <c r="D12" s="191">
        <f>D13</f>
        <v>55.52955</v>
      </c>
      <c r="E12" s="5">
        <f t="shared" si="0"/>
        <v>58.452157894736843</v>
      </c>
      <c r="F12" s="5">
        <f t="shared" si="1"/>
        <v>-39.47045</v>
      </c>
    </row>
    <row r="13" spans="1:6" ht="15.75" customHeight="1">
      <c r="A13" s="7">
        <v>1050300000</v>
      </c>
      <c r="B13" s="11" t="s">
        <v>225</v>
      </c>
      <c r="C13" s="220">
        <v>95</v>
      </c>
      <c r="D13" s="219">
        <v>55.52955</v>
      </c>
      <c r="E13" s="9">
        <f t="shared" si="0"/>
        <v>58.452157894736843</v>
      </c>
      <c r="F13" s="9">
        <f t="shared" si="1"/>
        <v>-39.47045</v>
      </c>
    </row>
    <row r="14" spans="1:6" s="6" customFormat="1" ht="15.75" customHeight="1">
      <c r="A14" s="68">
        <v>1060000000</v>
      </c>
      <c r="B14" s="67" t="s">
        <v>133</v>
      </c>
      <c r="C14" s="191">
        <f>C15+C16</f>
        <v>3350</v>
      </c>
      <c r="D14" s="191">
        <f>D15+D16</f>
        <v>728.43314999999996</v>
      </c>
      <c r="E14" s="5">
        <f t="shared" si="0"/>
        <v>21.744273134328356</v>
      </c>
      <c r="F14" s="5">
        <f t="shared" si="1"/>
        <v>-2621.5668500000002</v>
      </c>
    </row>
    <row r="15" spans="1:6" s="6" customFormat="1" ht="15.75" customHeight="1">
      <c r="A15" s="7">
        <v>1060100000</v>
      </c>
      <c r="B15" s="11" t="s">
        <v>8</v>
      </c>
      <c r="C15" s="218">
        <v>400</v>
      </c>
      <c r="D15" s="219">
        <v>26.75938</v>
      </c>
      <c r="E15" s="9">
        <f t="shared" si="0"/>
        <v>6.689845</v>
      </c>
      <c r="F15" s="9">
        <f>SUM(D15-C15)</f>
        <v>-373.24061999999998</v>
      </c>
    </row>
    <row r="16" spans="1:6" ht="15.75" customHeight="1">
      <c r="A16" s="7">
        <v>1060600000</v>
      </c>
      <c r="B16" s="11" t="s">
        <v>7</v>
      </c>
      <c r="C16" s="218">
        <v>2950</v>
      </c>
      <c r="D16" s="219">
        <v>701.67376999999999</v>
      </c>
      <c r="E16" s="9">
        <f t="shared" si="0"/>
        <v>23.785551525423728</v>
      </c>
      <c r="F16" s="9">
        <f t="shared" si="1"/>
        <v>-2248.3262300000001</v>
      </c>
    </row>
    <row r="17" spans="1:6" s="6" customFormat="1">
      <c r="A17" s="3">
        <v>1080000000</v>
      </c>
      <c r="B17" s="4" t="s">
        <v>10</v>
      </c>
      <c r="C17" s="191">
        <f>C18</f>
        <v>20</v>
      </c>
      <c r="D17" s="191">
        <f>D18</f>
        <v>2.2000000000000002</v>
      </c>
      <c r="E17" s="5">
        <f t="shared" si="0"/>
        <v>11.000000000000002</v>
      </c>
      <c r="F17" s="5">
        <f t="shared" si="1"/>
        <v>-17.8</v>
      </c>
    </row>
    <row r="18" spans="1:6" ht="18" customHeight="1">
      <c r="A18" s="7">
        <v>1080400001</v>
      </c>
      <c r="B18" s="8" t="s">
        <v>223</v>
      </c>
      <c r="C18" s="218">
        <v>20</v>
      </c>
      <c r="D18" s="219">
        <v>2.2000000000000002</v>
      </c>
      <c r="E18" s="9">
        <f t="shared" si="0"/>
        <v>11.000000000000002</v>
      </c>
      <c r="F18" s="9">
        <f t="shared" si="1"/>
        <v>-17.8</v>
      </c>
    </row>
    <row r="19" spans="1:6" ht="47.25" hidden="1" customHeight="1">
      <c r="A19" s="7">
        <v>1080714001</v>
      </c>
      <c r="B19" s="8" t="s">
        <v>11</v>
      </c>
      <c r="C19" s="218"/>
      <c r="D19" s="219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191">
        <f>C21+C22+C23+C24</f>
        <v>0</v>
      </c>
      <c r="D20" s="191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191"/>
      <c r="D21" s="221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191"/>
      <c r="D22" s="221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191"/>
      <c r="D23" s="221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191"/>
      <c r="D24" s="221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91">
        <f>C26+C29+C31+C36</f>
        <v>91.4</v>
      </c>
      <c r="D25" s="93">
        <f>D26+D29+D31+D36+D34</f>
        <v>530.45024000000012</v>
      </c>
      <c r="E25" s="5">
        <f t="shared" si="0"/>
        <v>580.36131291028448</v>
      </c>
      <c r="F25" s="5">
        <f t="shared" si="1"/>
        <v>439.05024000000014</v>
      </c>
    </row>
    <row r="26" spans="1:6" s="6" customFormat="1" ht="30" customHeight="1">
      <c r="A26" s="68">
        <v>1110000000</v>
      </c>
      <c r="B26" s="69" t="s">
        <v>126</v>
      </c>
      <c r="C26" s="191">
        <f>C27+C28</f>
        <v>91.4</v>
      </c>
      <c r="D26" s="93">
        <f>D27+D28</f>
        <v>524.3742400000001</v>
      </c>
      <c r="E26" s="5">
        <f t="shared" si="0"/>
        <v>573.71361050328233</v>
      </c>
      <c r="F26" s="5">
        <f t="shared" si="1"/>
        <v>432.97424000000012</v>
      </c>
    </row>
    <row r="27" spans="1:6" ht="15" customHeight="1">
      <c r="A27" s="16">
        <v>1110502510</v>
      </c>
      <c r="B27" s="17" t="s">
        <v>221</v>
      </c>
      <c r="C27" s="220">
        <v>79.400000000000006</v>
      </c>
      <c r="D27" s="217">
        <v>516.67424000000005</v>
      </c>
      <c r="E27" s="9">
        <f t="shared" si="0"/>
        <v>650.72322418136025</v>
      </c>
      <c r="F27" s="9">
        <f t="shared" si="1"/>
        <v>437.27424000000008</v>
      </c>
    </row>
    <row r="28" spans="1:6">
      <c r="A28" s="7">
        <v>1110503505</v>
      </c>
      <c r="B28" s="11" t="s">
        <v>220</v>
      </c>
      <c r="C28" s="12">
        <v>12</v>
      </c>
      <c r="D28" s="10">
        <v>7.7</v>
      </c>
      <c r="E28" s="9">
        <f t="shared" si="0"/>
        <v>64.166666666666671</v>
      </c>
      <c r="F28" s="9">
        <f t="shared" si="1"/>
        <v>-4.3</v>
      </c>
    </row>
    <row r="29" spans="1:6" s="15" customFormat="1" ht="18" customHeight="1">
      <c r="A29" s="68">
        <v>1130000000</v>
      </c>
      <c r="B29" s="69" t="s">
        <v>128</v>
      </c>
      <c r="C29" s="5">
        <f>C30</f>
        <v>0</v>
      </c>
      <c r="D29" s="5">
        <f>D30</f>
        <v>5.9</v>
      </c>
      <c r="E29" s="5" t="e">
        <f t="shared" si="0"/>
        <v>#DIV/0!</v>
      </c>
      <c r="F29" s="5">
        <f t="shared" si="1"/>
        <v>5.9</v>
      </c>
    </row>
    <row r="30" spans="1:6" ht="15.75" customHeight="1">
      <c r="A30" s="7">
        <v>1130206005</v>
      </c>
      <c r="B30" s="8" t="s">
        <v>219</v>
      </c>
      <c r="C30" s="9">
        <v>0</v>
      </c>
      <c r="D30" s="10">
        <v>5.9</v>
      </c>
      <c r="E30" s="9" t="e">
        <f t="shared" si="0"/>
        <v>#DIV/0!</v>
      </c>
      <c r="F30" s="9">
        <f t="shared" si="1"/>
        <v>5.9</v>
      </c>
    </row>
    <row r="31" spans="1:6" ht="1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21.75" customHeight="1">
      <c r="A35" s="7">
        <v>1163305010</v>
      </c>
      <c r="B35" s="8" t="s">
        <v>255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132</v>
      </c>
      <c r="C36" s="5">
        <f>C37+C38</f>
        <v>0</v>
      </c>
      <c r="D36" s="5">
        <f>D37</f>
        <v>0.17599999999999999</v>
      </c>
      <c r="E36" s="5" t="e">
        <f t="shared" si="0"/>
        <v>#DIV/0!</v>
      </c>
      <c r="F36" s="5">
        <f t="shared" si="1"/>
        <v>0.17599999999999999</v>
      </c>
    </row>
    <row r="37" spans="1:7" ht="19.5" customHeight="1">
      <c r="A37" s="7">
        <v>1170105005</v>
      </c>
      <c r="B37" s="8" t="s">
        <v>15</v>
      </c>
      <c r="C37" s="9">
        <f>C38</f>
        <v>0</v>
      </c>
      <c r="D37" s="9">
        <v>0.17599999999999999</v>
      </c>
      <c r="E37" s="9" t="e">
        <f t="shared" si="0"/>
        <v>#DIV/0!</v>
      </c>
      <c r="F37" s="9">
        <f t="shared" si="1"/>
        <v>0.17599999999999999</v>
      </c>
    </row>
    <row r="38" spans="1:7" ht="17.25" hidden="1" customHeight="1">
      <c r="A38" s="7">
        <v>1170505005</v>
      </c>
      <c r="B38" s="11" t="s">
        <v>216</v>
      </c>
      <c r="C38" s="218">
        <v>0</v>
      </c>
      <c r="D38" s="219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22">
        <f>SUM(C4,C25)</f>
        <v>4848.53</v>
      </c>
      <c r="D39" s="222">
        <f>D4+D25</f>
        <v>1985.75666</v>
      </c>
      <c r="E39" s="5">
        <f t="shared" si="0"/>
        <v>40.955849711149568</v>
      </c>
      <c r="F39" s="5">
        <f t="shared" si="1"/>
        <v>-2862.7733399999997</v>
      </c>
    </row>
    <row r="40" spans="1:7" s="6" customFormat="1">
      <c r="A40" s="3">
        <v>2000000000</v>
      </c>
      <c r="B40" s="4" t="s">
        <v>17</v>
      </c>
      <c r="C40" s="191">
        <f>C41+C43+C45+C46+C47+C48+C42+C44</f>
        <v>5692.1223999999993</v>
      </c>
      <c r="D40" s="191">
        <f>D41+D43+D45+D46+D47+D48+D42+D44</f>
        <v>2208.7331799999997</v>
      </c>
      <c r="E40" s="5">
        <f t="shared" si="0"/>
        <v>38.803332479287519</v>
      </c>
      <c r="F40" s="5">
        <f t="shared" si="1"/>
        <v>-3483.3892199999996</v>
      </c>
      <c r="G40" s="19"/>
    </row>
    <row r="41" spans="1:7">
      <c r="A41" s="16">
        <v>2021000000</v>
      </c>
      <c r="B41" s="17" t="s">
        <v>18</v>
      </c>
      <c r="C41" s="223">
        <v>2916.8</v>
      </c>
      <c r="D41" s="224">
        <v>1458.4079999999999</v>
      </c>
      <c r="E41" s="9">
        <f t="shared" si="0"/>
        <v>50.000274273176082</v>
      </c>
      <c r="F41" s="9">
        <f t="shared" si="1"/>
        <v>-1458.3920000000003</v>
      </c>
    </row>
    <row r="42" spans="1:7" ht="17.25" hidden="1" customHeight="1">
      <c r="A42" s="16">
        <v>2021500200</v>
      </c>
      <c r="B42" s="17" t="s">
        <v>227</v>
      </c>
      <c r="C42" s="223">
        <v>0</v>
      </c>
      <c r="D42" s="224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23">
        <v>2327.723</v>
      </c>
      <c r="D43" s="219">
        <v>414.16899999999998</v>
      </c>
      <c r="E43" s="9">
        <f t="shared" si="0"/>
        <v>17.792881713159169</v>
      </c>
      <c r="F43" s="9">
        <f t="shared" si="1"/>
        <v>-1913.5540000000001</v>
      </c>
    </row>
    <row r="44" spans="1:7" ht="15.75" hidden="1" customHeight="1">
      <c r="A44" s="16">
        <v>2022999910</v>
      </c>
      <c r="B44" s="18" t="s">
        <v>330</v>
      </c>
      <c r="C44" s="446">
        <v>0</v>
      </c>
      <c r="D44" s="447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20">
        <v>206.767</v>
      </c>
      <c r="D45" s="225">
        <v>103.52878</v>
      </c>
      <c r="E45" s="9">
        <f t="shared" si="0"/>
        <v>50.070262662804019</v>
      </c>
      <c r="F45" s="9">
        <f t="shared" si="1"/>
        <v>-103.23822</v>
      </c>
    </row>
    <row r="46" spans="1:7" ht="20.25" customHeight="1">
      <c r="A46" s="16">
        <v>2024000000</v>
      </c>
      <c r="B46" s="17" t="s">
        <v>21</v>
      </c>
      <c r="C46" s="220">
        <v>62.905000000000001</v>
      </c>
      <c r="D46" s="226">
        <v>54.7</v>
      </c>
      <c r="E46" s="9">
        <f t="shared" si="0"/>
        <v>86.956521739130437</v>
      </c>
      <c r="F46" s="9">
        <f t="shared" si="1"/>
        <v>-8.2049999999999983</v>
      </c>
    </row>
    <row r="47" spans="1:7" ht="20.25" customHeight="1">
      <c r="A47" s="7">
        <v>2070500010</v>
      </c>
      <c r="B47" s="17" t="s">
        <v>337</v>
      </c>
      <c r="C47" s="220">
        <v>177.92740000000001</v>
      </c>
      <c r="D47" s="226">
        <v>177.92740000000001</v>
      </c>
      <c r="E47" s="9">
        <f t="shared" si="0"/>
        <v>100</v>
      </c>
      <c r="F47" s="9">
        <f t="shared" si="1"/>
        <v>0</v>
      </c>
    </row>
    <row r="48" spans="1:7" ht="22.5" customHeight="1">
      <c r="A48" s="7">
        <v>2190500005</v>
      </c>
      <c r="B48" s="11" t="s">
        <v>23</v>
      </c>
      <c r="C48" s="221"/>
      <c r="D48" s="221"/>
      <c r="E48" s="5"/>
      <c r="F48" s="5">
        <f>SUM(D48-C48)</f>
        <v>0</v>
      </c>
    </row>
    <row r="49" spans="1:8" s="6" customFormat="1" ht="20.25" customHeight="1">
      <c r="A49" s="3">
        <v>3000000000</v>
      </c>
      <c r="B49" s="13" t="s">
        <v>24</v>
      </c>
      <c r="C49" s="227">
        <v>0</v>
      </c>
      <c r="D49" s="221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50">
        <f>C39+C40</f>
        <v>10540.652399999999</v>
      </c>
      <c r="D50" s="248">
        <f>D39+D40</f>
        <v>4194.4898400000002</v>
      </c>
      <c r="E50" s="191">
        <f t="shared" si="0"/>
        <v>39.79345566883508</v>
      </c>
      <c r="F50" s="93">
        <f t="shared" si="1"/>
        <v>-6346.1625599999988</v>
      </c>
      <c r="G50" s="149"/>
      <c r="H50" s="197"/>
    </row>
    <row r="51" spans="1:8" s="6" customFormat="1">
      <c r="A51" s="3"/>
      <c r="B51" s="21" t="s">
        <v>306</v>
      </c>
      <c r="C51" s="93">
        <f>C50-C97</f>
        <v>-802.89474999999948</v>
      </c>
      <c r="D51" s="93">
        <f>D50-D97</f>
        <v>684.77671000000009</v>
      </c>
      <c r="E51" s="32"/>
      <c r="F51" s="32"/>
    </row>
    <row r="52" spans="1:8">
      <c r="A52" s="23"/>
      <c r="B52" s="24"/>
      <c r="C52" s="215"/>
      <c r="D52" s="215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405</v>
      </c>
      <c r="D53" s="73" t="s">
        <v>418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1979.9490000000001</v>
      </c>
      <c r="D55" s="32">
        <f>D56+D57+D58+D59+D60+D62+D61</f>
        <v>814.57479999999998</v>
      </c>
      <c r="E55" s="34">
        <f>SUM(D55/C55*100)</f>
        <v>41.141201111745808</v>
      </c>
      <c r="F55" s="34">
        <f>SUM(D55-C55)</f>
        <v>-1165.3742000000002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1768.4</v>
      </c>
      <c r="D57" s="37">
        <v>757.07479999999998</v>
      </c>
      <c r="E57" s="38">
        <f t="shared" ref="E57:E69" si="3">SUM(D57/C57*100)</f>
        <v>42.811287039131415</v>
      </c>
      <c r="F57" s="38">
        <f t="shared" ref="F57:F69" si="4">SUM(D57-C57)</f>
        <v>-1011.3252000000001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5.75" customHeight="1">
      <c r="A60" s="35" t="s">
        <v>37</v>
      </c>
      <c r="B60" s="39" t="s">
        <v>38</v>
      </c>
      <c r="C60" s="37">
        <v>13.68</v>
      </c>
      <c r="D60" s="37">
        <v>0</v>
      </c>
      <c r="E60" s="38">
        <f t="shared" si="3"/>
        <v>0</v>
      </c>
      <c r="F60" s="38">
        <f t="shared" si="4"/>
        <v>-13.68</v>
      </c>
    </row>
    <row r="61" spans="1:8" ht="17.25" customHeight="1">
      <c r="A61" s="35" t="s">
        <v>39</v>
      </c>
      <c r="B61" s="39" t="s">
        <v>40</v>
      </c>
      <c r="C61" s="37">
        <v>100</v>
      </c>
      <c r="D61" s="32">
        <v>0</v>
      </c>
      <c r="E61" s="38">
        <f t="shared" si="3"/>
        <v>0</v>
      </c>
      <c r="F61" s="38">
        <f t="shared" si="4"/>
        <v>-100</v>
      </c>
    </row>
    <row r="62" spans="1:8" ht="15" customHeight="1">
      <c r="A62" s="35" t="s">
        <v>41</v>
      </c>
      <c r="B62" s="39" t="s">
        <v>42</v>
      </c>
      <c r="C62" s="37">
        <v>97.869</v>
      </c>
      <c r="D62" s="37">
        <v>57.5</v>
      </c>
      <c r="E62" s="38">
        <f t="shared" si="3"/>
        <v>58.752005231482897</v>
      </c>
      <c r="F62" s="38">
        <f t="shared" si="4"/>
        <v>-40.369</v>
      </c>
    </row>
    <row r="63" spans="1:8" s="6" customFormat="1">
      <c r="A63" s="41" t="s">
        <v>43</v>
      </c>
      <c r="B63" s="42" t="s">
        <v>44</v>
      </c>
      <c r="C63" s="32">
        <f>C64</f>
        <v>206.767</v>
      </c>
      <c r="D63" s="32">
        <f>D64</f>
        <v>88.275919999999999</v>
      </c>
      <c r="E63" s="34">
        <f t="shared" si="3"/>
        <v>42.693427868083397</v>
      </c>
      <c r="F63" s="34">
        <f t="shared" si="4"/>
        <v>-118.49108</v>
      </c>
    </row>
    <row r="64" spans="1:8">
      <c r="A64" s="43" t="s">
        <v>45</v>
      </c>
      <c r="B64" s="44" t="s">
        <v>46</v>
      </c>
      <c r="C64" s="37">
        <v>206.767</v>
      </c>
      <c r="D64" s="37">
        <v>88.275919999999999</v>
      </c>
      <c r="E64" s="38">
        <f t="shared" si="3"/>
        <v>42.693427868083397</v>
      </c>
      <c r="F64" s="38">
        <f t="shared" si="4"/>
        <v>-118.49108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15</v>
      </c>
      <c r="D65" s="32">
        <f>SUM(D68+D69+D70)</f>
        <v>4.0114799999999997</v>
      </c>
      <c r="E65" s="34">
        <f t="shared" si="3"/>
        <v>26.743200000000002</v>
      </c>
      <c r="F65" s="34">
        <f t="shared" si="4"/>
        <v>-10.988520000000001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2.81148</v>
      </c>
      <c r="E68" s="34">
        <f t="shared" si="3"/>
        <v>93.715999999999994</v>
      </c>
      <c r="F68" s="34">
        <f t="shared" si="4"/>
        <v>-0.18852000000000002</v>
      </c>
    </row>
    <row r="69" spans="1:7" s="6" customFormat="1" ht="15.75" customHeight="1">
      <c r="A69" s="46" t="s">
        <v>214</v>
      </c>
      <c r="B69" s="47" t="s">
        <v>215</v>
      </c>
      <c r="C69" s="37">
        <v>10</v>
      </c>
      <c r="D69" s="37">
        <v>1.2</v>
      </c>
      <c r="E69" s="38">
        <f t="shared" si="3"/>
        <v>12</v>
      </c>
      <c r="F69" s="38">
        <f t="shared" si="4"/>
        <v>-8.8000000000000007</v>
      </c>
    </row>
    <row r="70" spans="1:7" s="6" customFormat="1" ht="15.75" customHeight="1">
      <c r="A70" s="46" t="s">
        <v>338</v>
      </c>
      <c r="B70" s="47" t="s">
        <v>392</v>
      </c>
      <c r="C70" s="37">
        <v>2</v>
      </c>
      <c r="D70" s="37">
        <v>0</v>
      </c>
      <c r="E70" s="38">
        <f>SUM(D70/C70*100)</f>
        <v>0</v>
      </c>
      <c r="F70" s="38">
        <f>SUM(D70-C70)</f>
        <v>-2</v>
      </c>
    </row>
    <row r="71" spans="1:7">
      <c r="A71" s="30" t="s">
        <v>55</v>
      </c>
      <c r="B71" s="31" t="s">
        <v>56</v>
      </c>
      <c r="C71" s="48">
        <f>SUM(C72:C75)</f>
        <v>3678.1931500000001</v>
      </c>
      <c r="D71" s="48">
        <f>SUM(D72:D75)</f>
        <v>769.35564999999997</v>
      </c>
      <c r="E71" s="34">
        <f t="shared" ref="E71:E86" si="5">SUM(D71/C71*100)</f>
        <v>20.916673448755674</v>
      </c>
      <c r="F71" s="34">
        <f t="shared" ref="F71:F86" si="6">SUM(D71-C71)</f>
        <v>-2908.8375000000001</v>
      </c>
    </row>
    <row r="72" spans="1:7" s="6" customFormat="1" ht="17.25" customHeight="1">
      <c r="A72" s="35" t="s">
        <v>57</v>
      </c>
      <c r="B72" s="39" t="s">
        <v>58</v>
      </c>
      <c r="C72" s="49"/>
      <c r="D72" s="37">
        <v>0</v>
      </c>
      <c r="E72" s="38" t="e">
        <f t="shared" si="5"/>
        <v>#DIV/0!</v>
      </c>
      <c r="F72" s="38">
        <f t="shared" si="6"/>
        <v>0</v>
      </c>
      <c r="G72" s="50"/>
    </row>
    <row r="73" spans="1:7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3078.1931500000001</v>
      </c>
      <c r="D74" s="37">
        <v>713.85564999999997</v>
      </c>
      <c r="E74" s="38">
        <f t="shared" si="5"/>
        <v>23.190736097895609</v>
      </c>
      <c r="F74" s="38">
        <f t="shared" si="6"/>
        <v>-2364.3375000000001</v>
      </c>
    </row>
    <row r="75" spans="1:7" s="6" customFormat="1">
      <c r="A75" s="35" t="s">
        <v>63</v>
      </c>
      <c r="B75" s="39" t="s">
        <v>64</v>
      </c>
      <c r="C75" s="49">
        <v>600</v>
      </c>
      <c r="D75" s="37">
        <v>55.5</v>
      </c>
      <c r="E75" s="38">
        <f t="shared" si="5"/>
        <v>9.25</v>
      </c>
      <c r="F75" s="38">
        <f t="shared" si="6"/>
        <v>-544.5</v>
      </c>
    </row>
    <row r="76" spans="1:7" ht="17.25" customHeight="1">
      <c r="A76" s="30" t="s">
        <v>65</v>
      </c>
      <c r="B76" s="31" t="s">
        <v>66</v>
      </c>
      <c r="C76" s="32">
        <f>SUM(C77:C79)</f>
        <v>3296.4380000000001</v>
      </c>
      <c r="D76" s="32">
        <f>SUM(D77:D79)</f>
        <v>790.89328</v>
      </c>
      <c r="E76" s="34">
        <f t="shared" si="5"/>
        <v>23.992360238536261</v>
      </c>
      <c r="F76" s="34">
        <f t="shared" si="6"/>
        <v>-2505.5447199999999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5.75" customHeight="1">
      <c r="A78" s="35" t="s">
        <v>69</v>
      </c>
      <c r="B78" s="51" t="s">
        <v>70</v>
      </c>
      <c r="C78" s="37">
        <v>1392.3309999999999</v>
      </c>
      <c r="D78" s="37">
        <v>439.47534999999999</v>
      </c>
      <c r="E78" s="38">
        <f t="shared" si="5"/>
        <v>31.563999508737506</v>
      </c>
      <c r="F78" s="38">
        <f t="shared" si="6"/>
        <v>-952.85564999999997</v>
      </c>
    </row>
    <row r="79" spans="1:7" s="6" customFormat="1">
      <c r="A79" s="35" t="s">
        <v>71</v>
      </c>
      <c r="B79" s="39" t="s">
        <v>72</v>
      </c>
      <c r="C79" s="37">
        <v>1904.107</v>
      </c>
      <c r="D79" s="37">
        <v>351.41793000000001</v>
      </c>
      <c r="E79" s="38">
        <f t="shared" si="5"/>
        <v>18.455786885926052</v>
      </c>
      <c r="F79" s="38">
        <f t="shared" si="6"/>
        <v>-1552.6890699999999</v>
      </c>
    </row>
    <row r="80" spans="1:7">
      <c r="A80" s="30" t="s">
        <v>83</v>
      </c>
      <c r="B80" s="31" t="s">
        <v>84</v>
      </c>
      <c r="C80" s="32">
        <f>C81</f>
        <v>2117.1999999999998</v>
      </c>
      <c r="D80" s="32">
        <f>D81</f>
        <v>1042.6020000000001</v>
      </c>
      <c r="E80" s="34">
        <f t="shared" si="5"/>
        <v>49.244379368977903</v>
      </c>
      <c r="F80" s="34">
        <f t="shared" si="6"/>
        <v>-1074.5979999999997</v>
      </c>
    </row>
    <row r="81" spans="1:6" s="6" customFormat="1" ht="15" customHeight="1">
      <c r="A81" s="35" t="s">
        <v>85</v>
      </c>
      <c r="B81" s="39" t="s">
        <v>229</v>
      </c>
      <c r="C81" s="37">
        <v>2117.1999999999998</v>
      </c>
      <c r="D81" s="37">
        <v>1042.6020000000001</v>
      </c>
      <c r="E81" s="38">
        <f t="shared" si="5"/>
        <v>49.244379368977903</v>
      </c>
      <c r="F81" s="38">
        <f t="shared" si="6"/>
        <v>-1074.5979999999997</v>
      </c>
    </row>
    <row r="82" spans="1:6" ht="20.2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87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89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90</v>
      </c>
      <c r="B86" s="39" t="s">
        <v>91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92</v>
      </c>
      <c r="B87" s="31" t="s">
        <v>93</v>
      </c>
      <c r="C87" s="32">
        <f>C88+C89+C90+C91+C92</f>
        <v>50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-50</v>
      </c>
    </row>
    <row r="88" spans="1:6" ht="15.75" customHeight="1">
      <c r="A88" s="35" t="s">
        <v>94</v>
      </c>
      <c r="B88" s="39" t="s">
        <v>95</v>
      </c>
      <c r="C88" s="37">
        <v>50</v>
      </c>
      <c r="D88" s="37">
        <v>0</v>
      </c>
      <c r="E88" s="38">
        <f t="shared" si="7"/>
        <v>0</v>
      </c>
      <c r="F88" s="38">
        <f>SUM(D88-C88)</f>
        <v>-50</v>
      </c>
    </row>
    <row r="89" spans="1:6" ht="15" hidden="1" customHeight="1">
      <c r="A89" s="35" t="s">
        <v>96</v>
      </c>
      <c r="B89" s="39" t="s">
        <v>97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98</v>
      </c>
      <c r="B90" s="39" t="s">
        <v>99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102</v>
      </c>
      <c r="B92" s="39" t="s">
        <v>103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113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114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115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116</v>
      </c>
      <c r="C97" s="250">
        <f>C55+C63+C65+C71+C76+C80+C82+C87+C93</f>
        <v>11343.547149999999</v>
      </c>
      <c r="D97" s="250">
        <f>D55+D63+D65+D71+D76+D80+D82+D87+D93</f>
        <v>3509.7131300000001</v>
      </c>
      <c r="E97" s="34">
        <f t="shared" si="7"/>
        <v>30.940173153862201</v>
      </c>
      <c r="F97" s="34">
        <f>SUM(D97-C97)</f>
        <v>-7833.8340199999984</v>
      </c>
    </row>
    <row r="98" spans="1:6" s="65" customFormat="1" ht="22.5" customHeight="1">
      <c r="A98" s="63" t="s">
        <v>117</v>
      </c>
      <c r="B98" s="63"/>
      <c r="C98" s="182"/>
      <c r="D98" s="182"/>
    </row>
    <row r="99" spans="1:6" ht="16.5" customHeight="1">
      <c r="A99" s="66" t="s">
        <v>118</v>
      </c>
      <c r="B99" s="66"/>
      <c r="C99" s="182" t="s">
        <v>119</v>
      </c>
      <c r="D99" s="182"/>
      <c r="E99" s="65"/>
      <c r="F99" s="65"/>
    </row>
    <row r="100" spans="1:6" ht="20.25" customHeight="1">
      <c r="C100" s="119"/>
    </row>
    <row r="101" spans="1:6" ht="13.5" customHeight="1"/>
    <row r="102" spans="1:6" ht="5.25" customHeight="1"/>
    <row r="142" hidden="1"/>
  </sheetData>
  <customSheetViews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1"/>
    </customSheetView>
    <customSheetView guid="{B31C8DB7-3E78-4144-A6B5-8DE36DE63F0E}" hiddenRows="1" topLeftCell="A31">
      <selection activeCell="D57" sqref="D57"/>
      <pageMargins left="0.7" right="0.7" top="0.75" bottom="0.75" header="0.3" footer="0.3"/>
      <pageSetup paperSize="9" scale="54" orientation="portrait" r:id="rId2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3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61528DAC-5C4C-48F4-ADE2-8A724B05A086}" scale="70" showPageBreaks="1" hiddenRows="1" view="pageBreakPreview" topLeftCell="A28">
      <selection activeCell="D60" sqref="D60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42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38" zoomScale="7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8.140625" style="59" customWidth="1"/>
    <col min="3" max="3" width="18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425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5006.5199999999995</v>
      </c>
      <c r="D4" s="5">
        <f>D5+D12+D14+D7+D20+D17</f>
        <v>1878.1975399999999</v>
      </c>
      <c r="E4" s="5">
        <f>SUM(D4/C4*100)</f>
        <v>37.515031199316098</v>
      </c>
      <c r="F4" s="5">
        <f>SUM(D4-C4)</f>
        <v>-3128.3224599999994</v>
      </c>
    </row>
    <row r="5" spans="1:6" s="6" customFormat="1">
      <c r="A5" s="68">
        <v>1010000000</v>
      </c>
      <c r="B5" s="67" t="s">
        <v>5</v>
      </c>
      <c r="C5" s="5">
        <f>C6</f>
        <v>1988.4</v>
      </c>
      <c r="D5" s="5">
        <f>D6</f>
        <v>935.90695000000005</v>
      </c>
      <c r="E5" s="5">
        <f t="shared" ref="E5:E51" si="0">SUM(D5/C5*100)</f>
        <v>47.068343894588615</v>
      </c>
      <c r="F5" s="5">
        <f t="shared" ref="F5:F51" si="1">SUM(D5-C5)</f>
        <v>-1052.49305</v>
      </c>
    </row>
    <row r="6" spans="1:6">
      <c r="A6" s="7">
        <v>1010200001</v>
      </c>
      <c r="B6" s="8" t="s">
        <v>224</v>
      </c>
      <c r="C6" s="91">
        <v>1988.4</v>
      </c>
      <c r="D6" s="10">
        <v>935.90695000000005</v>
      </c>
      <c r="E6" s="9">
        <f t="shared" ref="E6:E11" si="2">SUM(D6/C6*100)</f>
        <v>47.068343894588615</v>
      </c>
      <c r="F6" s="9">
        <f t="shared" si="1"/>
        <v>-1052.49305</v>
      </c>
    </row>
    <row r="7" spans="1:6">
      <c r="A7" s="3">
        <v>1030200001</v>
      </c>
      <c r="B7" s="13" t="s">
        <v>264</v>
      </c>
      <c r="C7" s="5">
        <f>C8+C10+C9</f>
        <v>398.11999999999995</v>
      </c>
      <c r="D7" s="5">
        <f>D8+D9+D10+D11</f>
        <v>206.42979</v>
      </c>
      <c r="E7" s="9">
        <f t="shared" si="2"/>
        <v>51.851147895107005</v>
      </c>
      <c r="F7" s="9">
        <f t="shared" si="1"/>
        <v>-191.69020999999995</v>
      </c>
    </row>
    <row r="8" spans="1:6">
      <c r="A8" s="7">
        <v>1030223001</v>
      </c>
      <c r="B8" s="8" t="s">
        <v>268</v>
      </c>
      <c r="C8" s="9">
        <v>148.5</v>
      </c>
      <c r="D8" s="10">
        <v>93.34863</v>
      </c>
      <c r="E8" s="9">
        <f t="shared" si="2"/>
        <v>62.861030303030304</v>
      </c>
      <c r="F8" s="9">
        <f t="shared" si="1"/>
        <v>-55.15137</v>
      </c>
    </row>
    <row r="9" spans="1:6">
      <c r="A9" s="7">
        <v>1030224001</v>
      </c>
      <c r="B9" s="8" t="s">
        <v>274</v>
      </c>
      <c r="C9" s="9">
        <v>1.59</v>
      </c>
      <c r="D9" s="10">
        <v>0.70320000000000005</v>
      </c>
      <c r="E9" s="9">
        <f t="shared" si="2"/>
        <v>44.226415094339622</v>
      </c>
      <c r="F9" s="9">
        <f t="shared" si="1"/>
        <v>-0.88680000000000003</v>
      </c>
    </row>
    <row r="10" spans="1:6">
      <c r="A10" s="7">
        <v>1030225001</v>
      </c>
      <c r="B10" s="8" t="s">
        <v>267</v>
      </c>
      <c r="C10" s="9">
        <v>248.03</v>
      </c>
      <c r="D10" s="10">
        <v>129.80212</v>
      </c>
      <c r="E10" s="9">
        <f t="shared" si="2"/>
        <v>52.333233882998023</v>
      </c>
      <c r="F10" s="9">
        <f t="shared" si="1"/>
        <v>-118.22788</v>
      </c>
    </row>
    <row r="11" spans="1:6">
      <c r="A11" s="7">
        <v>1030226001</v>
      </c>
      <c r="B11" s="8" t="s">
        <v>276</v>
      </c>
      <c r="C11" s="9">
        <v>0</v>
      </c>
      <c r="D11" s="10">
        <v>-17.424160000000001</v>
      </c>
      <c r="E11" s="9" t="e">
        <f t="shared" si="2"/>
        <v>#DIV/0!</v>
      </c>
      <c r="F11" s="9">
        <f t="shared" si="1"/>
        <v>-17.424160000000001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70</v>
      </c>
      <c r="D12" s="5">
        <f>SUM(D13:D13)</f>
        <v>68.771150000000006</v>
      </c>
      <c r="E12" s="5">
        <f t="shared" si="0"/>
        <v>98.244500000000016</v>
      </c>
      <c r="F12" s="5">
        <f t="shared" si="1"/>
        <v>-1.2288499999999942</v>
      </c>
    </row>
    <row r="13" spans="1:6" ht="15.75" customHeight="1">
      <c r="A13" s="7">
        <v>1050300000</v>
      </c>
      <c r="B13" s="11" t="s">
        <v>225</v>
      </c>
      <c r="C13" s="12">
        <v>70</v>
      </c>
      <c r="D13" s="10">
        <v>68.771150000000006</v>
      </c>
      <c r="E13" s="9">
        <f t="shared" si="0"/>
        <v>98.244500000000016</v>
      </c>
      <c r="F13" s="9">
        <f t="shared" si="1"/>
        <v>-1.2288499999999942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2550</v>
      </c>
      <c r="D14" s="5">
        <f>D15+D16</f>
        <v>667.08965000000001</v>
      </c>
      <c r="E14" s="5">
        <f t="shared" si="0"/>
        <v>26.16037843137255</v>
      </c>
      <c r="F14" s="5">
        <f t="shared" si="1"/>
        <v>-1882.9103500000001</v>
      </c>
    </row>
    <row r="15" spans="1:6" s="6" customFormat="1" ht="15" customHeight="1">
      <c r="A15" s="7">
        <v>1060100000</v>
      </c>
      <c r="B15" s="11" t="s">
        <v>242</v>
      </c>
      <c r="C15" s="9">
        <v>1000</v>
      </c>
      <c r="D15" s="10">
        <v>98.697569999999999</v>
      </c>
      <c r="E15" s="9">
        <f t="shared" si="0"/>
        <v>9.8697569999999999</v>
      </c>
      <c r="F15" s="9">
        <f>SUM(D15-C15)</f>
        <v>-901.30242999999996</v>
      </c>
    </row>
    <row r="16" spans="1:6" ht="17.25" customHeight="1">
      <c r="A16" s="7">
        <v>1060600000</v>
      </c>
      <c r="B16" s="11" t="s">
        <v>7</v>
      </c>
      <c r="C16" s="9">
        <v>1550</v>
      </c>
      <c r="D16" s="10">
        <v>568.39207999999996</v>
      </c>
      <c r="E16" s="9">
        <f t="shared" si="0"/>
        <v>36.670456774193546</v>
      </c>
      <c r="F16" s="9">
        <f t="shared" si="1"/>
        <v>-981.60792000000004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223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15.584780000000002</v>
      </c>
      <c r="E25" s="5" t="e">
        <f t="shared" si="0"/>
        <v>#DIV/0!</v>
      </c>
      <c r="F25" s="5">
        <f t="shared" si="1"/>
        <v>15.584780000000002</v>
      </c>
    </row>
    <row r="26" spans="1:6" s="6" customFormat="1" ht="32.25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1130206005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4" customHeight="1">
      <c r="A31" s="70">
        <v>1140000000</v>
      </c>
      <c r="B31" s="71" t="s">
        <v>129</v>
      </c>
      <c r="C31" s="5">
        <f>C32+C33</f>
        <v>0</v>
      </c>
      <c r="D31" s="5">
        <f>D32+D33</f>
        <v>5.8322000000000003</v>
      </c>
      <c r="E31" s="5" t="e">
        <f t="shared" si="0"/>
        <v>#DIV/0!</v>
      </c>
      <c r="F31" s="5">
        <f t="shared" si="1"/>
        <v>5.8322000000000003</v>
      </c>
    </row>
    <row r="32" spans="1:6" ht="25.5" customHeight="1">
      <c r="A32" s="16">
        <v>1140200000</v>
      </c>
      <c r="B32" s="18" t="s">
        <v>130</v>
      </c>
      <c r="C32" s="9">
        <v>0</v>
      </c>
      <c r="D32" s="10">
        <v>5.8322000000000003</v>
      </c>
      <c r="E32" s="9" t="e">
        <f t="shared" si="0"/>
        <v>#DIV/0!</v>
      </c>
      <c r="F32" s="9">
        <f t="shared" si="1"/>
        <v>5.8322000000000003</v>
      </c>
    </row>
    <row r="33" spans="1:7" ht="13.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9.75" customHeight="1">
      <c r="A34" s="3">
        <v>1160000000</v>
      </c>
      <c r="B34" s="13" t="s">
        <v>240</v>
      </c>
      <c r="C34" s="5">
        <f>C35</f>
        <v>0</v>
      </c>
      <c r="D34" s="14">
        <f>D35</f>
        <v>8.5452100000000009</v>
      </c>
      <c r="E34" s="5" t="e">
        <f t="shared" si="0"/>
        <v>#DIV/0!</v>
      </c>
      <c r="F34" s="5">
        <f t="shared" si="1"/>
        <v>8.5452100000000009</v>
      </c>
    </row>
    <row r="35" spans="1:7" ht="63">
      <c r="A35" s="7">
        <v>1160700000</v>
      </c>
      <c r="B35" s="8" t="s">
        <v>411</v>
      </c>
      <c r="C35" s="9">
        <v>0</v>
      </c>
      <c r="D35" s="10">
        <v>8.5452100000000009</v>
      </c>
      <c r="E35" s="9" t="e">
        <f t="shared" si="0"/>
        <v>#DIV/0!</v>
      </c>
      <c r="F35" s="9">
        <f t="shared" si="1"/>
        <v>8.5452100000000009</v>
      </c>
    </row>
    <row r="36" spans="1:7" ht="20.25" customHeight="1">
      <c r="A36" s="3">
        <v>1170000000</v>
      </c>
      <c r="B36" s="13" t="s">
        <v>132</v>
      </c>
      <c r="C36" s="5">
        <f>C37+C38</f>
        <v>0</v>
      </c>
      <c r="D36" s="5">
        <f>D37+D38</f>
        <v>1.2073700000000001</v>
      </c>
      <c r="E36" s="5">
        <v>0</v>
      </c>
      <c r="F36" s="5">
        <f t="shared" si="1"/>
        <v>1.2073700000000001</v>
      </c>
    </row>
    <row r="37" spans="1:7" ht="15" hidden="1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216</v>
      </c>
      <c r="C38" s="9">
        <v>0</v>
      </c>
      <c r="D38" s="10">
        <v>1.2073700000000001</v>
      </c>
      <c r="E38" s="9">
        <v>0</v>
      </c>
      <c r="F38" s="9">
        <f t="shared" si="1"/>
        <v>1.2073700000000001</v>
      </c>
    </row>
    <row r="39" spans="1:7" s="6" customFormat="1" ht="18" customHeight="1">
      <c r="A39" s="3">
        <v>1000000000</v>
      </c>
      <c r="B39" s="4" t="s">
        <v>16</v>
      </c>
      <c r="C39" s="126">
        <f>SUM(C4,C25)</f>
        <v>5006.5199999999995</v>
      </c>
      <c r="D39" s="126">
        <f>D4+D25</f>
        <v>1893.7823199999998</v>
      </c>
      <c r="E39" s="5">
        <f t="shared" si="0"/>
        <v>37.82632087757564</v>
      </c>
      <c r="F39" s="5">
        <f t="shared" si="1"/>
        <v>-3112.7376799999997</v>
      </c>
    </row>
    <row r="40" spans="1:7" s="6" customFormat="1">
      <c r="A40" s="3">
        <v>2000000000</v>
      </c>
      <c r="B40" s="4" t="s">
        <v>17</v>
      </c>
      <c r="C40" s="231">
        <f>C41+C43+C45+C46+C47+C49+C42+C44+C48</f>
        <v>20547.396429999997</v>
      </c>
      <c r="D40" s="469">
        <f>D41+D43+D45+D46+D47+D49+D42+D48</f>
        <v>7490.9627599999994</v>
      </c>
      <c r="E40" s="5">
        <f t="shared" si="0"/>
        <v>36.45699242490354</v>
      </c>
      <c r="F40" s="5">
        <f t="shared" si="1"/>
        <v>-13056.433669999999</v>
      </c>
      <c r="G40" s="19"/>
    </row>
    <row r="41" spans="1:7" ht="17.25" customHeight="1">
      <c r="A41" s="16">
        <v>2021000000</v>
      </c>
      <c r="B41" s="17" t="s">
        <v>18</v>
      </c>
      <c r="C41" s="12">
        <v>8831.9</v>
      </c>
      <c r="D41" s="20">
        <v>4415.982</v>
      </c>
      <c r="E41" s="9">
        <f t="shared" si="0"/>
        <v>50.000362322942969</v>
      </c>
      <c r="F41" s="9">
        <f t="shared" si="1"/>
        <v>-4415.9179999999997</v>
      </c>
    </row>
    <row r="42" spans="1:7" ht="15" customHeight="1">
      <c r="A42" s="16">
        <v>2021500210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90">
        <v>10073.38623</v>
      </c>
      <c r="D43" s="10">
        <v>3425.1448799999998</v>
      </c>
      <c r="E43" s="9">
        <f t="shared" si="0"/>
        <v>34.001921516713253</v>
      </c>
      <c r="F43" s="9">
        <f t="shared" si="1"/>
        <v>-6648.2413500000002</v>
      </c>
    </row>
    <row r="44" spans="1:7" ht="15" hidden="1" customHeight="1">
      <c r="A44" s="16">
        <v>2022999910</v>
      </c>
      <c r="B44" s="18" t="s">
        <v>330</v>
      </c>
      <c r="C44" s="190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67.0441</v>
      </c>
      <c r="D45" s="184">
        <v>0</v>
      </c>
      <c r="E45" s="9">
        <f t="shared" si="0"/>
        <v>0</v>
      </c>
      <c r="F45" s="9">
        <f t="shared" si="1"/>
        <v>-67.0441</v>
      </c>
    </row>
    <row r="46" spans="1:7" ht="15.75" customHeight="1">
      <c r="A46" s="16">
        <v>2024000000</v>
      </c>
      <c r="B46" s="17" t="s">
        <v>21</v>
      </c>
      <c r="C46" s="12">
        <v>1521.4349999999999</v>
      </c>
      <c r="D46" s="185">
        <v>64</v>
      </c>
      <c r="E46" s="9">
        <f t="shared" si="0"/>
        <v>4.2065549957770134</v>
      </c>
      <c r="F46" s="9">
        <f t="shared" si="1"/>
        <v>-1457.4349999999999</v>
      </c>
    </row>
    <row r="47" spans="1:7" ht="17.25" customHeight="1">
      <c r="A47" s="16">
        <v>2020900000</v>
      </c>
      <c r="B47" s="18" t="s">
        <v>22</v>
      </c>
      <c r="C47" s="12"/>
      <c r="D47" s="185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283</v>
      </c>
      <c r="C48" s="12">
        <v>53.631100000000004</v>
      </c>
      <c r="D48" s="185">
        <v>53.631100000000004</v>
      </c>
      <c r="E48" s="9">
        <f>SUM(D48/C48*100)</f>
        <v>100</v>
      </c>
      <c r="F48" s="9">
        <f>SUM(D48-C48)</f>
        <v>0</v>
      </c>
    </row>
    <row r="49" spans="1:7" ht="14.25" customHeight="1">
      <c r="A49" s="7">
        <v>2190500005</v>
      </c>
      <c r="B49" s="11" t="s">
        <v>23</v>
      </c>
      <c r="C49" s="14">
        <v>0</v>
      </c>
      <c r="D49" s="14">
        <v>-467.79521999999997</v>
      </c>
      <c r="E49" s="9" t="e">
        <f>SUM(D49/C49*100)</f>
        <v>#DIV/0!</v>
      </c>
      <c r="F49" s="9">
        <f>SUM(D49-C49)</f>
        <v>-467.79521999999997</v>
      </c>
    </row>
    <row r="50" spans="1:7" s="6" customFormat="1" ht="14.25" customHeight="1">
      <c r="A50" s="3">
        <v>3000000000</v>
      </c>
      <c r="B50" s="13" t="s">
        <v>24</v>
      </c>
      <c r="C50" s="188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7">
        <f>SUM(C39+C40)</f>
        <v>25553.916429999997</v>
      </c>
      <c r="D51" s="248">
        <f>D39+D40</f>
        <v>9384.7450799999988</v>
      </c>
      <c r="E51" s="93">
        <f t="shared" si="0"/>
        <v>36.72527107814448</v>
      </c>
      <c r="F51" s="93">
        <f t="shared" si="1"/>
        <v>-16169.171349999999</v>
      </c>
      <c r="G51" s="149">
        <f>18968.9976-D51</f>
        <v>9584.25252</v>
      </c>
    </row>
    <row r="52" spans="1:7" s="6" customFormat="1" ht="23.25" customHeight="1">
      <c r="A52" s="3"/>
      <c r="B52" s="21" t="s">
        <v>306</v>
      </c>
      <c r="C52" s="93">
        <f>C51-C98</f>
        <v>-298.49823000000106</v>
      </c>
      <c r="D52" s="93">
        <f>D51-D98</f>
        <v>-601.77980000000207</v>
      </c>
      <c r="E52" s="192"/>
      <c r="F52" s="192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405</v>
      </c>
      <c r="D54" s="73" t="s">
        <v>418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2536.1539999999995</v>
      </c>
      <c r="D56" s="33">
        <f>D57+D58+D59+D60+D61+D63+D62</f>
        <v>1230.3577399999999</v>
      </c>
      <c r="E56" s="34">
        <f>SUM(D56/C56*100)</f>
        <v>48.512737791159374</v>
      </c>
      <c r="F56" s="34">
        <f>SUM(D56-C56)</f>
        <v>-1305.7962599999996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7">
        <v>2153.6999999999998</v>
      </c>
      <c r="D58" s="37">
        <v>1077.3577399999999</v>
      </c>
      <c r="E58" s="38">
        <f t="shared" ref="E58:E98" si="3">SUM(D58/C58*100)</f>
        <v>50.023575242605745</v>
      </c>
      <c r="F58" s="38">
        <f t="shared" ref="F58:F98" si="4">SUM(D58-C58)</f>
        <v>-1076.3422599999999</v>
      </c>
    </row>
    <row r="59" spans="1:7" ht="1.5" hidden="1" customHeight="1">
      <c r="A59" s="35" t="s">
        <v>33</v>
      </c>
      <c r="B59" s="39" t="s">
        <v>34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 ht="17.25" customHeight="1">
      <c r="A61" s="35" t="s">
        <v>37</v>
      </c>
      <c r="B61" s="39" t="s">
        <v>38</v>
      </c>
      <c r="C61" s="97">
        <v>30.56</v>
      </c>
      <c r="D61" s="37">
        <v>0</v>
      </c>
      <c r="E61" s="38">
        <f t="shared" si="3"/>
        <v>0</v>
      </c>
      <c r="F61" s="38">
        <f t="shared" si="4"/>
        <v>-30.56</v>
      </c>
    </row>
    <row r="62" spans="1:7" ht="18" customHeight="1">
      <c r="A62" s="35" t="s">
        <v>39</v>
      </c>
      <c r="B62" s="39" t="s">
        <v>40</v>
      </c>
      <c r="C62" s="147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7" ht="15.75" customHeight="1">
      <c r="A63" s="35" t="s">
        <v>41</v>
      </c>
      <c r="B63" s="39" t="s">
        <v>42</v>
      </c>
      <c r="C63" s="97">
        <v>251.89400000000001</v>
      </c>
      <c r="D63" s="37">
        <v>153</v>
      </c>
      <c r="E63" s="38">
        <f t="shared" si="3"/>
        <v>60.739835009964501</v>
      </c>
      <c r="F63" s="38">
        <f t="shared" si="4"/>
        <v>-98.894000000000005</v>
      </c>
    </row>
    <row r="64" spans="1:7" s="6" customFormat="1" ht="15.75" hidden="1" customHeight="1">
      <c r="A64" s="41" t="s">
        <v>43</v>
      </c>
      <c r="B64" s="42" t="s">
        <v>44</v>
      </c>
      <c r="C64" s="148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8">
        <f>C69+C70+C71</f>
        <v>105</v>
      </c>
      <c r="D66" s="148">
        <f>SUM(D69+D70+D71)</f>
        <v>7.55</v>
      </c>
      <c r="E66" s="34">
        <f t="shared" si="3"/>
        <v>7.1904761904761898</v>
      </c>
      <c r="F66" s="34">
        <f t="shared" si="4"/>
        <v>-97.45</v>
      </c>
    </row>
    <row r="67" spans="1:7" ht="3.75" hidden="1" customHeight="1">
      <c r="A67" s="35" t="s">
        <v>49</v>
      </c>
      <c r="B67" s="39" t="s">
        <v>50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214</v>
      </c>
      <c r="B70" s="47" t="s">
        <v>215</v>
      </c>
      <c r="C70" s="97">
        <v>100</v>
      </c>
      <c r="D70" s="37">
        <v>7.55</v>
      </c>
      <c r="E70" s="34">
        <f t="shared" si="3"/>
        <v>7.55</v>
      </c>
      <c r="F70" s="34">
        <f t="shared" si="4"/>
        <v>-92.45</v>
      </c>
    </row>
    <row r="71" spans="1:7" ht="17.25" customHeight="1">
      <c r="A71" s="46" t="s">
        <v>338</v>
      </c>
      <c r="B71" s="47" t="s">
        <v>393</v>
      </c>
      <c r="C71" s="97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1347.33233</v>
      </c>
      <c r="D72" s="48">
        <f>SUM(D73:D76)</f>
        <v>359.82299999999998</v>
      </c>
      <c r="E72" s="34">
        <f t="shared" si="3"/>
        <v>26.706328645732118</v>
      </c>
      <c r="F72" s="34">
        <f t="shared" si="4"/>
        <v>-987.50932999999998</v>
      </c>
    </row>
    <row r="73" spans="1:7" ht="15" customHeight="1">
      <c r="A73" s="35" t="s">
        <v>57</v>
      </c>
      <c r="B73" s="39" t="s">
        <v>58</v>
      </c>
      <c r="C73" s="49">
        <v>67.0441</v>
      </c>
      <c r="D73" s="37">
        <v>0</v>
      </c>
      <c r="E73" s="38">
        <f t="shared" si="3"/>
        <v>0</v>
      </c>
      <c r="F73" s="38">
        <f t="shared" si="4"/>
        <v>-67.0441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980.28823</v>
      </c>
      <c r="D75" s="37">
        <v>264.43299999999999</v>
      </c>
      <c r="E75" s="38">
        <f t="shared" si="3"/>
        <v>26.975025498367966</v>
      </c>
      <c r="F75" s="38">
        <f t="shared" si="4"/>
        <v>-715.85523000000001</v>
      </c>
    </row>
    <row r="76" spans="1:7" ht="18" customHeight="1">
      <c r="A76" s="35" t="s">
        <v>63</v>
      </c>
      <c r="B76" s="39" t="s">
        <v>64</v>
      </c>
      <c r="C76" s="49">
        <v>300</v>
      </c>
      <c r="D76" s="37">
        <v>95.39</v>
      </c>
      <c r="E76" s="38">
        <f t="shared" si="3"/>
        <v>31.796666666666667</v>
      </c>
      <c r="F76" s="38">
        <f t="shared" si="4"/>
        <v>-204.61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15628.12833</v>
      </c>
      <c r="D77" s="32">
        <f>D78+D79+D80+D83</f>
        <v>5945.8941400000003</v>
      </c>
      <c r="E77" s="34">
        <f t="shared" si="3"/>
        <v>38.046105166580752</v>
      </c>
      <c r="F77" s="34">
        <f t="shared" si="4"/>
        <v>-9682.2341899999992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700</v>
      </c>
      <c r="D79" s="37">
        <v>700</v>
      </c>
      <c r="E79" s="38">
        <f t="shared" si="3"/>
        <v>100</v>
      </c>
      <c r="F79" s="38">
        <f t="shared" si="4"/>
        <v>0</v>
      </c>
    </row>
    <row r="80" spans="1:7" ht="17.25" customHeight="1">
      <c r="A80" s="35" t="s">
        <v>71</v>
      </c>
      <c r="B80" s="39" t="s">
        <v>72</v>
      </c>
      <c r="C80" s="37">
        <v>14928.12833</v>
      </c>
      <c r="D80" s="37">
        <v>5245.8941400000003</v>
      </c>
      <c r="E80" s="38">
        <f t="shared" si="3"/>
        <v>35.141003775119614</v>
      </c>
      <c r="F80" s="38">
        <f t="shared" si="4"/>
        <v>-9682.2341899999992</v>
      </c>
    </row>
    <row r="81" spans="1:6" s="6" customFormat="1" ht="18.75" customHeight="1">
      <c r="A81" s="30" t="s">
        <v>83</v>
      </c>
      <c r="B81" s="31" t="s">
        <v>84</v>
      </c>
      <c r="C81" s="32">
        <f>C82</f>
        <v>6185.8</v>
      </c>
      <c r="D81" s="32">
        <f>D82</f>
        <v>2442.9</v>
      </c>
      <c r="E81" s="38">
        <f t="shared" si="3"/>
        <v>39.492062465647123</v>
      </c>
      <c r="F81" s="38">
        <f t="shared" si="4"/>
        <v>-3742.9</v>
      </c>
    </row>
    <row r="82" spans="1:6" ht="19.5" customHeight="1">
      <c r="A82" s="35" t="s">
        <v>85</v>
      </c>
      <c r="B82" s="39" t="s">
        <v>229</v>
      </c>
      <c r="C82" s="37">
        <v>6185.8</v>
      </c>
      <c r="D82" s="37">
        <v>2442.9</v>
      </c>
      <c r="E82" s="38">
        <f t="shared" si="3"/>
        <v>39.492062465647123</v>
      </c>
      <c r="F82" s="38">
        <f t="shared" si="4"/>
        <v>-3742.9</v>
      </c>
    </row>
    <row r="83" spans="1:6" ht="15" hidden="1" customHeight="1">
      <c r="A83" s="35" t="s">
        <v>251</v>
      </c>
      <c r="B83" s="39" t="s">
        <v>252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89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92</v>
      </c>
      <c r="B89" s="31" t="s">
        <v>93</v>
      </c>
      <c r="C89" s="32">
        <f>C90+C91+C92+C93+C94</f>
        <v>50</v>
      </c>
      <c r="D89" s="32">
        <f>D90+D91+D92+D93+D94</f>
        <v>0</v>
      </c>
      <c r="E89" s="38">
        <f t="shared" si="3"/>
        <v>0</v>
      </c>
      <c r="F89" s="22">
        <f>F90+F91+F92+F93+F94</f>
        <v>-50</v>
      </c>
    </row>
    <row r="90" spans="1:6" ht="15.75" customHeight="1">
      <c r="A90" s="35" t="s">
        <v>94</v>
      </c>
      <c r="B90" s="39" t="s">
        <v>95</v>
      </c>
      <c r="C90" s="37">
        <v>50</v>
      </c>
      <c r="D90" s="37">
        <v>0</v>
      </c>
      <c r="E90" s="38">
        <f t="shared" si="3"/>
        <v>0</v>
      </c>
      <c r="F90" s="38">
        <f>SUM(D90-C90)</f>
        <v>-50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112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114</v>
      </c>
      <c r="C96" s="173"/>
      <c r="D96" s="174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116</v>
      </c>
      <c r="C98" s="250">
        <f>C56+C72+C77+C84+C89+C95+C66+C81</f>
        <v>25852.414659999999</v>
      </c>
      <c r="D98" s="250">
        <f>SUM(D56+D66+D72+D77+D81+D89)</f>
        <v>9986.5248800000008</v>
      </c>
      <c r="E98" s="34">
        <f t="shared" si="3"/>
        <v>38.628983061499454</v>
      </c>
      <c r="F98" s="34">
        <f t="shared" si="4"/>
        <v>-15865.889779999998</v>
      </c>
      <c r="G98" s="197"/>
    </row>
    <row r="99" spans="1:7" ht="20.25" customHeight="1">
      <c r="D99" s="179"/>
    </row>
    <row r="100" spans="1:7" s="65" customFormat="1" ht="13.5" customHeight="1">
      <c r="A100" s="63" t="s">
        <v>117</v>
      </c>
      <c r="B100" s="63"/>
      <c r="C100" s="118"/>
      <c r="D100" s="64"/>
    </row>
    <row r="101" spans="1:7" s="65" customFormat="1" ht="12.75">
      <c r="A101" s="66" t="s">
        <v>118</v>
      </c>
      <c r="B101" s="66"/>
      <c r="C101" s="133" t="s">
        <v>119</v>
      </c>
      <c r="D101" s="133"/>
    </row>
    <row r="102" spans="1:7" ht="5.25" customHeight="1"/>
    <row r="142" hidden="1"/>
  </sheetData>
  <customSheetViews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1"/>
    </customSheetView>
    <customSheetView guid="{B31C8DB7-3E78-4144-A6B5-8DE36DE63F0E}" showPageBreaks="1" printArea="1" hiddenRows="1" topLeftCell="A13">
      <selection activeCell="D97" sqref="D97"/>
      <pageMargins left="0.7" right="0.7" top="0.75" bottom="0.75" header="0.3" footer="0.3"/>
      <pageSetup paperSize="9" scale="50" orientation="portrait" r:id="rId2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3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5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7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61528DAC-5C4C-48F4-ADE2-8A724B05A086}" scale="70" showPageBreaks="1" printArea="1" hiddenRows="1" view="pageBreakPreview" topLeftCell="A43">
      <selection activeCell="D70" sqref="D70"/>
      <pageMargins left="0.70866141732283472" right="0.70866141732283472" top="0.74803149606299213" bottom="0.74803149606299213" header="0.31496062992125984" footer="0.31496062992125984"/>
      <pageSetup paperSize="9" scale="59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41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39" zoomScale="70" zoomScaleSheetLayoutView="86" workbookViewId="0">
      <selection activeCell="D94" sqref="D94"/>
    </sheetView>
  </sheetViews>
  <sheetFormatPr defaultRowHeight="15.75"/>
  <cols>
    <col min="1" max="1" width="14.7109375" style="58" customWidth="1"/>
    <col min="2" max="2" width="57.5703125" style="59" customWidth="1"/>
    <col min="3" max="3" width="19.570312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30" t="s">
        <v>426</v>
      </c>
      <c r="B1" s="530"/>
      <c r="C1" s="530"/>
      <c r="D1" s="530"/>
      <c r="E1" s="530"/>
      <c r="F1" s="530"/>
    </row>
    <row r="2" spans="1:6">
      <c r="A2" s="530"/>
      <c r="B2" s="530"/>
      <c r="C2" s="530"/>
      <c r="D2" s="530"/>
      <c r="E2" s="530"/>
      <c r="F2" s="530"/>
    </row>
    <row r="3" spans="1:6" ht="63">
      <c r="A3" s="2" t="s">
        <v>0</v>
      </c>
      <c r="B3" s="2" t="s">
        <v>1</v>
      </c>
      <c r="C3" s="72" t="s">
        <v>405</v>
      </c>
      <c r="D3" s="73" t="s">
        <v>418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5874.35</v>
      </c>
      <c r="D4" s="5">
        <f>D5+D12+D14+D17+D20+D7</f>
        <v>2031.5521799999997</v>
      </c>
      <c r="E4" s="5">
        <f>SUM(D4/C4*100)</f>
        <v>34.583437827163849</v>
      </c>
      <c r="F4" s="5">
        <f>SUM(D4-C4)</f>
        <v>-3842.7978200000007</v>
      </c>
    </row>
    <row r="5" spans="1:6" s="6" customFormat="1">
      <c r="A5" s="68">
        <v>1010000000</v>
      </c>
      <c r="B5" s="67" t="s">
        <v>5</v>
      </c>
      <c r="C5" s="5">
        <f>C6</f>
        <v>1697.1</v>
      </c>
      <c r="D5" s="5">
        <f>D6</f>
        <v>795.86864000000003</v>
      </c>
      <c r="E5" s="5">
        <f t="shared" ref="E5:E52" si="0">SUM(D5/C5*100)</f>
        <v>46.895801072417662</v>
      </c>
      <c r="F5" s="5">
        <f t="shared" ref="F5:F52" si="1">SUM(D5-C5)</f>
        <v>-901.23135999999988</v>
      </c>
    </row>
    <row r="6" spans="1:6">
      <c r="A6" s="7">
        <v>1010200001</v>
      </c>
      <c r="B6" s="8" t="s">
        <v>224</v>
      </c>
      <c r="C6" s="9">
        <v>1697.1</v>
      </c>
      <c r="D6" s="10">
        <v>795.86864000000003</v>
      </c>
      <c r="E6" s="9">
        <f t="shared" ref="E6:E11" si="2">SUM(D6/C6*100)</f>
        <v>46.895801072417662</v>
      </c>
      <c r="F6" s="9">
        <f t="shared" si="1"/>
        <v>-901.23135999999988</v>
      </c>
    </row>
    <row r="7" spans="1:6" ht="31.5">
      <c r="A7" s="3">
        <v>1030000000</v>
      </c>
      <c r="B7" s="13" t="s">
        <v>266</v>
      </c>
      <c r="C7" s="5">
        <f>C8+C10+C9</f>
        <v>749.25</v>
      </c>
      <c r="D7" s="5">
        <f>D8+D10+D9+D11</f>
        <v>388.49833000000001</v>
      </c>
      <c r="E7" s="9">
        <f t="shared" si="2"/>
        <v>51.851628962295628</v>
      </c>
      <c r="F7" s="9">
        <f t="shared" si="1"/>
        <v>-360.75166999999999</v>
      </c>
    </row>
    <row r="8" spans="1:6">
      <c r="A8" s="7">
        <v>1030223001</v>
      </c>
      <c r="B8" s="8" t="s">
        <v>268</v>
      </c>
      <c r="C8" s="9">
        <v>279.47000000000003</v>
      </c>
      <c r="D8" s="10">
        <v>175.68100999999999</v>
      </c>
      <c r="E8" s="9">
        <f t="shared" si="2"/>
        <v>62.862207034744323</v>
      </c>
      <c r="F8" s="9">
        <f t="shared" si="1"/>
        <v>-103.78899000000004</v>
      </c>
    </row>
    <row r="9" spans="1:6">
      <c r="A9" s="7">
        <v>1030224001</v>
      </c>
      <c r="B9" s="8" t="s">
        <v>274</v>
      </c>
      <c r="C9" s="9">
        <v>3</v>
      </c>
      <c r="D9" s="10">
        <v>1.32341</v>
      </c>
      <c r="E9" s="9">
        <f t="shared" si="2"/>
        <v>44.113666666666667</v>
      </c>
      <c r="F9" s="9">
        <f t="shared" si="1"/>
        <v>-1.67659</v>
      </c>
    </row>
    <row r="10" spans="1:6">
      <c r="A10" s="7">
        <v>1030225001</v>
      </c>
      <c r="B10" s="8" t="s">
        <v>267</v>
      </c>
      <c r="C10" s="9">
        <v>466.78</v>
      </c>
      <c r="D10" s="10">
        <v>244.28596999999999</v>
      </c>
      <c r="E10" s="9">
        <f t="shared" si="2"/>
        <v>52.334283816787355</v>
      </c>
      <c r="F10" s="9">
        <f t="shared" si="1"/>
        <v>-222.49402999999998</v>
      </c>
    </row>
    <row r="11" spans="1:6">
      <c r="A11" s="7">
        <v>1030226001</v>
      </c>
      <c r="B11" s="8" t="s">
        <v>277</v>
      </c>
      <c r="C11" s="9">
        <v>0</v>
      </c>
      <c r="D11" s="10">
        <v>-32.792059999999999</v>
      </c>
      <c r="E11" s="9" t="e">
        <f t="shared" si="2"/>
        <v>#DIV/0!</v>
      </c>
      <c r="F11" s="9">
        <f t="shared" si="1"/>
        <v>-32.792059999999999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45.021599999999999</v>
      </c>
      <c r="E12" s="5">
        <f t="shared" si="0"/>
        <v>225.108</v>
      </c>
      <c r="F12" s="5">
        <f t="shared" si="1"/>
        <v>25.021599999999999</v>
      </c>
    </row>
    <row r="13" spans="1:6" ht="15.75" customHeight="1">
      <c r="A13" s="7">
        <v>1050300000</v>
      </c>
      <c r="B13" s="11" t="s">
        <v>225</v>
      </c>
      <c r="C13" s="12">
        <v>20</v>
      </c>
      <c r="D13" s="10">
        <v>45.021599999999999</v>
      </c>
      <c r="E13" s="9">
        <f t="shared" si="0"/>
        <v>225.108</v>
      </c>
      <c r="F13" s="9">
        <f t="shared" si="1"/>
        <v>25.021599999999999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3400</v>
      </c>
      <c r="D14" s="5">
        <f>D15+D16</f>
        <v>800.56360999999993</v>
      </c>
      <c r="E14" s="5">
        <f t="shared" si="0"/>
        <v>23.545988529411762</v>
      </c>
      <c r="F14" s="5">
        <f t="shared" si="1"/>
        <v>-2599.4363899999998</v>
      </c>
    </row>
    <row r="15" spans="1:6" s="6" customFormat="1" ht="15.75" customHeight="1">
      <c r="A15" s="7">
        <v>1060100000</v>
      </c>
      <c r="B15" s="11" t="s">
        <v>8</v>
      </c>
      <c r="C15" s="9">
        <v>1200</v>
      </c>
      <c r="D15" s="10">
        <v>118.3852</v>
      </c>
      <c r="E15" s="9">
        <f t="shared" si="0"/>
        <v>9.8654333333333337</v>
      </c>
      <c r="F15" s="9">
        <f>SUM(D15-C15)</f>
        <v>-1081.6148000000001</v>
      </c>
    </row>
    <row r="16" spans="1:6" ht="15.75" customHeight="1">
      <c r="A16" s="7">
        <v>1060600000</v>
      </c>
      <c r="B16" s="11" t="s">
        <v>7</v>
      </c>
      <c r="C16" s="9">
        <v>2200</v>
      </c>
      <c r="D16" s="10">
        <v>682.17840999999999</v>
      </c>
      <c r="E16" s="9">
        <f t="shared" si="0"/>
        <v>31.008109545454545</v>
      </c>
      <c r="F16" s="9">
        <f t="shared" si="1"/>
        <v>-1517.82159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1.6</v>
      </c>
      <c r="E17" s="5">
        <f t="shared" si="0"/>
        <v>20</v>
      </c>
      <c r="F17" s="5">
        <f t="shared" si="1"/>
        <v>-6.4</v>
      </c>
    </row>
    <row r="18" spans="1:6" ht="15" customHeight="1">
      <c r="A18" s="7">
        <v>1080400001</v>
      </c>
      <c r="B18" s="8" t="s">
        <v>223</v>
      </c>
      <c r="C18" s="9">
        <v>8</v>
      </c>
      <c r="D18" s="10">
        <v>1.6</v>
      </c>
      <c r="E18" s="9">
        <f t="shared" si="0"/>
        <v>20</v>
      </c>
      <c r="F18" s="9">
        <f t="shared" si="1"/>
        <v>-6.4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0</v>
      </c>
      <c r="D25" s="5">
        <f>D26+D29+D31+D36+D34</f>
        <v>0</v>
      </c>
      <c r="E25" s="5" t="e">
        <f t="shared" si="0"/>
        <v>#DIV/0!</v>
      </c>
      <c r="F25" s="5">
        <f t="shared" si="1"/>
        <v>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221</v>
      </c>
      <c r="C27" s="12">
        <v>0</v>
      </c>
      <c r="D27" s="10"/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hidden="1" customHeight="1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15" hidden="1" customHeight="1">
      <c r="A35" s="7">
        <v>1163305010</v>
      </c>
      <c r="B35" s="8" t="s">
        <v>255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6">
        <f>SUM(C4,C25)</f>
        <v>5874.35</v>
      </c>
      <c r="D39" s="126">
        <f>SUM(D4,D25)</f>
        <v>2031.5521799999997</v>
      </c>
      <c r="E39" s="5">
        <f t="shared" si="0"/>
        <v>34.583437827163849</v>
      </c>
      <c r="F39" s="5">
        <f t="shared" si="1"/>
        <v>-3842.7978200000007</v>
      </c>
    </row>
    <row r="40" spans="1:7" s="6" customFormat="1" ht="20.25" customHeight="1">
      <c r="A40" s="3">
        <v>2000000000</v>
      </c>
      <c r="B40" s="4" t="s">
        <v>17</v>
      </c>
      <c r="C40" s="5">
        <f>SUM(C43+C45+C46+C47+C41+C42+C51)</f>
        <v>15160.065880000002</v>
      </c>
      <c r="D40" s="231">
        <f>D41+D43+D45+D46+D48+D49+D42+D44+D51</f>
        <v>1792.3247799999999</v>
      </c>
      <c r="E40" s="5">
        <f t="shared" si="0"/>
        <v>11.822671446068938</v>
      </c>
      <c r="F40" s="5">
        <f t="shared" si="1"/>
        <v>-13367.741100000003</v>
      </c>
      <c r="G40" s="19"/>
    </row>
    <row r="41" spans="1:7" ht="15.75" customHeight="1">
      <c r="A41" s="16">
        <v>2021500200</v>
      </c>
      <c r="B41" s="17" t="s">
        <v>395</v>
      </c>
      <c r="C41" s="12">
        <v>942.5</v>
      </c>
      <c r="D41" s="20">
        <v>471.25200000000001</v>
      </c>
      <c r="E41" s="9">
        <f t="shared" si="0"/>
        <v>50.000212201591509</v>
      </c>
      <c r="F41" s="9">
        <f t="shared" si="1"/>
        <v>-471.24799999999999</v>
      </c>
    </row>
    <row r="42" spans="1:7" ht="15.75" customHeight="1">
      <c r="A42" s="16">
        <v>2020100310</v>
      </c>
      <c r="B42" s="17" t="s">
        <v>227</v>
      </c>
      <c r="C42" s="12"/>
      <c r="D42" s="20">
        <v>0</v>
      </c>
      <c r="E42" s="9" t="e">
        <f t="shared" si="0"/>
        <v>#DIV/0!</v>
      </c>
      <c r="F42" s="9">
        <f t="shared" si="1"/>
        <v>0</v>
      </c>
    </row>
    <row r="43" spans="1:7" ht="15.75" customHeight="1">
      <c r="A43" s="16">
        <v>2022000000</v>
      </c>
      <c r="B43" s="17" t="s">
        <v>19</v>
      </c>
      <c r="C43" s="12">
        <v>7667.6139400000002</v>
      </c>
      <c r="D43" s="10">
        <v>287.54399999999998</v>
      </c>
      <c r="E43" s="9">
        <f t="shared" si="0"/>
        <v>3.7501105591656847</v>
      </c>
      <c r="F43" s="9">
        <f t="shared" si="1"/>
        <v>-7380.0699400000003</v>
      </c>
    </row>
    <row r="44" spans="1:7" hidden="1">
      <c r="A44" s="16">
        <v>2022999910</v>
      </c>
      <c r="B44" s="18" t="s">
        <v>330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32.25" customHeight="1">
      <c r="A45" s="16">
        <v>2023000000</v>
      </c>
      <c r="B45" s="17" t="s">
        <v>20</v>
      </c>
      <c r="C45" s="12">
        <v>3578.473</v>
      </c>
      <c r="D45" s="184">
        <v>103.52878</v>
      </c>
      <c r="E45" s="9">
        <f t="shared" si="0"/>
        <v>2.8930993750686396</v>
      </c>
      <c r="F45" s="9">
        <f t="shared" si="1"/>
        <v>-3474.9442199999999</v>
      </c>
    </row>
    <row r="46" spans="1:7" ht="21.75" customHeight="1">
      <c r="A46" s="16">
        <v>2024000000</v>
      </c>
      <c r="B46" s="17" t="s">
        <v>21</v>
      </c>
      <c r="C46" s="12">
        <v>2043.154</v>
      </c>
      <c r="D46" s="185">
        <v>0</v>
      </c>
      <c r="E46" s="9">
        <f t="shared" si="0"/>
        <v>0</v>
      </c>
      <c r="F46" s="9">
        <f t="shared" si="1"/>
        <v>-2043.154</v>
      </c>
    </row>
    <row r="47" spans="1:7" ht="20.25" customHeight="1">
      <c r="A47" s="16">
        <v>2020700000</v>
      </c>
      <c r="B47" s="17" t="s">
        <v>337</v>
      </c>
      <c r="C47" s="12"/>
      <c r="D47" s="185"/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2020900000</v>
      </c>
      <c r="B48" s="18" t="s">
        <v>22</v>
      </c>
      <c r="C48" s="12">
        <v>0</v>
      </c>
      <c r="D48" s="185">
        <v>0</v>
      </c>
      <c r="E48" s="9" t="e">
        <f t="shared" si="0"/>
        <v>#DIV/0!</v>
      </c>
      <c r="F48" s="9">
        <f t="shared" si="1"/>
        <v>0</v>
      </c>
    </row>
    <row r="49" spans="1:7" ht="18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9.5" customHeight="1">
      <c r="A50" s="3">
        <v>3000000000</v>
      </c>
      <c r="B50" s="13" t="s">
        <v>24</v>
      </c>
      <c r="C50" s="188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332</v>
      </c>
      <c r="C51" s="12">
        <v>928.32493999999997</v>
      </c>
      <c r="D51" s="10">
        <v>930</v>
      </c>
      <c r="E51" s="9">
        <f t="shared" si="0"/>
        <v>100.18043897431002</v>
      </c>
      <c r="F51" s="9">
        <f t="shared" si="1"/>
        <v>1.6750600000000304</v>
      </c>
    </row>
    <row r="52" spans="1:7" s="6" customFormat="1" ht="15.75" customHeight="1">
      <c r="A52" s="3"/>
      <c r="B52" s="4" t="s">
        <v>25</v>
      </c>
      <c r="C52" s="247">
        <f>C39+C40</f>
        <v>21034.41588</v>
      </c>
      <c r="D52" s="248">
        <f>D39+D40</f>
        <v>3823.8769599999996</v>
      </c>
      <c r="E52" s="5">
        <f t="shared" si="0"/>
        <v>18.179144987029701</v>
      </c>
      <c r="F52" s="5">
        <f t="shared" si="1"/>
        <v>-17210.538919999999</v>
      </c>
      <c r="G52" s="94"/>
    </row>
    <row r="53" spans="1:7" s="6" customFormat="1">
      <c r="A53" s="3"/>
      <c r="B53" s="21" t="s">
        <v>307</v>
      </c>
      <c r="C53" s="93">
        <f>C52-C103</f>
        <v>-236.41722999999911</v>
      </c>
      <c r="D53" s="93">
        <f>D52-D103</f>
        <v>1741.3677999999991</v>
      </c>
      <c r="E53" s="22"/>
      <c r="F53" s="22"/>
    </row>
    <row r="54" spans="1:7">
      <c r="A54" s="23"/>
      <c r="B54" s="24"/>
      <c r="C54" s="183"/>
      <c r="D54" s="183"/>
      <c r="E54" s="26"/>
      <c r="F54" s="92"/>
    </row>
    <row r="55" spans="1:7" ht="42.75" customHeight="1">
      <c r="A55" s="28" t="s">
        <v>0</v>
      </c>
      <c r="B55" s="28" t="s">
        <v>26</v>
      </c>
      <c r="C55" s="72" t="s">
        <v>405</v>
      </c>
      <c r="D55" s="73" t="s">
        <v>418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27</v>
      </c>
      <c r="B57" s="31" t="s">
        <v>28</v>
      </c>
      <c r="C57" s="180">
        <f>C58+C59+C60+C61+C62+C64+C63</f>
        <v>2320.1669999999999</v>
      </c>
      <c r="D57" s="32">
        <f>D58+D59+D60+D61+D62+D64+D63</f>
        <v>995.48548000000005</v>
      </c>
      <c r="E57" s="34">
        <f>SUM(D57/C57*100)</f>
        <v>42.905768420980046</v>
      </c>
      <c r="F57" s="34">
        <f>SUM(D57-C57)</f>
        <v>-1324.6815199999999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2279.6669999999999</v>
      </c>
      <c r="D59" s="37">
        <v>959.98548000000005</v>
      </c>
      <c r="E59" s="38">
        <f t="shared" ref="E59:E103" si="3">SUM(D59/C59*100)</f>
        <v>42.110776705545156</v>
      </c>
      <c r="F59" s="38">
        <f t="shared" ref="F59:F103" si="4">SUM(D59-C59)</f>
        <v>-1319.6815199999999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 ht="17.2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41</v>
      </c>
      <c r="B64" s="39" t="s">
        <v>42</v>
      </c>
      <c r="C64" s="37">
        <v>35.5</v>
      </c>
      <c r="D64" s="37">
        <v>35.5</v>
      </c>
      <c r="E64" s="38">
        <f t="shared" si="3"/>
        <v>100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206.767</v>
      </c>
      <c r="D65" s="32">
        <f>D66</f>
        <v>89.364329999999995</v>
      </c>
      <c r="E65" s="34">
        <f t="shared" si="3"/>
        <v>43.219822312071074</v>
      </c>
      <c r="F65" s="34">
        <f t="shared" si="4"/>
        <v>-117.40267</v>
      </c>
    </row>
    <row r="66" spans="1:7">
      <c r="A66" s="43" t="s">
        <v>45</v>
      </c>
      <c r="B66" s="44" t="s">
        <v>46</v>
      </c>
      <c r="C66" s="37">
        <v>206.767</v>
      </c>
      <c r="D66" s="37">
        <v>89.364329999999995</v>
      </c>
      <c r="E66" s="38">
        <f t="shared" si="3"/>
        <v>43.219822312071074</v>
      </c>
      <c r="F66" s="38">
        <f t="shared" si="4"/>
        <v>-117.40267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7</v>
      </c>
      <c r="D67" s="32">
        <f>D70+D71</f>
        <v>1.2</v>
      </c>
      <c r="E67" s="34">
        <f t="shared" si="3"/>
        <v>17.142857142857142</v>
      </c>
      <c r="F67" s="34">
        <f t="shared" si="4"/>
        <v>-5.8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/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214</v>
      </c>
      <c r="B71" s="47" t="s">
        <v>215</v>
      </c>
      <c r="C71" s="37">
        <v>5</v>
      </c>
      <c r="D71" s="37">
        <v>1.2</v>
      </c>
      <c r="E71" s="34">
        <f t="shared" si="3"/>
        <v>24</v>
      </c>
      <c r="F71" s="34">
        <f t="shared" si="4"/>
        <v>-3.8</v>
      </c>
    </row>
    <row r="72" spans="1:7" ht="15.75" customHeight="1">
      <c r="A72" s="46" t="s">
        <v>338</v>
      </c>
      <c r="B72" s="47" t="s">
        <v>394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3156.7591600000001</v>
      </c>
      <c r="D73" s="48">
        <f>SUM(D74:D77)</f>
        <v>343.49340000000001</v>
      </c>
      <c r="E73" s="34">
        <f t="shared" si="3"/>
        <v>10.881203873658832</v>
      </c>
      <c r="F73" s="34">
        <f t="shared" si="4"/>
        <v>-2813.2657600000002</v>
      </c>
    </row>
    <row r="74" spans="1:7" ht="15" customHeight="1">
      <c r="A74" s="35" t="s">
        <v>57</v>
      </c>
      <c r="B74" s="39" t="s">
        <v>58</v>
      </c>
      <c r="C74" s="49"/>
      <c r="D74" s="37">
        <v>0</v>
      </c>
      <c r="E74" s="38" t="e">
        <f t="shared" si="3"/>
        <v>#DIV/0!</v>
      </c>
      <c r="F74" s="38">
        <f t="shared" si="4"/>
        <v>0</v>
      </c>
    </row>
    <row r="75" spans="1:7" s="6" customFormat="1" ht="15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2733.20516</v>
      </c>
      <c r="D76" s="37">
        <v>319.49340000000001</v>
      </c>
      <c r="E76" s="38">
        <f t="shared" si="3"/>
        <v>11.689331070924805</v>
      </c>
      <c r="F76" s="38">
        <f t="shared" si="4"/>
        <v>-2413.7117600000001</v>
      </c>
    </row>
    <row r="77" spans="1:7">
      <c r="A77" s="35" t="s">
        <v>63</v>
      </c>
      <c r="B77" s="39" t="s">
        <v>64</v>
      </c>
      <c r="C77" s="49">
        <v>423.55399999999997</v>
      </c>
      <c r="D77" s="37">
        <v>24</v>
      </c>
      <c r="E77" s="38">
        <f t="shared" si="3"/>
        <v>5.6663377042832792</v>
      </c>
      <c r="F77" s="38">
        <f t="shared" si="4"/>
        <v>-399.55399999999997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14322.707880000002</v>
      </c>
      <c r="D78" s="32">
        <f>SUM(D79:D82)</f>
        <v>533.02490999999998</v>
      </c>
      <c r="E78" s="34">
        <f t="shared" si="3"/>
        <v>3.7215372572410512</v>
      </c>
      <c r="F78" s="34">
        <f t="shared" si="4"/>
        <v>-13789.682970000002</v>
      </c>
    </row>
    <row r="79" spans="1:7" ht="22.5" customHeight="1">
      <c r="A79" s="35" t="s">
        <v>67</v>
      </c>
      <c r="B79" s="51" t="s">
        <v>68</v>
      </c>
      <c r="C79" s="37">
        <v>3371.7060000000001</v>
      </c>
      <c r="D79" s="37">
        <v>0</v>
      </c>
      <c r="E79" s="38">
        <f t="shared" si="3"/>
        <v>0</v>
      </c>
      <c r="F79" s="38">
        <f t="shared" si="4"/>
        <v>-3371.7060000000001</v>
      </c>
    </row>
    <row r="80" spans="1:7" ht="19.5" customHeight="1">
      <c r="A80" s="35" t="s">
        <v>69</v>
      </c>
      <c r="B80" s="51" t="s">
        <v>70</v>
      </c>
      <c r="C80" s="37">
        <v>9987.4400600000008</v>
      </c>
      <c r="D80" s="37">
        <v>107.66848</v>
      </c>
      <c r="E80" s="38">
        <f t="shared" si="3"/>
        <v>1.0780388102774756</v>
      </c>
      <c r="F80" s="38">
        <f t="shared" si="4"/>
        <v>-9879.7715800000005</v>
      </c>
    </row>
    <row r="81" spans="1:6" ht="18" customHeight="1">
      <c r="A81" s="35" t="s">
        <v>71</v>
      </c>
      <c r="B81" s="39" t="s">
        <v>72</v>
      </c>
      <c r="C81" s="37">
        <v>963.56182000000001</v>
      </c>
      <c r="D81" s="37">
        <v>425.35642999999999</v>
      </c>
      <c r="E81" s="38">
        <f t="shared" si="3"/>
        <v>44.14417644733993</v>
      </c>
      <c r="F81" s="38">
        <f t="shared" si="4"/>
        <v>-538.20539000000008</v>
      </c>
    </row>
    <row r="82" spans="1:6" ht="21.75" customHeight="1">
      <c r="A82" s="35" t="s">
        <v>251</v>
      </c>
      <c r="B82" s="39" t="s">
        <v>252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83</v>
      </c>
      <c r="B83" s="31" t="s">
        <v>84</v>
      </c>
      <c r="C83" s="32">
        <f>C84+C85</f>
        <v>1222.4320700000001</v>
      </c>
      <c r="D83" s="32">
        <f>D84+D85</f>
        <v>104.94104</v>
      </c>
      <c r="E83" s="34">
        <f t="shared" si="3"/>
        <v>8.584611167800924</v>
      </c>
      <c r="F83" s="34">
        <f t="shared" si="4"/>
        <v>-1117.4910300000001</v>
      </c>
    </row>
    <row r="84" spans="1:6" ht="18" customHeight="1">
      <c r="A84" s="35" t="s">
        <v>85</v>
      </c>
      <c r="B84" s="39" t="s">
        <v>229</v>
      </c>
      <c r="C84" s="37">
        <v>1222.4320700000001</v>
      </c>
      <c r="D84" s="37">
        <v>104.94104</v>
      </c>
      <c r="E84" s="38">
        <f t="shared" si="3"/>
        <v>8.584611167800924</v>
      </c>
      <c r="F84" s="38">
        <f t="shared" si="4"/>
        <v>-1117.4910300000001</v>
      </c>
    </row>
    <row r="85" spans="1:6" hidden="1">
      <c r="A85" s="35" t="s">
        <v>258</v>
      </c>
      <c r="B85" s="39" t="s">
        <v>259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86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87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88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89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90</v>
      </c>
      <c r="B90" s="39" t="s">
        <v>91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86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87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93</v>
      </c>
      <c r="C93" s="32">
        <f>C94+C95+C96+C97+C98</f>
        <v>35</v>
      </c>
      <c r="D93" s="32">
        <f>D94+D95+D96+D97+D98</f>
        <v>15</v>
      </c>
      <c r="E93" s="38">
        <f t="shared" si="3"/>
        <v>42.857142857142854</v>
      </c>
      <c r="F93" s="22">
        <f>F94+F95+F96+F97+F98</f>
        <v>-20</v>
      </c>
    </row>
    <row r="94" spans="1:6" ht="18.75" customHeight="1">
      <c r="A94" s="53">
        <v>1101</v>
      </c>
      <c r="B94" s="54" t="s">
        <v>95</v>
      </c>
      <c r="C94" s="37">
        <v>35</v>
      </c>
      <c r="D94" s="37">
        <v>15</v>
      </c>
      <c r="E94" s="38">
        <f t="shared" si="3"/>
        <v>42.857142857142854</v>
      </c>
      <c r="F94" s="38">
        <f>SUM(D94-C94)</f>
        <v>-20</v>
      </c>
    </row>
    <row r="95" spans="1:6" ht="0.75" hidden="1" customHeight="1">
      <c r="A95" s="35" t="s">
        <v>90</v>
      </c>
      <c r="B95" s="39" t="s">
        <v>91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98</v>
      </c>
      <c r="B96" s="39" t="s">
        <v>99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100</v>
      </c>
      <c r="B97" s="39" t="s">
        <v>101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102</v>
      </c>
      <c r="B98" s="39" t="s">
        <v>103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112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113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114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115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116</v>
      </c>
      <c r="C103" s="250">
        <f>C57+C65+C67+C73+C78+C83+C86+C93+C99+C91</f>
        <v>21270.83311</v>
      </c>
      <c r="D103" s="250">
        <f>D57+D65+D67+D73+D78+D83+D86+D93+D99+D91</f>
        <v>2082.5091600000005</v>
      </c>
      <c r="E103" s="34">
        <f t="shared" si="3"/>
        <v>9.790444733549041</v>
      </c>
      <c r="F103" s="34">
        <f t="shared" si="4"/>
        <v>-19188.323949999998</v>
      </c>
    </row>
    <row r="104" spans="1:6">
      <c r="D104" s="179"/>
    </row>
    <row r="105" spans="1:6" s="65" customFormat="1" ht="12.75">
      <c r="A105" s="63" t="s">
        <v>117</v>
      </c>
      <c r="B105" s="63"/>
      <c r="C105" s="118"/>
      <c r="D105" s="64"/>
    </row>
    <row r="106" spans="1:6" s="65" customFormat="1" ht="18.75" customHeight="1">
      <c r="A106" s="66" t="s">
        <v>118</v>
      </c>
      <c r="B106" s="66"/>
      <c r="C106" s="65" t="s">
        <v>119</v>
      </c>
    </row>
    <row r="143" hidden="1"/>
  </sheetData>
  <customSheetViews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1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2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3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4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5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61528DAC-5C4C-48F4-ADE2-8A724B05A086}" scale="70" showPageBreaks="1" hiddenRows="1" view="pageBreakPreview" topLeftCell="A40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" right="0.7" top="0.75" bottom="0.75" header="0.3" footer="0.3"/>
  <pageSetup paperSize="9" scale="3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7</vt:i4>
      </vt:variant>
    </vt:vector>
  </HeadingPairs>
  <TitlesOfParts>
    <vt:vector size="30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Иль!Область_печати</vt:lpstr>
      <vt:lpstr>Консол!Область_печати</vt:lpstr>
      <vt:lpstr>Мор!Область_печати</vt:lpstr>
      <vt:lpstr>Справка!Область_печати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2021-07-05T05:59:11Z</cp:lastPrinted>
  <dcterms:created xsi:type="dcterms:W3CDTF">1996-10-08T23:32:33Z</dcterms:created>
  <dcterms:modified xsi:type="dcterms:W3CDTF">2021-07-14T13:42:43Z</dcterms:modified>
</cp:coreProperties>
</file>