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'Лист1'!$A$1:$J$143</definedName>
  </definedNames>
  <calcPr fullCalcOnLoad="1"/>
</workbook>
</file>

<file path=xl/sharedStrings.xml><?xml version="1.0" encoding="utf-8"?>
<sst xmlns="http://schemas.openxmlformats.org/spreadsheetml/2006/main" count="1403" uniqueCount="356">
  <si>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</si>
  <si>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</si>
  <si>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</si>
  <si>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</si>
  <si>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</si>
  <si>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</si>
  <si>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</si>
  <si>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</si>
  <si>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</si>
  <si>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</si>
  <si>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</si>
  <si>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</si>
  <si>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</si>
  <si>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</si>
  <si>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</si>
  <si>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</si>
  <si>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</si>
  <si>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</si>
  <si>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</si>
  <si>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</si>
  <si>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</si>
  <si>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</si>
  <si>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</si>
  <si>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</si>
  <si>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</si>
  <si>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</si>
  <si>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</si>
  <si>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</si>
  <si>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</si>
  <si>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</si>
  <si>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</si>
  <si>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</si>
  <si>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</si>
  <si>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</si>
  <si>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</si>
  <si>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</si>
  <si>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</si>
  <si>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</si>
  <si>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</si>
  <si>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</si>
  <si>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</si>
  <si>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</si>
  <si>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</si>
  <si>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</si>
  <si>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</si>
  <si>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</si>
  <si>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</si>
  <si>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</si>
  <si>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</si>
  <si>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</si>
  <si>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</si>
  <si>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</si>
  <si>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</si>
  <si>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</si>
  <si>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</si>
  <si>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</si>
  <si>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</si>
  <si>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</si>
  <si>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</si>
  <si>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</si>
  <si>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</si>
  <si>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</si>
  <si>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</si>
  <si>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</si>
  <si>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</si>
  <si>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</si>
  <si>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</si>
  <si>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</si>
  <si>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</si>
  <si>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</si>
  <si>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</si>
  <si>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</si>
  <si>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</si>
  <si>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</si>
  <si>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</si>
  <si>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</si>
  <si>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</si>
  <si>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</si>
  <si>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</si>
  <si>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</si>
  <si>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</si>
  <si>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</si>
  <si>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</si>
  <si>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</si>
  <si>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</si>
  <si>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</si>
  <si>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</si>
  <si>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</si>
  <si>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</si>
  <si>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</si>
  <si>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</si>
  <si>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</si>
  <si>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</si>
  <si>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</si>
  <si>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</si>
  <si>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</si>
  <si>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</si>
  <si>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</si>
  <si>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</si>
  <si>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</si>
  <si>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</si>
  <si>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</si>
  <si>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</si>
  <si>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</si>
  <si>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</si>
  <si>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</si>
  <si>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</si>
  <si>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</si>
  <si>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</si>
  <si>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</si>
  <si>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</si>
  <si>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</si>
  <si>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</si>
  <si>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</si>
  <si>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</si>
  <si>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</si>
  <si>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</si>
  <si>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</si>
  <si>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</si>
  <si>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</si>
  <si>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</si>
  <si>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</si>
  <si>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</si>
  <si>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</si>
  <si>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</si>
  <si>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</si>
  <si>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</si>
  <si>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</si>
  <si>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</si>
  <si>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</si>
  <si>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</si>
  <si>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</si>
  <si>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</si>
  <si>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</si>
  <si>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</si>
  <si>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</si>
  <si>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</si>
  <si>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</si>
  <si>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</si>
  <si>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</si>
  <si>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</si>
  <si>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</si>
  <si>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</si>
  <si>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</si>
  <si>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</si>
  <si>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</si>
  <si>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</si>
  <si>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</si>
  <si>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</si>
  <si>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</si>
  <si>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</si>
  <si>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</si>
  <si>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</si>
  <si>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</si>
  <si>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</si>
  <si>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</si>
  <si>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</si>
  <si>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</si>
  <si>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</si>
  <si>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</si>
  <si>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</si>
  <si>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</si>
  <si>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</si>
  <si>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</si>
  <si>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</si>
  <si>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</si>
  <si>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</si>
  <si>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</si>
  <si>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</si>
  <si>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</si>
  <si>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</si>
  <si>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</si>
  <si>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</si>
  <si>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</si>
  <si>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</si>
  <si>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</si>
  <si>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</si>
  <si>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</si>
  <si>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</si>
  <si>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</si>
  <si>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</si>
  <si>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</si>
  <si>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</si>
  <si>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</si>
  <si>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</si>
  <si>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</si>
  <si>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</si>
  <si>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</si>
  <si>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</si>
  <si>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</si>
  <si>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</si>
  <si>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</si>
  <si>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</si>
  <si>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</si>
  <si>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</si>
  <si>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</si>
  <si>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</si>
  <si>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</si>
  <si>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</si>
  <si>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</si>
  <si>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</si>
  <si>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</si>
  <si>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</si>
  <si>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</si>
  <si>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</si>
  <si>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</si>
  <si>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</si>
  <si>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</si>
  <si>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</si>
  <si>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</si>
  <si>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</si>
  <si>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</si>
  <si>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</si>
  <si>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</si>
  <si>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</si>
  <si>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</si>
  <si>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</si>
  <si>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</si>
  <si>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</si>
  <si>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</si>
  <si>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</si>
  <si>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</si>
  <si>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</si>
  <si>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</si>
  <si>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</si>
  <si>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</si>
  <si>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</si>
  <si>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</si>
  <si>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</si>
  <si>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</si>
  <si>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</si>
  <si>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</si>
  <si>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</si>
  <si>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</si>
  <si>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</si>
  <si>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</si>
  <si>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</si>
  <si>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</si>
  <si>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</si>
  <si>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</si>
  <si>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</si>
  <si>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</si>
  <si>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</si>
  <si>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</si>
  <si>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</si>
  <si>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</si>
  <si>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</si>
  <si>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</si>
  <si>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</si>
  <si>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</si>
  <si>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</si>
  <si>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</si>
  <si>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</si>
  <si>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</si>
  <si>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</si>
  <si>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</si>
  <si>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</si>
  <si>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</si>
  <si>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</si>
  <si>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</si>
  <si>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</si>
  <si>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</si>
  <si>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</si>
  <si>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</si>
  <si>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</si>
  <si>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</si>
  <si>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</si>
  <si>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</si>
  <si>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</si>
  <si>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</si>
  <si>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</si>
  <si>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</si>
  <si>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</si>
  <si>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</si>
  <si>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</si>
  <si>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</si>
  <si>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</si>
  <si>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</si>
  <si>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</si>
  <si>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</si>
  <si>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</si>
  <si>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</si>
  <si>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</si>
  <si>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</si>
  <si>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</si>
  <si>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</si>
  <si>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</si>
  <si>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</si>
  <si>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</si>
  <si>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</si>
  <si>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</si>
  <si>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</si>
  <si>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</si>
  <si>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</si>
  <si>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</si>
  <si>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% исполнения к  годовому плану  на 2021 г.</t>
  </si>
  <si>
    <t xml:space="preserve">Отклонение от годового плана 2021 г ( +, - )         </t>
  </si>
  <si>
    <t>% исполне-ния к  годовому плану  на  2021 г.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</si>
  <si>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</si>
  <si>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</si>
  <si>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</si>
  <si>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</si>
  <si>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</si>
  <si>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</si>
  <si>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</si>
  <si>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</si>
  <si>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</si>
  <si>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</si>
  <si>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</si>
  <si>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</si>
  <si>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</si>
  <si>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</si>
  <si>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</si>
  <si>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</si>
  <si>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</si>
  <si>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</si>
  <si>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</si>
  <si>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Отклонение от годового плана 2021 г (+, - 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</si>
  <si>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</si>
  <si>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</si>
  <si>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</si>
  <si>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</si>
  <si>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</si>
  <si>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</si>
  <si>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</si>
  <si>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</si>
  <si>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</si>
  <si>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</si>
  <si>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</si>
  <si>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</si>
  <si>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</si>
  <si>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</si>
  <si>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</si>
  <si>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</si>
  <si>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</si>
  <si>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</si>
  <si>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 xml:space="preserve">           на поощрение победителей конкурса "Лучшая муниципальная практика" (ср-ва респ. бюдж.)       </t>
  </si>
  <si>
    <t>из  них: выполнение других обязательств  муниципального образования</t>
  </si>
  <si>
    <t>из них: реализ. проектов, направленных на благоустройство и развитие территорий (ср-ва респ. бюдж.)</t>
  </si>
  <si>
    <t>ПРОЧИЕ МЕЖБЮДЖЕТНЫЕ ТРАНСФЕРТЫ, ПЕРЕДАВАЕМЫЕ БЮДЖЕТАМ ПОСЕЛЕНИЙ (На реализ. проектов, направленных на благоустройство и развитие территорий)</t>
  </si>
  <si>
    <t>Анализ  исполнения бюджета Андреево-Базарского сельского поселения за  декабрь  2021 года</t>
  </si>
  <si>
    <t>Фактическое исполнение за  декабрь  2021 года</t>
  </si>
  <si>
    <t>Анализ исполнения бюджета Аттиковского сельского поселения за декабрь  2021 года</t>
  </si>
  <si>
    <t>Фактическое исполнение за декабрь  2021 года</t>
  </si>
  <si>
    <t>Анализ исполнения бюджета  Байгуловского сельского поселения за  декабрь  2021 года</t>
  </si>
  <si>
    <t>Анализ исполнения бюджета  Еметкинского сельского поселения за  декабрь  2021 года</t>
  </si>
  <si>
    <t>Анализ исполнения бюджета  Карамышевского сельского поселения за декабрь 2021 года</t>
  </si>
  <si>
    <t>Анализ исполнения бюджета  Карачевского сельского поселения за  декабрь  2021 года</t>
  </si>
  <si>
    <t>Анализ исполнения бюджета  Козловского  городского  поселения  за  декабрь   2021 года</t>
  </si>
  <si>
    <t>Анализ исполнения бюджета  Солдыбаевского сельского поселения за  декабрь  2021 года</t>
  </si>
  <si>
    <t>Фактическое исполнение за   декабрь  2021 года</t>
  </si>
  <si>
    <t>Анализ исполнения бюджета  Тюрлеминского сельского поселения за   декабрь   2021 года</t>
  </si>
  <si>
    <t>Фактическое исполнение за декабрь   2021 года</t>
  </si>
  <si>
    <t>Анализ исполнения бюджета  Янгильдинского сельского поселения за   декабрь  2021 года</t>
  </si>
  <si>
    <t>Анализ   исполнения   бюджетов   поселений   за  декабрь 2021 года.</t>
  </si>
  <si>
    <t>Фактическое исполнение за  декабрь  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</si>
</sst>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6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zoomScaleSheetLayoutView="100" workbookViewId="0" topLeftCell="A27">
      <selection activeCell="C46" sqref="C46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6" t="s">
        <v>340</v>
      </c>
      <c r="B1" s="166"/>
      <c r="C1" s="166"/>
      <c r="D1" s="166"/>
      <c r="E1" s="166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292</v>
      </c>
      <c r="C3" s="26" t="s">
        <v>341</v>
      </c>
      <c r="D3" s="25" t="s">
        <v>293</v>
      </c>
      <c r="E3" s="27" t="s">
        <v>294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140500</v>
      </c>
      <c r="C7" s="79">
        <f>C9</f>
        <v>244205.91</v>
      </c>
      <c r="D7" s="40">
        <f>IF(B7=0,"   ",C7/B7*100)</f>
        <v>173.8120355871886</v>
      </c>
      <c r="E7" s="41">
        <f>C7-B7</f>
        <v>103705.91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107</v>
      </c>
      <c r="B9" s="80">
        <v>140500</v>
      </c>
      <c r="C9" s="125">
        <v>244205.91</v>
      </c>
      <c r="D9" s="40">
        <f>IF(B9=0,"   ",C9/B9*100)</f>
        <v>173.8120355871886</v>
      </c>
      <c r="E9" s="41">
        <f>C9-B9</f>
        <v>103705.91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129</v>
      </c>
      <c r="B14" s="79">
        <f>SUM(B15)</f>
        <v>608800</v>
      </c>
      <c r="C14" s="79">
        <f>SUM(C15)</f>
        <v>650021.35</v>
      </c>
      <c r="D14" s="40">
        <f>IF(B14=0,"   ",C14/B14*100)</f>
        <v>106.77091819973718</v>
      </c>
      <c r="E14" s="41">
        <f>C14-B14</f>
        <v>41221.34999999998</v>
      </c>
    </row>
    <row r="15" spans="1:5" s="13" customFormat="1" ht="15.75" customHeight="1">
      <c r="A15" s="21" t="s">
        <v>130</v>
      </c>
      <c r="B15" s="80">
        <v>608800</v>
      </c>
      <c r="C15" s="125">
        <v>650021.35</v>
      </c>
      <c r="D15" s="40">
        <f>IF(B15=0,"   ",C15/B15*100)</f>
        <v>106.77091819973718</v>
      </c>
      <c r="E15" s="41">
        <f>C15-B15</f>
        <v>41221.34999999998</v>
      </c>
    </row>
    <row r="16" spans="1:5" s="14" customFormat="1" ht="17.25" customHeight="1">
      <c r="A16" s="21" t="s">
        <v>7</v>
      </c>
      <c r="B16" s="79">
        <f>SUM(B18)</f>
        <v>40800</v>
      </c>
      <c r="C16" s="80">
        <f>SUM(C18:C18)</f>
        <v>31739.82</v>
      </c>
      <c r="D16" s="40">
        <f>IF(B16=0,"   ",C16/B16*100)</f>
        <v>77.79367647058824</v>
      </c>
      <c r="E16" s="41">
        <f>C16-B16</f>
        <v>-9060.18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108</v>
      </c>
      <c r="B18" s="80">
        <v>40800</v>
      </c>
      <c r="C18" s="125">
        <v>31739.82</v>
      </c>
      <c r="D18" s="40">
        <f aca="true" t="shared" si="0" ref="D18:D36">IF(B18=0,"   ",C18/B18*100)</f>
        <v>77.79367647058824</v>
      </c>
      <c r="E18" s="41">
        <f aca="true" t="shared" si="1" ref="E18:E36">C18-B18</f>
        <v>-9060.18</v>
      </c>
    </row>
    <row r="19" spans="1:5" s="13" customFormat="1" ht="18" customHeight="1">
      <c r="A19" s="21" t="s">
        <v>9</v>
      </c>
      <c r="B19" s="80">
        <f>SUM(B20:B21)</f>
        <v>1069300</v>
      </c>
      <c r="C19" s="80">
        <f>SUM(C20:C21)</f>
        <v>1180992.72</v>
      </c>
      <c r="D19" s="40">
        <f t="shared" si="0"/>
        <v>110.4454054054054</v>
      </c>
      <c r="E19" s="41">
        <f t="shared" si="1"/>
        <v>111692.71999999997</v>
      </c>
    </row>
    <row r="20" spans="1:5" s="13" customFormat="1" ht="13.5">
      <c r="A20" s="21" t="s">
        <v>109</v>
      </c>
      <c r="B20" s="80">
        <v>460000</v>
      </c>
      <c r="C20" s="125">
        <v>507591.76</v>
      </c>
      <c r="D20" s="40">
        <f t="shared" si="0"/>
        <v>110.3460347826087</v>
      </c>
      <c r="E20" s="41">
        <f t="shared" si="1"/>
        <v>47591.76000000001</v>
      </c>
    </row>
    <row r="21" spans="1:5" s="13" customFormat="1" ht="16.5" customHeight="1">
      <c r="A21" s="21" t="s">
        <v>152</v>
      </c>
      <c r="B21" s="80">
        <f>SUM(B22:B23)</f>
        <v>609300</v>
      </c>
      <c r="C21" s="80">
        <f>SUM(C22:C23)</f>
        <v>673400.96</v>
      </c>
      <c r="D21" s="40">
        <f t="shared" si="0"/>
        <v>110.52042671918593</v>
      </c>
      <c r="E21" s="41">
        <f t="shared" si="1"/>
        <v>64100.95999999996</v>
      </c>
    </row>
    <row r="22" spans="1:5" s="13" customFormat="1" ht="13.5">
      <c r="A22" s="21" t="s">
        <v>153</v>
      </c>
      <c r="B22" s="80">
        <v>246600</v>
      </c>
      <c r="C22" s="125">
        <v>246782.56</v>
      </c>
      <c r="D22" s="40">
        <f t="shared" si="0"/>
        <v>100.0740308191403</v>
      </c>
      <c r="E22" s="41">
        <f t="shared" si="1"/>
        <v>182.55999999999767</v>
      </c>
    </row>
    <row r="23" spans="1:5" s="13" customFormat="1" ht="13.5">
      <c r="A23" s="21" t="s">
        <v>154</v>
      </c>
      <c r="B23" s="80">
        <v>362700</v>
      </c>
      <c r="C23" s="125">
        <v>426618.4</v>
      </c>
      <c r="D23" s="40">
        <f t="shared" si="0"/>
        <v>117.62293906810038</v>
      </c>
      <c r="E23" s="41">
        <f t="shared" si="1"/>
        <v>63918.40000000002</v>
      </c>
    </row>
    <row r="24" spans="1:5" s="13" customFormat="1" ht="13.5">
      <c r="A24" s="21" t="s">
        <v>187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85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499577.4</v>
      </c>
      <c r="C26" s="36">
        <f>SUM(C27:C30)</f>
        <v>540205.31</v>
      </c>
      <c r="D26" s="40">
        <f t="shared" si="0"/>
        <v>108.13245555143207</v>
      </c>
      <c r="E26" s="41">
        <f t="shared" si="1"/>
        <v>40627.91000000003</v>
      </c>
    </row>
    <row r="27" spans="1:5" s="13" customFormat="1" ht="13.5">
      <c r="A27" s="21" t="s">
        <v>144</v>
      </c>
      <c r="B27" s="80">
        <v>465800</v>
      </c>
      <c r="C27" s="125">
        <v>473780.07</v>
      </c>
      <c r="D27" s="40">
        <f t="shared" si="0"/>
        <v>101.71319665092315</v>
      </c>
      <c r="E27" s="41">
        <f t="shared" si="1"/>
        <v>7980.070000000007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250</v>
      </c>
      <c r="B29" s="36">
        <v>23777.4</v>
      </c>
      <c r="C29" s="164">
        <v>55115.46</v>
      </c>
      <c r="D29" s="40">
        <f>IF(B29=0,"   ",C29/B29*100)</f>
        <v>231.79767342097958</v>
      </c>
      <c r="E29" s="41">
        <f>C29-B29</f>
        <v>31338.059999999998</v>
      </c>
    </row>
    <row r="30" spans="1:5" s="13" customFormat="1" ht="44.25" customHeight="1">
      <c r="A30" s="21" t="s">
        <v>215</v>
      </c>
      <c r="B30" s="36">
        <v>10000</v>
      </c>
      <c r="C30" s="126">
        <v>11309.78</v>
      </c>
      <c r="D30" s="40">
        <f t="shared" si="0"/>
        <v>113.0978</v>
      </c>
      <c r="E30" s="41">
        <f t="shared" si="1"/>
        <v>1309.7800000000007</v>
      </c>
    </row>
    <row r="31" spans="1:5" s="13" customFormat="1" ht="18.75" customHeight="1">
      <c r="A31" s="21" t="s">
        <v>88</v>
      </c>
      <c r="B31" s="79">
        <v>38600</v>
      </c>
      <c r="C31" s="82">
        <v>42017.77</v>
      </c>
      <c r="D31" s="40">
        <f t="shared" si="0"/>
        <v>108.85432642487045</v>
      </c>
      <c r="E31" s="41">
        <f t="shared" si="1"/>
        <v>3417.769999999997</v>
      </c>
    </row>
    <row r="32" spans="1:5" s="13" customFormat="1" ht="16.5" customHeight="1">
      <c r="A32" s="21" t="s">
        <v>78</v>
      </c>
      <c r="B32" s="79">
        <f>B33+B34</f>
        <v>0</v>
      </c>
      <c r="C32" s="79">
        <f>C33+C34</f>
        <v>0</v>
      </c>
      <c r="D32" s="40" t="str">
        <f t="shared" si="0"/>
        <v>   </v>
      </c>
      <c r="E32" s="41">
        <f t="shared" si="1"/>
        <v>0</v>
      </c>
    </row>
    <row r="33" spans="1:5" s="13" customFormat="1" ht="16.5" customHeight="1">
      <c r="A33" s="21" t="s">
        <v>127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195</v>
      </c>
      <c r="B34" s="80">
        <v>0</v>
      </c>
      <c r="C34" s="127">
        <v>0</v>
      </c>
      <c r="D34" s="40" t="str">
        <f t="shared" si="0"/>
        <v>   </v>
      </c>
      <c r="E34" s="41">
        <f t="shared" si="1"/>
        <v>0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B39+B41+B40</f>
        <v>23777.4</v>
      </c>
      <c r="C36" s="80">
        <f>SUM(C39:C41)</f>
        <v>23777.15</v>
      </c>
      <c r="D36" s="40">
        <f t="shared" si="0"/>
        <v>99.99894858142606</v>
      </c>
      <c r="E36" s="41">
        <f t="shared" si="1"/>
        <v>-0.25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SUM(B46,#REF!,#REF!,#REF!)</f>
        <v>#REF!</v>
      </c>
      <c r="C38" s="83" t="e">
        <f>SUM(C46,#REF!,#REF!,#REF!)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126</v>
      </c>
      <c r="B39" s="80">
        <v>0</v>
      </c>
      <c r="C39" s="79">
        <v>-0.25</v>
      </c>
      <c r="D39" s="40" t="str">
        <f>IF(B39=0,"   ",C39/B39*100)</f>
        <v>   </v>
      </c>
      <c r="E39" s="41">
        <f>C39-B39</f>
        <v>-0.25</v>
      </c>
    </row>
    <row r="40" spans="1:5" s="8" customFormat="1" ht="13.5">
      <c r="A40" s="21" t="s">
        <v>322</v>
      </c>
      <c r="B40" s="80">
        <v>23777.4</v>
      </c>
      <c r="C40" s="79">
        <v>23777.4</v>
      </c>
      <c r="D40" s="40"/>
      <c r="E40" s="41"/>
    </row>
    <row r="41" spans="1:5" s="8" customFormat="1" ht="15" customHeight="1">
      <c r="A41" s="21" t="s">
        <v>103</v>
      </c>
      <c r="B41" s="80">
        <v>0</v>
      </c>
      <c r="C41" s="79">
        <v>0</v>
      </c>
      <c r="D41" s="40" t="str">
        <f>IF(B41=0,"   ",C41/B41*100)</f>
        <v>   </v>
      </c>
      <c r="E41" s="41">
        <f>C41-B41</f>
        <v>0</v>
      </c>
    </row>
    <row r="42" spans="1:5" s="8" customFormat="1" ht="12.75" customHeight="1" hidden="1">
      <c r="A42" s="21" t="s">
        <v>46</v>
      </c>
      <c r="B42" s="130"/>
      <c r="C42" s="79">
        <v>0</v>
      </c>
      <c r="D42" s="40" t="e">
        <f>IF(#REF!=0,"   ",C42/#REF!)</f>
        <v>#REF!</v>
      </c>
      <c r="E42" s="41" t="e">
        <f>C42-#REF!</f>
        <v>#REF!</v>
      </c>
    </row>
    <row r="43" spans="1:5" s="8" customFormat="1" ht="0.75" customHeight="1" hidden="1">
      <c r="A43" s="131" t="s">
        <v>47</v>
      </c>
      <c r="B43" s="132">
        <v>1250</v>
      </c>
      <c r="C43" s="133"/>
      <c r="D43" s="90" t="e">
        <f>IF(#REF!=0,"   ",C43/#REF!)</f>
        <v>#REF!</v>
      </c>
      <c r="E43" s="91" t="e">
        <f>C43-#REF!</f>
        <v>#REF!</v>
      </c>
    </row>
    <row r="44" spans="1:5" s="8" customFormat="1" ht="22.5" customHeight="1">
      <c r="A44" s="64" t="s">
        <v>10</v>
      </c>
      <c r="B44" s="116">
        <f>B7+B16+B19+B25+B26+B31+B32+B36+B14+B35+B24</f>
        <v>2421354.8</v>
      </c>
      <c r="C44" s="116">
        <f>C7+C16+C19+C25+C26+C31+C32+C36+C14+C35+C24</f>
        <v>2712960.03</v>
      </c>
      <c r="D44" s="46">
        <f aca="true" t="shared" si="2" ref="D44:D61">IF(B44=0,"   ",C44/B44*100)</f>
        <v>112.04306076911983</v>
      </c>
      <c r="E44" s="134">
        <f aca="true" t="shared" si="3" ref="E44:E61">C44-B44</f>
        <v>291605.23</v>
      </c>
    </row>
    <row r="45" spans="1:5" s="8" customFormat="1" ht="18.75" customHeight="1">
      <c r="A45" s="62" t="s">
        <v>132</v>
      </c>
      <c r="B45" s="135">
        <f>SUM(B46:B49,B52:B55,B61)</f>
        <v>3036200</v>
      </c>
      <c r="C45" s="135">
        <f>SUM(C46:C49,C52:C55,C61)</f>
        <v>3036200</v>
      </c>
      <c r="D45" s="40">
        <f t="shared" si="2"/>
        <v>100</v>
      </c>
      <c r="E45" s="107">
        <f t="shared" si="3"/>
        <v>0</v>
      </c>
    </row>
    <row r="46" spans="1:5" s="13" customFormat="1" ht="19.5" customHeight="1">
      <c r="A46" s="136" t="s">
        <v>34</v>
      </c>
      <c r="B46" s="135">
        <v>1561800</v>
      </c>
      <c r="C46" s="125">
        <v>1561800</v>
      </c>
      <c r="D46" s="97">
        <f t="shared" si="2"/>
        <v>100</v>
      </c>
      <c r="E46" s="98">
        <f t="shared" si="3"/>
        <v>0</v>
      </c>
    </row>
    <row r="47" spans="1:5" s="13" customFormat="1" ht="19.5" customHeight="1">
      <c r="A47" s="38" t="s">
        <v>218</v>
      </c>
      <c r="B47" s="135">
        <v>0</v>
      </c>
      <c r="C47" s="125">
        <v>0</v>
      </c>
      <c r="D47" s="97" t="str">
        <f>IF(B47=0,"   ",C47/B47*100)</f>
        <v>   </v>
      </c>
      <c r="E47" s="98">
        <f>C47-B47</f>
        <v>0</v>
      </c>
    </row>
    <row r="48" spans="1:5" s="13" customFormat="1" ht="30" customHeight="1">
      <c r="A48" s="52" t="s">
        <v>51</v>
      </c>
      <c r="B48" s="85">
        <v>103700</v>
      </c>
      <c r="C48" s="126">
        <v>103700</v>
      </c>
      <c r="D48" s="54">
        <f t="shared" si="2"/>
        <v>100</v>
      </c>
      <c r="E48" s="55">
        <f t="shared" si="3"/>
        <v>0</v>
      </c>
    </row>
    <row r="49" spans="1:5" s="13" customFormat="1" ht="30" customHeight="1">
      <c r="A49" s="52" t="s">
        <v>140</v>
      </c>
      <c r="B49" s="85">
        <f>SUM(B50:B51)</f>
        <v>100</v>
      </c>
      <c r="C49" s="85">
        <f>SUM(C50:C51)</f>
        <v>100</v>
      </c>
      <c r="D49" s="54">
        <f t="shared" si="2"/>
        <v>100</v>
      </c>
      <c r="E49" s="55">
        <f t="shared" si="3"/>
        <v>0</v>
      </c>
    </row>
    <row r="50" spans="1:5" s="13" customFormat="1" ht="18" customHeight="1">
      <c r="A50" s="52" t="s">
        <v>155</v>
      </c>
      <c r="B50" s="85">
        <v>100</v>
      </c>
      <c r="C50" s="85">
        <v>100</v>
      </c>
      <c r="D50" s="54">
        <f t="shared" si="2"/>
        <v>100</v>
      </c>
      <c r="E50" s="55">
        <f t="shared" si="3"/>
        <v>0</v>
      </c>
    </row>
    <row r="51" spans="1:5" s="13" customFormat="1" ht="30" customHeight="1">
      <c r="A51" s="52" t="s">
        <v>156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9.75" customHeight="1">
      <c r="A52" s="21" t="s">
        <v>98</v>
      </c>
      <c r="B52" s="85">
        <v>0</v>
      </c>
      <c r="C52" s="85">
        <v>0</v>
      </c>
      <c r="D52" s="54" t="str">
        <f t="shared" si="2"/>
        <v>   </v>
      </c>
      <c r="E52" s="55">
        <f t="shared" si="3"/>
        <v>0</v>
      </c>
    </row>
    <row r="53" spans="1:5" s="13" customFormat="1" ht="30" customHeight="1">
      <c r="A53" s="21" t="s">
        <v>331</v>
      </c>
      <c r="B53" s="85">
        <v>48900</v>
      </c>
      <c r="C53" s="85">
        <v>48900</v>
      </c>
      <c r="D53" s="54">
        <f t="shared" si="2"/>
        <v>100</v>
      </c>
      <c r="E53" s="55">
        <f t="shared" si="3"/>
        <v>0</v>
      </c>
    </row>
    <row r="54" spans="1:5" s="13" customFormat="1" ht="41.25" customHeight="1">
      <c r="A54" s="21" t="s">
        <v>226</v>
      </c>
      <c r="B54" s="85">
        <v>883600</v>
      </c>
      <c r="C54" s="85">
        <v>883600</v>
      </c>
      <c r="D54" s="54">
        <f t="shared" si="2"/>
        <v>100</v>
      </c>
      <c r="E54" s="55">
        <f t="shared" si="3"/>
        <v>0</v>
      </c>
    </row>
    <row r="55" spans="1:5" s="13" customFormat="1" ht="18" customHeight="1">
      <c r="A55" s="21" t="s">
        <v>54</v>
      </c>
      <c r="B55" s="36">
        <f>SUM(B56:B60)</f>
        <v>438100</v>
      </c>
      <c r="C55" s="36">
        <f>SUM(C56:C60)</f>
        <v>438100</v>
      </c>
      <c r="D55" s="40">
        <f t="shared" si="2"/>
        <v>100</v>
      </c>
      <c r="E55" s="41">
        <f t="shared" si="3"/>
        <v>0</v>
      </c>
    </row>
    <row r="56" spans="1:5" s="13" customFormat="1" ht="18" customHeight="1">
      <c r="A56" s="21" t="s">
        <v>179</v>
      </c>
      <c r="B56" s="36">
        <v>71300</v>
      </c>
      <c r="C56" s="36">
        <v>71300</v>
      </c>
      <c r="D56" s="40">
        <f t="shared" si="2"/>
        <v>100</v>
      </c>
      <c r="E56" s="41">
        <f t="shared" si="3"/>
        <v>0</v>
      </c>
    </row>
    <row r="57" spans="1:5" s="13" customFormat="1" ht="27" customHeight="1">
      <c r="A57" s="21" t="s">
        <v>260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s="13" customFormat="1" ht="18" customHeight="1">
      <c r="A58" s="21" t="s">
        <v>298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18" customHeight="1">
      <c r="A59" s="21" t="s">
        <v>269</v>
      </c>
      <c r="B59" s="36">
        <v>0</v>
      </c>
      <c r="C59" s="36">
        <v>0</v>
      </c>
      <c r="D59" s="40" t="str">
        <f>IF(B59=0,"   ",C59/B59*100)</f>
        <v>   </v>
      </c>
      <c r="E59" s="41">
        <f>C59-B59</f>
        <v>0</v>
      </c>
    </row>
    <row r="60" spans="1:5" s="13" customFormat="1" ht="20.25" customHeight="1">
      <c r="A60" s="21" t="s">
        <v>104</v>
      </c>
      <c r="B60" s="36">
        <v>366800</v>
      </c>
      <c r="C60" s="36">
        <v>366800</v>
      </c>
      <c r="D60" s="40">
        <f t="shared" si="2"/>
        <v>100</v>
      </c>
      <c r="E60" s="41">
        <f t="shared" si="3"/>
        <v>0</v>
      </c>
    </row>
    <row r="61" spans="1:5" s="13" customFormat="1" ht="24.75" customHeight="1">
      <c r="A61" s="21" t="s">
        <v>189</v>
      </c>
      <c r="B61" s="36">
        <v>0</v>
      </c>
      <c r="C61" s="36">
        <v>0</v>
      </c>
      <c r="D61" s="40" t="str">
        <f t="shared" si="2"/>
        <v>   </v>
      </c>
      <c r="E61" s="41">
        <f t="shared" si="3"/>
        <v>0</v>
      </c>
    </row>
    <row r="62" spans="1:5" s="13" customFormat="1" ht="27" customHeight="1">
      <c r="A62" s="44" t="s">
        <v>11</v>
      </c>
      <c r="B62" s="116">
        <f>B44+B45</f>
        <v>5457554.8</v>
      </c>
      <c r="C62" s="116">
        <f>C44+C45</f>
        <v>5749160.029999999</v>
      </c>
      <c r="D62" s="46">
        <f aca="true" t="shared" si="4" ref="D62:D95">IF(B62=0,"   ",C62/B62*100)</f>
        <v>105.34314799734122</v>
      </c>
      <c r="E62" s="47">
        <f aca="true" t="shared" si="5" ref="E62:E95">C62-B62</f>
        <v>291605.2299999995</v>
      </c>
    </row>
    <row r="63" spans="1:5" s="7" customFormat="1" ht="15" thickBot="1">
      <c r="A63" s="87" t="s">
        <v>12</v>
      </c>
      <c r="B63" s="137"/>
      <c r="C63" s="138"/>
      <c r="D63" s="90"/>
      <c r="E63" s="91"/>
    </row>
    <row r="64" spans="1:5" s="13" customFormat="1" ht="18.75" customHeight="1" thickBot="1">
      <c r="A64" s="92" t="s">
        <v>35</v>
      </c>
      <c r="B64" s="93">
        <f>SUM(B65,B68:B69)</f>
        <v>1287584.4900000002</v>
      </c>
      <c r="C64" s="93">
        <f>SUM(C65,C68:C69)</f>
        <v>1285618.4500000002</v>
      </c>
      <c r="D64" s="94">
        <f t="shared" si="4"/>
        <v>99.84730788423833</v>
      </c>
      <c r="E64" s="95">
        <f t="shared" si="5"/>
        <v>-1966.0400000000373</v>
      </c>
    </row>
    <row r="65" spans="1:5" s="13" customFormat="1" ht="17.25" customHeight="1" thickBot="1">
      <c r="A65" s="68" t="s">
        <v>36</v>
      </c>
      <c r="B65" s="96">
        <v>1261721.37</v>
      </c>
      <c r="C65" s="93">
        <v>1259755.33</v>
      </c>
      <c r="D65" s="97">
        <f t="shared" si="4"/>
        <v>99.84417795824444</v>
      </c>
      <c r="E65" s="98">
        <f t="shared" si="5"/>
        <v>-1966.0400000000373</v>
      </c>
    </row>
    <row r="66" spans="1:5" s="13" customFormat="1" ht="18" customHeight="1">
      <c r="A66" s="21" t="s">
        <v>115</v>
      </c>
      <c r="B66" s="36">
        <v>817971.225</v>
      </c>
      <c r="C66" s="99">
        <v>816597.85</v>
      </c>
      <c r="D66" s="40">
        <f t="shared" si="4"/>
        <v>99.8320998394534</v>
      </c>
      <c r="E66" s="41">
        <f t="shared" si="5"/>
        <v>-1373.375</v>
      </c>
    </row>
    <row r="67" spans="1:5" s="13" customFormat="1" ht="18" customHeight="1">
      <c r="A67" s="21" t="s">
        <v>333</v>
      </c>
      <c r="B67" s="36">
        <v>48900</v>
      </c>
      <c r="C67" s="99">
        <v>48900</v>
      </c>
      <c r="D67" s="40">
        <f>IF(B67=0,"   ",C67/B67*100)</f>
        <v>100</v>
      </c>
      <c r="E67" s="41">
        <f>C67-B67</f>
        <v>0</v>
      </c>
    </row>
    <row r="68" spans="1:5" s="13" customFormat="1" ht="15.75" customHeight="1">
      <c r="A68" s="21" t="s">
        <v>91</v>
      </c>
      <c r="B68" s="36">
        <v>0</v>
      </c>
      <c r="C68" s="99">
        <v>0</v>
      </c>
      <c r="D68" s="40" t="str">
        <f t="shared" si="4"/>
        <v>   </v>
      </c>
      <c r="E68" s="41">
        <f t="shared" si="5"/>
        <v>0</v>
      </c>
    </row>
    <row r="69" spans="1:5" s="13" customFormat="1" ht="13.5">
      <c r="A69" s="21" t="s">
        <v>52</v>
      </c>
      <c r="B69" s="36">
        <f>SUM(B70:B71)</f>
        <v>25863.12</v>
      </c>
      <c r="C69" s="36">
        <f>SUM(C70:C71)</f>
        <v>25863.12</v>
      </c>
      <c r="D69" s="40">
        <f t="shared" si="4"/>
        <v>100</v>
      </c>
      <c r="E69" s="41">
        <f t="shared" si="5"/>
        <v>0</v>
      </c>
    </row>
    <row r="70" spans="1:5" s="13" customFormat="1" ht="28.5" customHeight="1">
      <c r="A70" s="17" t="s">
        <v>234</v>
      </c>
      <c r="B70" s="36">
        <v>5000</v>
      </c>
      <c r="C70" s="107">
        <v>5000</v>
      </c>
      <c r="D70" s="40">
        <f t="shared" si="4"/>
        <v>100</v>
      </c>
      <c r="E70" s="107">
        <f t="shared" si="5"/>
        <v>0</v>
      </c>
    </row>
    <row r="71" spans="1:5" s="13" customFormat="1" ht="17.25" customHeight="1" thickBot="1">
      <c r="A71" s="17" t="s">
        <v>212</v>
      </c>
      <c r="B71" s="36">
        <v>20863.12</v>
      </c>
      <c r="C71" s="107">
        <v>20863.12</v>
      </c>
      <c r="D71" s="40">
        <f t="shared" si="4"/>
        <v>100</v>
      </c>
      <c r="E71" s="107">
        <f t="shared" si="5"/>
        <v>0</v>
      </c>
    </row>
    <row r="72" spans="1:5" s="13" customFormat="1" ht="14.25" thickBot="1">
      <c r="A72" s="92" t="s">
        <v>49</v>
      </c>
      <c r="B72" s="106">
        <f>SUM(B73)</f>
        <v>103700</v>
      </c>
      <c r="C72" s="106">
        <f>SUM(C73)</f>
        <v>103700</v>
      </c>
      <c r="D72" s="110">
        <f t="shared" si="4"/>
        <v>100</v>
      </c>
      <c r="E72" s="113">
        <f t="shared" si="5"/>
        <v>0</v>
      </c>
    </row>
    <row r="73" spans="1:5" s="13" customFormat="1" ht="20.25" customHeight="1" thickBot="1">
      <c r="A73" s="60" t="s">
        <v>102</v>
      </c>
      <c r="B73" s="100">
        <v>103700</v>
      </c>
      <c r="C73" s="101">
        <v>103700</v>
      </c>
      <c r="D73" s="103">
        <f t="shared" si="4"/>
        <v>100</v>
      </c>
      <c r="E73" s="104">
        <f t="shared" si="5"/>
        <v>0</v>
      </c>
    </row>
    <row r="74" spans="1:5" s="13" customFormat="1" ht="14.25" thickBot="1">
      <c r="A74" s="92" t="s">
        <v>37</v>
      </c>
      <c r="B74" s="93">
        <f>SUM(B75)</f>
        <v>1000</v>
      </c>
      <c r="C74" s="93">
        <f>SUM(C75)</f>
        <v>1000</v>
      </c>
      <c r="D74" s="94">
        <f t="shared" si="4"/>
        <v>100</v>
      </c>
      <c r="E74" s="95">
        <f t="shared" si="5"/>
        <v>0</v>
      </c>
    </row>
    <row r="75" spans="1:5" s="13" customFormat="1" ht="14.25" thickBot="1">
      <c r="A75" s="60" t="s">
        <v>324</v>
      </c>
      <c r="B75" s="100">
        <v>1000</v>
      </c>
      <c r="C75" s="101">
        <v>1000</v>
      </c>
      <c r="D75" s="103">
        <f t="shared" si="4"/>
        <v>100</v>
      </c>
      <c r="E75" s="104">
        <f t="shared" si="5"/>
        <v>0</v>
      </c>
    </row>
    <row r="76" spans="1:5" s="13" customFormat="1" ht="14.25" thickBot="1">
      <c r="A76" s="92" t="s">
        <v>38</v>
      </c>
      <c r="B76" s="93">
        <f>B77+B84+B96+B82</f>
        <v>1913708</v>
      </c>
      <c r="C76" s="93">
        <f>C77+C84+C96+C82</f>
        <v>1839408</v>
      </c>
      <c r="D76" s="94">
        <f t="shared" si="4"/>
        <v>96.11748500816216</v>
      </c>
      <c r="E76" s="95">
        <f t="shared" si="5"/>
        <v>-74300</v>
      </c>
    </row>
    <row r="77" spans="1:5" s="13" customFormat="1" ht="19.5" customHeight="1" thickBot="1">
      <c r="A77" s="60" t="s">
        <v>157</v>
      </c>
      <c r="B77" s="93">
        <f>SUM(B78:B81)</f>
        <v>8108</v>
      </c>
      <c r="C77" s="93">
        <f>SUM(C78:C81)</f>
        <v>3608</v>
      </c>
      <c r="D77" s="94">
        <f aca="true" t="shared" si="6" ref="D77:D83">IF(B77=0,"   ",C77/B77*100)</f>
        <v>44.4992599901332</v>
      </c>
      <c r="E77" s="95">
        <f aca="true" t="shared" si="7" ref="E77:E83">C77-B77</f>
        <v>-4500</v>
      </c>
    </row>
    <row r="78" spans="1:5" s="13" customFormat="1" ht="17.25" customHeight="1" thickBot="1">
      <c r="A78" s="62" t="s">
        <v>158</v>
      </c>
      <c r="B78" s="105">
        <v>0</v>
      </c>
      <c r="C78" s="93">
        <v>0</v>
      </c>
      <c r="D78" s="94" t="str">
        <f t="shared" si="6"/>
        <v>   </v>
      </c>
      <c r="E78" s="95">
        <f t="shared" si="7"/>
        <v>0</v>
      </c>
    </row>
    <row r="79" spans="1:5" s="13" customFormat="1" ht="17.25" customHeight="1">
      <c r="A79" s="62" t="s">
        <v>180</v>
      </c>
      <c r="B79" s="100">
        <v>3608</v>
      </c>
      <c r="C79" s="109">
        <v>3608</v>
      </c>
      <c r="D79" s="97">
        <f t="shared" si="6"/>
        <v>100</v>
      </c>
      <c r="E79" s="107">
        <f t="shared" si="7"/>
        <v>0</v>
      </c>
    </row>
    <row r="80" spans="1:5" s="13" customFormat="1" ht="17.25" customHeight="1">
      <c r="A80" s="62" t="s">
        <v>299</v>
      </c>
      <c r="B80" s="36">
        <v>0</v>
      </c>
      <c r="C80" s="36">
        <v>0</v>
      </c>
      <c r="D80" s="97" t="str">
        <f t="shared" si="6"/>
        <v>   </v>
      </c>
      <c r="E80" s="107">
        <f t="shared" si="7"/>
        <v>0</v>
      </c>
    </row>
    <row r="81" spans="1:5" s="13" customFormat="1" ht="17.25" customHeight="1">
      <c r="A81" s="62" t="s">
        <v>300</v>
      </c>
      <c r="B81" s="36">
        <v>4500</v>
      </c>
      <c r="C81" s="36">
        <v>0</v>
      </c>
      <c r="D81" s="97">
        <f t="shared" si="6"/>
        <v>0</v>
      </c>
      <c r="E81" s="107">
        <f t="shared" si="7"/>
        <v>-4500</v>
      </c>
    </row>
    <row r="82" spans="1:5" s="13" customFormat="1" ht="17.25" customHeight="1" thickBot="1">
      <c r="A82" s="62" t="s">
        <v>220</v>
      </c>
      <c r="B82" s="106">
        <f>SUM(B83)</f>
        <v>0</v>
      </c>
      <c r="C82" s="106">
        <f>SUM(C83)</f>
        <v>0</v>
      </c>
      <c r="D82" s="97" t="str">
        <f t="shared" si="6"/>
        <v>   </v>
      </c>
      <c r="E82" s="98">
        <f t="shared" si="7"/>
        <v>0</v>
      </c>
    </row>
    <row r="83" spans="1:5" s="13" customFormat="1" ht="17.25" customHeight="1">
      <c r="A83" s="62" t="s">
        <v>221</v>
      </c>
      <c r="B83" s="100">
        <v>0</v>
      </c>
      <c r="C83" s="100">
        <v>0</v>
      </c>
      <c r="D83" s="97" t="str">
        <f t="shared" si="6"/>
        <v>   </v>
      </c>
      <c r="E83" s="98">
        <f t="shared" si="7"/>
        <v>0</v>
      </c>
    </row>
    <row r="84" spans="1:5" s="13" customFormat="1" ht="18.75" customHeight="1">
      <c r="A84" s="62" t="s">
        <v>124</v>
      </c>
      <c r="B84" s="96">
        <f>SUM(B85:B86,B90:B95)</f>
        <v>1905600</v>
      </c>
      <c r="C84" s="96">
        <f>SUM(C85:C86,C90:C95)</f>
        <v>1835800</v>
      </c>
      <c r="D84" s="97">
        <f t="shared" si="4"/>
        <v>96.33711167086481</v>
      </c>
      <c r="E84" s="98">
        <f t="shared" si="5"/>
        <v>-69800</v>
      </c>
    </row>
    <row r="85" spans="1:5" s="13" customFormat="1" ht="19.5" customHeight="1">
      <c r="A85" s="60" t="s">
        <v>141</v>
      </c>
      <c r="B85" s="36">
        <v>0</v>
      </c>
      <c r="C85" s="36"/>
      <c r="D85" s="97" t="str">
        <f t="shared" si="4"/>
        <v>   </v>
      </c>
      <c r="E85" s="107">
        <f t="shared" si="5"/>
        <v>0</v>
      </c>
    </row>
    <row r="86" spans="1:5" s="13" customFormat="1" ht="19.5" customHeight="1">
      <c r="A86" s="17" t="s">
        <v>196</v>
      </c>
      <c r="B86" s="36">
        <f>SUM(B87:B89)</f>
        <v>0</v>
      </c>
      <c r="C86" s="36">
        <f>SUM(C87:C89)</f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9.25" customHeight="1">
      <c r="A87" s="17" t="s">
        <v>206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7" customHeight="1">
      <c r="A88" s="17" t="s">
        <v>197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26.25" customHeight="1">
      <c r="A89" s="17" t="s">
        <v>207</v>
      </c>
      <c r="B89" s="36">
        <v>0</v>
      </c>
      <c r="C89" s="36">
        <v>0</v>
      </c>
      <c r="D89" s="97" t="str">
        <f>IF(B89=0,"   ",C89/B89*100)</f>
        <v>   </v>
      </c>
      <c r="E89" s="107">
        <f>C89-B89</f>
        <v>0</v>
      </c>
    </row>
    <row r="90" spans="1:5" s="13" customFormat="1" ht="33.75" customHeight="1">
      <c r="A90" s="17" t="s">
        <v>237</v>
      </c>
      <c r="B90" s="36">
        <v>461600</v>
      </c>
      <c r="C90" s="36">
        <v>446400</v>
      </c>
      <c r="D90" s="97">
        <f t="shared" si="4"/>
        <v>96.70710571923743</v>
      </c>
      <c r="E90" s="114">
        <f t="shared" si="5"/>
        <v>-15200</v>
      </c>
    </row>
    <row r="91" spans="1:5" s="13" customFormat="1" ht="27" customHeight="1">
      <c r="A91" s="17" t="s">
        <v>238</v>
      </c>
      <c r="B91" s="36">
        <v>54600</v>
      </c>
      <c r="C91" s="36">
        <v>0</v>
      </c>
      <c r="D91" s="97">
        <f t="shared" si="4"/>
        <v>0</v>
      </c>
      <c r="E91" s="114">
        <f t="shared" si="5"/>
        <v>-54600</v>
      </c>
    </row>
    <row r="92" spans="1:5" s="13" customFormat="1" ht="27" customHeight="1">
      <c r="A92" s="17" t="s">
        <v>239</v>
      </c>
      <c r="B92" s="36">
        <v>883600</v>
      </c>
      <c r="C92" s="36">
        <v>883600</v>
      </c>
      <c r="D92" s="97">
        <f t="shared" si="4"/>
        <v>100</v>
      </c>
      <c r="E92" s="114">
        <f t="shared" si="5"/>
        <v>0</v>
      </c>
    </row>
    <row r="93" spans="1:5" s="13" customFormat="1" ht="27" customHeight="1">
      <c r="A93" s="17" t="s">
        <v>240</v>
      </c>
      <c r="B93" s="36">
        <v>98200</v>
      </c>
      <c r="C93" s="36">
        <v>98200</v>
      </c>
      <c r="D93" s="97">
        <f t="shared" si="4"/>
        <v>100</v>
      </c>
      <c r="E93" s="114">
        <f t="shared" si="5"/>
        <v>0</v>
      </c>
    </row>
    <row r="94" spans="1:5" s="13" customFormat="1" ht="27" customHeight="1">
      <c r="A94" s="17" t="s">
        <v>241</v>
      </c>
      <c r="B94" s="36">
        <v>366800</v>
      </c>
      <c r="C94" s="36">
        <v>366800</v>
      </c>
      <c r="D94" s="97">
        <f t="shared" si="4"/>
        <v>100</v>
      </c>
      <c r="E94" s="114">
        <f t="shared" si="5"/>
        <v>0</v>
      </c>
    </row>
    <row r="95" spans="1:5" s="13" customFormat="1" ht="27">
      <c r="A95" s="17" t="s">
        <v>242</v>
      </c>
      <c r="B95" s="36">
        <v>40800</v>
      </c>
      <c r="C95" s="36">
        <v>40800</v>
      </c>
      <c r="D95" s="40">
        <f t="shared" si="4"/>
        <v>100</v>
      </c>
      <c r="E95" s="107">
        <f t="shared" si="5"/>
        <v>0</v>
      </c>
    </row>
    <row r="96" spans="1:5" s="13" customFormat="1" ht="13.5">
      <c r="A96" s="68" t="s">
        <v>168</v>
      </c>
      <c r="B96" s="36">
        <f>SUM(B97+B98)</f>
        <v>0</v>
      </c>
      <c r="C96" s="36">
        <f>SUM(C97+C98)</f>
        <v>0</v>
      </c>
      <c r="D96" s="40" t="str">
        <f>IF(B96=0,"   ",C96/B96*100)</f>
        <v>   </v>
      </c>
      <c r="E96" s="107">
        <f>C96-B96</f>
        <v>0</v>
      </c>
    </row>
    <row r="97" spans="1:5" s="13" customFormat="1" ht="27">
      <c r="A97" s="17" t="s">
        <v>147</v>
      </c>
      <c r="B97" s="36">
        <v>0</v>
      </c>
      <c r="C97" s="36">
        <v>0</v>
      </c>
      <c r="D97" s="40" t="str">
        <f>IF(B97=0,"   ",C97/B97*100)</f>
        <v>   </v>
      </c>
      <c r="E97" s="107">
        <f>C97-B97</f>
        <v>0</v>
      </c>
    </row>
    <row r="98" spans="1:5" s="13" customFormat="1" ht="27.75" thickBot="1">
      <c r="A98" s="60" t="s">
        <v>169</v>
      </c>
      <c r="B98" s="36">
        <v>0</v>
      </c>
      <c r="C98" s="36">
        <v>0</v>
      </c>
      <c r="D98" s="40" t="str">
        <f>IF(B98=0,"   ",C98/B98*100)</f>
        <v>   </v>
      </c>
      <c r="E98" s="107">
        <f>C98-B98</f>
        <v>0</v>
      </c>
    </row>
    <row r="99" spans="1:5" s="13" customFormat="1" ht="14.25" thickBot="1">
      <c r="A99" s="92" t="s">
        <v>13</v>
      </c>
      <c r="B99" s="36">
        <f>B114+B102+B104+B123</f>
        <v>1241562.31</v>
      </c>
      <c r="C99" s="36">
        <f>C114+C102+C104+C123</f>
        <v>1191562.31</v>
      </c>
      <c r="D99" s="40">
        <f>IF(B99=0,"   ",C99/B99*100)</f>
        <v>95.97281589516035</v>
      </c>
      <c r="E99" s="107">
        <f>C99-B99</f>
        <v>-50000</v>
      </c>
    </row>
    <row r="100" spans="1:5" s="13" customFormat="1" ht="12.75" customHeight="1" hidden="1">
      <c r="A100" s="68" t="s">
        <v>40</v>
      </c>
      <c r="B100" s="96" t="e">
        <f>SUM(#REF!,B114,#REF!)</f>
        <v>#REF!</v>
      </c>
      <c r="C100" s="96" t="e">
        <f>SUM(#REF!,C114,#REF!)</f>
        <v>#REF!</v>
      </c>
      <c r="D100" s="97" t="e">
        <f>IF(#REF!=0,"   ",C100/#REF!)</f>
        <v>#REF!</v>
      </c>
      <c r="E100" s="98" t="e">
        <f>C100-#REF!</f>
        <v>#REF!</v>
      </c>
    </row>
    <row r="101" spans="1:5" s="13" customFormat="1" ht="12.75" customHeight="1" hidden="1">
      <c r="A101" s="21" t="s">
        <v>18</v>
      </c>
      <c r="B101" s="36">
        <v>851563</v>
      </c>
      <c r="C101" s="107">
        <v>851563</v>
      </c>
      <c r="D101" s="40" t="e">
        <f>IF(#REF!=0,"   ",C101/#REF!)</f>
        <v>#REF!</v>
      </c>
      <c r="E101" s="41" t="e">
        <f>C101-#REF!</f>
        <v>#REF!</v>
      </c>
    </row>
    <row r="102" spans="1:5" s="13" customFormat="1" ht="12.75" customHeight="1">
      <c r="A102" s="21" t="s">
        <v>148</v>
      </c>
      <c r="B102" s="36">
        <f>SUM(B103)</f>
        <v>0</v>
      </c>
      <c r="C102" s="36">
        <f>SUM(C103)</f>
        <v>0</v>
      </c>
      <c r="D102" s="40" t="str">
        <f aca="true" t="shared" si="8" ref="D102:D111">IF(B102=0,"   ",C102/B102*100)</f>
        <v>   </v>
      </c>
      <c r="E102" s="107">
        <f aca="true" t="shared" si="9" ref="E102:E113">C102-B102</f>
        <v>0</v>
      </c>
    </row>
    <row r="103" spans="1:5" s="13" customFormat="1" ht="12.75" customHeight="1">
      <c r="A103" s="21" t="s">
        <v>149</v>
      </c>
      <c r="B103" s="36">
        <v>0</v>
      </c>
      <c r="C103" s="36">
        <v>0</v>
      </c>
      <c r="D103" s="40" t="str">
        <f t="shared" si="8"/>
        <v>   </v>
      </c>
      <c r="E103" s="107">
        <f t="shared" si="9"/>
        <v>0</v>
      </c>
    </row>
    <row r="104" spans="1:5" s="13" customFormat="1" ht="12.75" customHeight="1">
      <c r="A104" s="21" t="s">
        <v>142</v>
      </c>
      <c r="B104" s="36">
        <f>SUM(B105:B109,B113)</f>
        <v>795407.51</v>
      </c>
      <c r="C104" s="36">
        <f>SUM(C105:C109,C113)</f>
        <v>795407.51</v>
      </c>
      <c r="D104" s="40">
        <f t="shared" si="8"/>
        <v>100</v>
      </c>
      <c r="E104" s="107">
        <f t="shared" si="9"/>
        <v>0</v>
      </c>
    </row>
    <row r="105" spans="1:5" s="13" customFormat="1" ht="26.25" customHeight="1">
      <c r="A105" s="21" t="s">
        <v>186</v>
      </c>
      <c r="B105" s="36">
        <v>0</v>
      </c>
      <c r="C105" s="36">
        <v>0</v>
      </c>
      <c r="D105" s="40" t="str">
        <f>IF(B105=0,"   ",C105/B105*100)</f>
        <v>   </v>
      </c>
      <c r="E105" s="107">
        <f>C105-B105</f>
        <v>0</v>
      </c>
    </row>
    <row r="106" spans="1:5" s="13" customFormat="1" ht="12.75" customHeight="1">
      <c r="A106" s="38" t="s">
        <v>151</v>
      </c>
      <c r="B106" s="36">
        <v>0</v>
      </c>
      <c r="C106" s="36">
        <v>0</v>
      </c>
      <c r="D106" s="40" t="str">
        <f>IF(B106=0,"   ",C106/B106*100)</f>
        <v>   </v>
      </c>
      <c r="E106" s="107">
        <f>C106-B106</f>
        <v>0</v>
      </c>
    </row>
    <row r="107" spans="1:5" s="13" customFormat="1" ht="12.75" customHeight="1">
      <c r="A107" s="21" t="s">
        <v>272</v>
      </c>
      <c r="B107" s="36">
        <v>0</v>
      </c>
      <c r="C107" s="36">
        <v>0</v>
      </c>
      <c r="D107" s="40" t="str">
        <f t="shared" si="8"/>
        <v>   </v>
      </c>
      <c r="E107" s="107">
        <f t="shared" si="9"/>
        <v>0</v>
      </c>
    </row>
    <row r="108" spans="1:5" s="13" customFormat="1" ht="12.75" customHeight="1">
      <c r="A108" s="21" t="s">
        <v>280</v>
      </c>
      <c r="B108" s="96">
        <v>0</v>
      </c>
      <c r="C108" s="96">
        <v>0</v>
      </c>
      <c r="D108" s="40" t="str">
        <f t="shared" si="8"/>
        <v>   </v>
      </c>
      <c r="E108" s="107">
        <f t="shared" si="9"/>
        <v>0</v>
      </c>
    </row>
    <row r="109" spans="1:5" s="13" customFormat="1" ht="18.75" customHeight="1">
      <c r="A109" s="17" t="s">
        <v>196</v>
      </c>
      <c r="B109" s="96">
        <f>SUM(B110+B111+B112)</f>
        <v>0</v>
      </c>
      <c r="C109" s="96">
        <f>SUM(C110+C111+C112)</f>
        <v>0</v>
      </c>
      <c r="D109" s="40" t="str">
        <f t="shared" si="8"/>
        <v>   </v>
      </c>
      <c r="E109" s="107">
        <f t="shared" si="9"/>
        <v>0</v>
      </c>
    </row>
    <row r="110" spans="1:5" s="13" customFormat="1" ht="22.5" customHeight="1">
      <c r="A110" s="17" t="s">
        <v>178</v>
      </c>
      <c r="B110" s="36">
        <v>0</v>
      </c>
      <c r="C110" s="36"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7" customHeight="1">
      <c r="A111" s="17" t="s">
        <v>197</v>
      </c>
      <c r="B111" s="36">
        <v>0</v>
      </c>
      <c r="C111" s="36">
        <v>0</v>
      </c>
      <c r="D111" s="40" t="str">
        <f t="shared" si="8"/>
        <v>   </v>
      </c>
      <c r="E111" s="107">
        <f t="shared" si="9"/>
        <v>0</v>
      </c>
    </row>
    <row r="112" spans="1:5" s="13" customFormat="1" ht="28.5" customHeight="1">
      <c r="A112" s="17" t="s">
        <v>207</v>
      </c>
      <c r="B112" s="36">
        <v>0</v>
      </c>
      <c r="C112" s="36">
        <v>0</v>
      </c>
      <c r="D112" s="40" t="str">
        <f>IF(B112=0,"   ",C112/B112*100)</f>
        <v>   </v>
      </c>
      <c r="E112" s="107">
        <f t="shared" si="9"/>
        <v>0</v>
      </c>
    </row>
    <row r="113" spans="1:5" s="13" customFormat="1" ht="12.75" customHeight="1">
      <c r="A113" s="21" t="s">
        <v>308</v>
      </c>
      <c r="B113" s="36">
        <v>795407.51</v>
      </c>
      <c r="C113" s="36">
        <v>795407.51</v>
      </c>
      <c r="D113" s="40">
        <f>IF(B113=0,"   ",C113/B113*100)</f>
        <v>100</v>
      </c>
      <c r="E113" s="107">
        <f t="shared" si="9"/>
        <v>0</v>
      </c>
    </row>
    <row r="114" spans="1:5" s="13" customFormat="1" ht="13.5">
      <c r="A114" s="21" t="s">
        <v>58</v>
      </c>
      <c r="B114" s="36">
        <f>SUM(B115:B119)</f>
        <v>446054.8</v>
      </c>
      <c r="C114" s="36">
        <f>SUM(C115:C119)</f>
        <v>396054.8</v>
      </c>
      <c r="D114" s="40">
        <f aca="true" t="shared" si="10" ref="D114:D129">IF(B114=0,"   ",C114/B114*100)</f>
        <v>88.79061496479804</v>
      </c>
      <c r="E114" s="41">
        <f aca="true" t="shared" si="11" ref="E114:E129">C114-B114</f>
        <v>-50000</v>
      </c>
    </row>
    <row r="115" spans="1:5" s="13" customFormat="1" ht="15" customHeight="1">
      <c r="A115" s="21" t="s">
        <v>56</v>
      </c>
      <c r="B115" s="36">
        <v>327200</v>
      </c>
      <c r="C115" s="107">
        <v>277200</v>
      </c>
      <c r="D115" s="40">
        <f t="shared" si="10"/>
        <v>84.71882640586797</v>
      </c>
      <c r="E115" s="41">
        <f t="shared" si="11"/>
        <v>-50000</v>
      </c>
    </row>
    <row r="116" spans="1:5" s="13" customFormat="1" ht="32.25" customHeight="1">
      <c r="A116" s="17" t="s">
        <v>159</v>
      </c>
      <c r="B116" s="108">
        <v>0</v>
      </c>
      <c r="C116" s="139">
        <v>0</v>
      </c>
      <c r="D116" s="90" t="str">
        <f t="shared" si="10"/>
        <v>   </v>
      </c>
      <c r="E116" s="91">
        <f t="shared" si="11"/>
        <v>0</v>
      </c>
    </row>
    <row r="117" spans="1:5" s="13" customFormat="1" ht="17.25" customHeight="1">
      <c r="A117" s="17" t="s">
        <v>57</v>
      </c>
      <c r="B117" s="36">
        <v>0</v>
      </c>
      <c r="C117" s="99">
        <v>0</v>
      </c>
      <c r="D117" s="90" t="str">
        <f t="shared" si="10"/>
        <v>   </v>
      </c>
      <c r="E117" s="91">
        <f t="shared" si="11"/>
        <v>0</v>
      </c>
    </row>
    <row r="118" spans="1:5" s="13" customFormat="1" ht="17.25" customHeight="1">
      <c r="A118" s="17" t="s">
        <v>273</v>
      </c>
      <c r="B118" s="36">
        <v>0</v>
      </c>
      <c r="C118" s="99">
        <v>0</v>
      </c>
      <c r="D118" s="90" t="str">
        <f t="shared" si="10"/>
        <v>   </v>
      </c>
      <c r="E118" s="107">
        <f t="shared" si="11"/>
        <v>0</v>
      </c>
    </row>
    <row r="119" spans="1:5" s="13" customFormat="1" ht="17.25" customHeight="1">
      <c r="A119" s="17" t="s">
        <v>196</v>
      </c>
      <c r="B119" s="36">
        <f>SUM(B120+B121+B122)</f>
        <v>118854.79999999999</v>
      </c>
      <c r="C119" s="36">
        <f>SUM(C120+C121+C122)</f>
        <v>118854.79999999999</v>
      </c>
      <c r="D119" s="40">
        <f t="shared" si="10"/>
        <v>100</v>
      </c>
      <c r="E119" s="107">
        <f t="shared" si="11"/>
        <v>0</v>
      </c>
    </row>
    <row r="120" spans="1:5" s="13" customFormat="1" ht="15.75" customHeight="1">
      <c r="A120" s="17" t="s">
        <v>178</v>
      </c>
      <c r="B120" s="36">
        <v>71300</v>
      </c>
      <c r="C120" s="99">
        <v>71300</v>
      </c>
      <c r="D120" s="40">
        <f t="shared" si="10"/>
        <v>100</v>
      </c>
      <c r="E120" s="107">
        <f t="shared" si="11"/>
        <v>0</v>
      </c>
    </row>
    <row r="121" spans="1:5" s="13" customFormat="1" ht="27.75" customHeight="1">
      <c r="A121" s="17" t="s">
        <v>197</v>
      </c>
      <c r="B121" s="36">
        <v>23777.4</v>
      </c>
      <c r="C121" s="99">
        <v>23777.4</v>
      </c>
      <c r="D121" s="40">
        <f>IF(B121=0,"   ",C121/B121*100)</f>
        <v>100</v>
      </c>
      <c r="E121" s="107">
        <f>C121-B121</f>
        <v>0</v>
      </c>
    </row>
    <row r="122" spans="1:5" s="13" customFormat="1" ht="27" customHeight="1" thickBot="1">
      <c r="A122" s="17" t="s">
        <v>207</v>
      </c>
      <c r="B122" s="36">
        <v>23777.4</v>
      </c>
      <c r="C122" s="99">
        <v>23777.4</v>
      </c>
      <c r="D122" s="40">
        <f t="shared" si="10"/>
        <v>100</v>
      </c>
      <c r="E122" s="107">
        <f t="shared" si="11"/>
        <v>0</v>
      </c>
    </row>
    <row r="123" spans="1:5" s="13" customFormat="1" ht="18" customHeight="1" thickBot="1">
      <c r="A123" s="62" t="s">
        <v>310</v>
      </c>
      <c r="B123" s="111">
        <f>SUM(B124)</f>
        <v>100</v>
      </c>
      <c r="C123" s="111">
        <f>SUM(C124)</f>
        <v>100</v>
      </c>
      <c r="D123" s="40">
        <f>IF(B123=0,"   ",C123/B123*100)</f>
        <v>100</v>
      </c>
      <c r="E123" s="107">
        <f>C123-B123</f>
        <v>0</v>
      </c>
    </row>
    <row r="124" spans="1:5" s="13" customFormat="1" ht="15" customHeight="1">
      <c r="A124" s="62" t="s">
        <v>261</v>
      </c>
      <c r="B124" s="36">
        <v>100</v>
      </c>
      <c r="C124" s="99">
        <v>100</v>
      </c>
      <c r="D124" s="40">
        <f>IF(B124=0,"   ",C124/B124*100)</f>
        <v>100</v>
      </c>
      <c r="E124" s="107">
        <f>C124-B124</f>
        <v>0</v>
      </c>
    </row>
    <row r="125" spans="1:5" s="13" customFormat="1" ht="15" customHeight="1" thickBot="1">
      <c r="A125" s="112" t="s">
        <v>17</v>
      </c>
      <c r="B125" s="106">
        <v>0</v>
      </c>
      <c r="C125" s="106">
        <v>0</v>
      </c>
      <c r="D125" s="110" t="str">
        <f t="shared" si="10"/>
        <v>   </v>
      </c>
      <c r="E125" s="113">
        <f t="shared" si="11"/>
        <v>0</v>
      </c>
    </row>
    <row r="126" spans="1:5" s="13" customFormat="1" ht="14.25" thickBot="1">
      <c r="A126" s="92" t="s">
        <v>41</v>
      </c>
      <c r="B126" s="111">
        <f>SUM(B127)</f>
        <v>1089400</v>
      </c>
      <c r="C126" s="93">
        <f>SUM(C127)</f>
        <v>1089400</v>
      </c>
      <c r="D126" s="94">
        <f t="shared" si="10"/>
        <v>100</v>
      </c>
      <c r="E126" s="95">
        <f t="shared" si="11"/>
        <v>0</v>
      </c>
    </row>
    <row r="127" spans="1:5" s="13" customFormat="1" ht="14.25" thickBot="1">
      <c r="A127" s="68" t="s">
        <v>42</v>
      </c>
      <c r="B127" s="96">
        <v>1089400</v>
      </c>
      <c r="C127" s="114">
        <v>1089400</v>
      </c>
      <c r="D127" s="97">
        <f t="shared" si="10"/>
        <v>100</v>
      </c>
      <c r="E127" s="98">
        <f t="shared" si="11"/>
        <v>0</v>
      </c>
    </row>
    <row r="128" spans="1:5" s="13" customFormat="1" ht="19.5" customHeight="1" thickBot="1">
      <c r="A128" s="92" t="s">
        <v>119</v>
      </c>
      <c r="B128" s="111">
        <f>SUM(B129)</f>
        <v>0</v>
      </c>
      <c r="C128" s="111">
        <f>SUM(C129)</f>
        <v>0</v>
      </c>
      <c r="D128" s="94" t="str">
        <f t="shared" si="10"/>
        <v>   </v>
      </c>
      <c r="E128" s="95">
        <f t="shared" si="11"/>
        <v>0</v>
      </c>
    </row>
    <row r="129" spans="1:5" s="13" customFormat="1" ht="16.5" customHeight="1">
      <c r="A129" s="60" t="s">
        <v>43</v>
      </c>
      <c r="B129" s="100">
        <v>0</v>
      </c>
      <c r="C129" s="115">
        <v>0</v>
      </c>
      <c r="D129" s="103" t="str">
        <f t="shared" si="10"/>
        <v>   </v>
      </c>
      <c r="E129" s="104">
        <f t="shared" si="11"/>
        <v>0</v>
      </c>
    </row>
    <row r="130" spans="1:5" s="13" customFormat="1" ht="16.5" customHeight="1">
      <c r="A130" s="44" t="s">
        <v>15</v>
      </c>
      <c r="B130" s="116">
        <f>SUM(B64,B72,B74,B76,B99,B125,B126,B128,)</f>
        <v>5636954.800000001</v>
      </c>
      <c r="C130" s="116">
        <f>SUM(C64,C72,C74,C76,C99,C125,C126,C128,)</f>
        <v>5510688.76</v>
      </c>
      <c r="D130" s="46">
        <f>IF(B130=0,"   ",C130/B130*100)</f>
        <v>97.76003100113556</v>
      </c>
      <c r="E130" s="47">
        <f>C130-B130</f>
        <v>-126266.04000000097</v>
      </c>
    </row>
    <row r="131" spans="1:5" s="13" customFormat="1" ht="12.75" customHeight="1" hidden="1">
      <c r="A131" s="60" t="s">
        <v>21</v>
      </c>
      <c r="B131" s="140"/>
      <c r="C131" s="101"/>
      <c r="D131" s="97" t="e">
        <f>IF(#REF!=0,"   ",C131/#REF!)</f>
        <v>#REF!</v>
      </c>
      <c r="E131" s="98" t="e">
        <f>C131-#REF!</f>
        <v>#REF!</v>
      </c>
    </row>
    <row r="132" spans="1:5" s="13" customFormat="1" ht="12.75" customHeight="1" hidden="1">
      <c r="A132" s="17" t="s">
        <v>22</v>
      </c>
      <c r="B132" s="141">
        <v>1122919</v>
      </c>
      <c r="C132" s="139">
        <v>815256</v>
      </c>
      <c r="D132" s="40" t="e">
        <f>IF(#REF!=0,"   ",C132/#REF!)</f>
        <v>#REF!</v>
      </c>
      <c r="E132" s="41" t="e">
        <f>C132-#REF!</f>
        <v>#REF!</v>
      </c>
    </row>
    <row r="133" spans="1:5" s="13" customFormat="1" ht="13.5" customHeight="1" hidden="1" thickBot="1">
      <c r="A133" s="17" t="s">
        <v>23</v>
      </c>
      <c r="B133" s="141">
        <v>1700000</v>
      </c>
      <c r="C133" s="142">
        <v>1700000</v>
      </c>
      <c r="D133" s="90" t="e">
        <f>IF(#REF!=0,"   ",C133/#REF!)</f>
        <v>#REF!</v>
      </c>
      <c r="E133" s="91" t="e">
        <f>C133-#REF!</f>
        <v>#REF!</v>
      </c>
    </row>
    <row r="134" spans="1:5" s="13" customFormat="1" ht="33" customHeight="1">
      <c r="A134" s="71" t="s">
        <v>290</v>
      </c>
      <c r="B134" s="71"/>
      <c r="C134" s="165"/>
      <c r="D134" s="165"/>
      <c r="E134" s="165"/>
    </row>
    <row r="135" spans="1:5" s="13" customFormat="1" ht="15.75" customHeight="1">
      <c r="A135" s="71" t="s">
        <v>146</v>
      </c>
      <c r="B135" s="71"/>
      <c r="C135" s="72" t="s">
        <v>291</v>
      </c>
      <c r="D135" s="73"/>
      <c r="E135" s="74"/>
    </row>
    <row r="136" spans="1:5" s="6" customFormat="1" ht="13.5">
      <c r="A136" s="71"/>
      <c r="B136" s="71"/>
      <c r="C136" s="117"/>
      <c r="D136" s="71"/>
      <c r="E136" s="118"/>
    </row>
    <row r="137" spans="1:5" s="6" customFormat="1" ht="13.5">
      <c r="A137" s="71"/>
      <c r="B137" s="71"/>
      <c r="C137" s="117"/>
      <c r="D137" s="71"/>
      <c r="E137" s="118"/>
    </row>
    <row r="138" spans="1:5" s="6" customFormat="1" ht="13.5">
      <c r="A138" s="71"/>
      <c r="B138" s="71"/>
      <c r="C138" s="117"/>
      <c r="D138" s="71"/>
      <c r="E138" s="118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1:5" s="6" customFormat="1" ht="13.5">
      <c r="A141" s="71"/>
      <c r="B141" s="71"/>
      <c r="C141" s="117"/>
      <c r="D141" s="71"/>
      <c r="E141" s="118"/>
    </row>
    <row r="142" spans="3:5" s="6" customFormat="1" ht="12.75">
      <c r="C142" s="5"/>
      <c r="E142" s="2"/>
    </row>
    <row r="143" spans="3:5" s="6" customFormat="1" ht="12.75">
      <c r="C143" s="5"/>
      <c r="E143" s="2"/>
    </row>
    <row r="144" spans="3:5" s="6" customFormat="1" ht="12.75">
      <c r="C144" s="5"/>
      <c r="E144" s="2"/>
    </row>
    <row r="145" spans="3:5" s="6" customFormat="1" ht="12.75">
      <c r="C145" s="5"/>
      <c r="E145" s="2"/>
    </row>
  </sheetData>
  <sheetProtection/>
  <mergeCells count="2">
    <mergeCell ref="C134:E134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PageLayoutView="0" workbookViewId="0" topLeftCell="A40">
      <selection activeCell="C23" sqref="C23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6" t="s">
        <v>353</v>
      </c>
      <c r="B1" s="166"/>
      <c r="C1" s="166"/>
      <c r="D1" s="166"/>
      <c r="E1" s="166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292</v>
      </c>
      <c r="C4" s="26" t="s">
        <v>343</v>
      </c>
      <c r="D4" s="25" t="s">
        <v>297</v>
      </c>
      <c r="E4" s="27" t="s">
        <v>294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11800</v>
      </c>
      <c r="C7" s="143">
        <f>SUM(C8)</f>
        <v>17217.9</v>
      </c>
      <c r="D7" s="40">
        <f aca="true" t="shared" si="0" ref="D7:D100">IF(B7=0,"   ",C7/B7*100)</f>
        <v>145.91440677966102</v>
      </c>
      <c r="E7" s="41">
        <f aca="true" t="shared" si="1" ref="E7:E101">C7-B7</f>
        <v>5417.9000000000015</v>
      </c>
    </row>
    <row r="8" spans="1:5" ht="13.5">
      <c r="A8" s="21" t="s">
        <v>44</v>
      </c>
      <c r="B8" s="36">
        <v>11800</v>
      </c>
      <c r="C8" s="86">
        <v>17217.9</v>
      </c>
      <c r="D8" s="40">
        <f t="shared" si="0"/>
        <v>145.91440677966102</v>
      </c>
      <c r="E8" s="41">
        <f t="shared" si="1"/>
        <v>5417.9000000000015</v>
      </c>
    </row>
    <row r="9" spans="1:5" ht="16.5" customHeight="1">
      <c r="A9" s="38" t="s">
        <v>129</v>
      </c>
      <c r="B9" s="143">
        <f>SUM(B10)</f>
        <v>525500</v>
      </c>
      <c r="C9" s="143">
        <f>SUM(C10)</f>
        <v>561129.64</v>
      </c>
      <c r="D9" s="40">
        <f t="shared" si="0"/>
        <v>106.78014081826832</v>
      </c>
      <c r="E9" s="41">
        <f t="shared" si="1"/>
        <v>35629.640000000014</v>
      </c>
    </row>
    <row r="10" spans="1:5" ht="13.5">
      <c r="A10" s="21" t="s">
        <v>130</v>
      </c>
      <c r="B10" s="36">
        <v>525500</v>
      </c>
      <c r="C10" s="86">
        <v>561129.64</v>
      </c>
      <c r="D10" s="40">
        <f t="shared" si="0"/>
        <v>106.78014081826832</v>
      </c>
      <c r="E10" s="41">
        <f t="shared" si="1"/>
        <v>35629.640000000014</v>
      </c>
    </row>
    <row r="11" spans="1:5" ht="16.5" customHeight="1">
      <c r="A11" s="21" t="s">
        <v>7</v>
      </c>
      <c r="B11" s="36">
        <f>SUM(B12:B12)</f>
        <v>0</v>
      </c>
      <c r="C11" s="36">
        <f>SUM(C12:C12)</f>
        <v>0</v>
      </c>
      <c r="D11" s="40" t="str">
        <f t="shared" si="0"/>
        <v>   </v>
      </c>
      <c r="E11" s="41">
        <f t="shared" si="1"/>
        <v>0</v>
      </c>
    </row>
    <row r="12" spans="1:5" ht="15" customHeight="1">
      <c r="A12" s="21" t="s">
        <v>26</v>
      </c>
      <c r="B12" s="36">
        <v>0</v>
      </c>
      <c r="C12" s="107">
        <v>0</v>
      </c>
      <c r="D12" s="40" t="str">
        <f t="shared" si="0"/>
        <v>   </v>
      </c>
      <c r="E12" s="41">
        <f t="shared" si="1"/>
        <v>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207386.86</v>
      </c>
      <c r="D13" s="40">
        <f t="shared" si="0"/>
        <v>86.77274476987446</v>
      </c>
      <c r="E13" s="41">
        <f t="shared" si="1"/>
        <v>-31613.140000000014</v>
      </c>
    </row>
    <row r="14" spans="1:5" ht="15" customHeight="1">
      <c r="A14" s="21" t="s">
        <v>106</v>
      </c>
      <c r="B14" s="36">
        <v>28000</v>
      </c>
      <c r="C14" s="86">
        <v>18465.11</v>
      </c>
      <c r="D14" s="40">
        <f t="shared" si="0"/>
        <v>65.94682142857144</v>
      </c>
      <c r="E14" s="41">
        <f t="shared" si="1"/>
        <v>-9534.89</v>
      </c>
    </row>
    <row r="15" spans="1:5" ht="15.75" customHeight="1">
      <c r="A15" s="21" t="s">
        <v>152</v>
      </c>
      <c r="B15" s="36">
        <f>SUM(B16:B17)</f>
        <v>211000</v>
      </c>
      <c r="C15" s="36">
        <f>SUM(C16:C17)</f>
        <v>188921.75</v>
      </c>
      <c r="D15" s="40">
        <f t="shared" si="0"/>
        <v>89.53637440758294</v>
      </c>
      <c r="E15" s="41">
        <f t="shared" si="1"/>
        <v>-22078.25</v>
      </c>
    </row>
    <row r="16" spans="1:5" ht="15.75" customHeight="1">
      <c r="A16" s="21" t="s">
        <v>153</v>
      </c>
      <c r="B16" s="36">
        <v>95800</v>
      </c>
      <c r="C16" s="86">
        <v>97404.89</v>
      </c>
      <c r="D16" s="40">
        <f t="shared" si="0"/>
        <v>101.67525052192066</v>
      </c>
      <c r="E16" s="41">
        <f t="shared" si="1"/>
        <v>1604.8899999999994</v>
      </c>
    </row>
    <row r="17" spans="1:5" ht="15.75" customHeight="1">
      <c r="A17" s="21" t="s">
        <v>154</v>
      </c>
      <c r="B17" s="36">
        <v>115200</v>
      </c>
      <c r="C17" s="86">
        <v>91516.86</v>
      </c>
      <c r="D17" s="40">
        <f t="shared" si="0"/>
        <v>79.44171875</v>
      </c>
      <c r="E17" s="41">
        <f t="shared" si="1"/>
        <v>-23683.14</v>
      </c>
    </row>
    <row r="18" spans="1:5" ht="15.75" customHeight="1">
      <c r="A18" s="21" t="s">
        <v>187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86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335800</v>
      </c>
      <c r="C20" s="36">
        <f>SUM(C21:C23)</f>
        <v>348399.37</v>
      </c>
      <c r="D20" s="40">
        <f t="shared" si="0"/>
        <v>103.75204586063134</v>
      </c>
      <c r="E20" s="41">
        <f t="shared" si="1"/>
        <v>12599.369999999995</v>
      </c>
    </row>
    <row r="21" spans="1:5" ht="13.5">
      <c r="A21" s="21" t="s">
        <v>143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250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144</v>
      </c>
      <c r="B23" s="36">
        <v>335800</v>
      </c>
      <c r="C23" s="107">
        <v>348399.37</v>
      </c>
      <c r="D23" s="40">
        <f t="shared" si="0"/>
        <v>103.75204586063134</v>
      </c>
      <c r="E23" s="41">
        <f t="shared" si="1"/>
        <v>12599.369999999995</v>
      </c>
    </row>
    <row r="24" spans="1:5" ht="17.25" customHeight="1">
      <c r="A24" s="21" t="s">
        <v>88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160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SUM(B29)</f>
        <v>0</v>
      </c>
      <c r="C27" s="36">
        <f>C29+C28</f>
        <v>0</v>
      </c>
      <c r="D27" s="40" t="str">
        <f t="shared" si="0"/>
        <v>   </v>
      </c>
      <c r="E27" s="41">
        <f t="shared" si="1"/>
        <v>0</v>
      </c>
    </row>
    <row r="28" spans="1:5" ht="15.75" customHeight="1">
      <c r="A28" s="21" t="s">
        <v>121</v>
      </c>
      <c r="B28" s="36">
        <v>0</v>
      </c>
      <c r="C28" s="36">
        <v>0</v>
      </c>
      <c r="D28" s="40"/>
      <c r="E28" s="41">
        <f t="shared" si="1"/>
        <v>0</v>
      </c>
    </row>
    <row r="29" spans="1:5" ht="17.25" customHeight="1">
      <c r="A29" s="21" t="s">
        <v>50</v>
      </c>
      <c r="B29" s="36">
        <v>0</v>
      </c>
      <c r="C29" s="107">
        <v>0</v>
      </c>
      <c r="D29" s="40" t="str">
        <f t="shared" si="0"/>
        <v>   </v>
      </c>
      <c r="E29" s="41">
        <f t="shared" si="1"/>
        <v>0</v>
      </c>
    </row>
    <row r="30" spans="1:5" ht="24" customHeight="1">
      <c r="A30" s="44" t="s">
        <v>10</v>
      </c>
      <c r="B30" s="156">
        <f>B7+B11+B13+B20+B24+B25+B27+B9+B19+B18</f>
        <v>1112100</v>
      </c>
      <c r="C30" s="156">
        <f>C7+C11+C13+C20+C24+C25+C27+C9+C19+C18</f>
        <v>1134133.77</v>
      </c>
      <c r="D30" s="46">
        <f t="shared" si="0"/>
        <v>101.98127596439168</v>
      </c>
      <c r="E30" s="47">
        <f t="shared" si="1"/>
        <v>22033.77000000002</v>
      </c>
    </row>
    <row r="31" spans="1:5" ht="21" customHeight="1">
      <c r="A31" s="62" t="s">
        <v>132</v>
      </c>
      <c r="B31" s="145">
        <f>SUM(B32:B35,B38,B39,B44+B45+B46+B47)</f>
        <v>4290370</v>
      </c>
      <c r="C31" s="145">
        <f>SUM(C32:C35,C38,C39,C44+C45+C46+C47)</f>
        <v>4273243.4</v>
      </c>
      <c r="D31" s="46">
        <f t="shared" si="0"/>
        <v>99.6008129834956</v>
      </c>
      <c r="E31" s="47">
        <f t="shared" si="1"/>
        <v>-17126.599999999627</v>
      </c>
    </row>
    <row r="32" spans="1:5" ht="15.75" customHeight="1">
      <c r="A32" s="38" t="s">
        <v>34</v>
      </c>
      <c r="B32" s="143">
        <v>1436300</v>
      </c>
      <c r="C32" s="86">
        <v>1436300</v>
      </c>
      <c r="D32" s="40">
        <f t="shared" si="0"/>
        <v>100</v>
      </c>
      <c r="E32" s="41">
        <f t="shared" si="1"/>
        <v>0</v>
      </c>
    </row>
    <row r="33" spans="1:5" ht="15.75" customHeight="1">
      <c r="A33" s="38" t="s">
        <v>218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6.25" customHeight="1">
      <c r="A34" s="52" t="s">
        <v>51</v>
      </c>
      <c r="B34" s="85">
        <v>103600</v>
      </c>
      <c r="C34" s="161">
        <v>103600</v>
      </c>
      <c r="D34" s="54">
        <f t="shared" si="0"/>
        <v>100</v>
      </c>
      <c r="E34" s="55">
        <f t="shared" si="1"/>
        <v>0</v>
      </c>
    </row>
    <row r="35" spans="1:5" ht="29.25" customHeight="1">
      <c r="A35" s="52" t="s">
        <v>140</v>
      </c>
      <c r="B35" s="36">
        <f>SUM(B36:B37)</f>
        <v>0</v>
      </c>
      <c r="C35" s="36">
        <f>SUM(C36:C37)</f>
        <v>0</v>
      </c>
      <c r="D35" s="40" t="str">
        <f t="shared" si="0"/>
        <v>   </v>
      </c>
      <c r="E35" s="41">
        <f t="shared" si="1"/>
        <v>0</v>
      </c>
    </row>
    <row r="36" spans="1:5" ht="14.25" customHeight="1">
      <c r="A36" s="52" t="s">
        <v>155</v>
      </c>
      <c r="B36" s="36">
        <v>0</v>
      </c>
      <c r="C36" s="107">
        <v>0</v>
      </c>
      <c r="D36" s="40" t="str">
        <f>IF(B36=0,"   ",C36/B36*100)</f>
        <v>   </v>
      </c>
      <c r="E36" s="41">
        <f>C36-B36</f>
        <v>0</v>
      </c>
    </row>
    <row r="37" spans="1:5" ht="29.25" customHeight="1">
      <c r="A37" s="52" t="s">
        <v>156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226</v>
      </c>
      <c r="B38" s="36">
        <v>498700</v>
      </c>
      <c r="C38" s="107">
        <v>498700</v>
      </c>
      <c r="D38" s="40">
        <f>IF(B38=0,"   ",C38/B38*100)</f>
        <v>100</v>
      </c>
      <c r="E38" s="41">
        <f>C38-B38</f>
        <v>0</v>
      </c>
    </row>
    <row r="39" spans="1:5" ht="18" customHeight="1">
      <c r="A39" s="21" t="s">
        <v>82</v>
      </c>
      <c r="B39" s="36">
        <f>SUM(B40:B43)</f>
        <v>1204570</v>
      </c>
      <c r="C39" s="36">
        <f>SUM(C40:C43)</f>
        <v>1187543.4</v>
      </c>
      <c r="D39" s="40">
        <f t="shared" si="0"/>
        <v>98.58649974679761</v>
      </c>
      <c r="E39" s="41">
        <f t="shared" si="1"/>
        <v>-17026.600000000093</v>
      </c>
    </row>
    <row r="40" spans="1:5" ht="27" customHeight="1">
      <c r="A40" s="21" t="s">
        <v>179</v>
      </c>
      <c r="B40" s="36">
        <v>0</v>
      </c>
      <c r="C40" s="36">
        <v>0</v>
      </c>
      <c r="D40" s="40" t="str">
        <f>IF(B40=0,"   ",C40/B40*100)</f>
        <v>   </v>
      </c>
      <c r="E40" s="41">
        <f>C40-B40</f>
        <v>0</v>
      </c>
    </row>
    <row r="41" spans="1:5" ht="18.75" customHeight="1">
      <c r="A41" s="21" t="s">
        <v>298</v>
      </c>
      <c r="B41" s="36">
        <v>0</v>
      </c>
      <c r="C41" s="36">
        <v>0</v>
      </c>
      <c r="D41" s="40" t="str">
        <f>IF(B41=0,"   ",C41/B41*100)</f>
        <v>   </v>
      </c>
      <c r="E41" s="41">
        <f>C41-B41</f>
        <v>0</v>
      </c>
    </row>
    <row r="42" spans="1:5" ht="17.25" customHeight="1">
      <c r="A42" s="21" t="s">
        <v>269</v>
      </c>
      <c r="B42" s="36">
        <v>887570</v>
      </c>
      <c r="C42" s="36">
        <v>870543.4</v>
      </c>
      <c r="D42" s="40">
        <f>IF(B42=0,"   ",C42/B42*100)</f>
        <v>98.08166116475321</v>
      </c>
      <c r="E42" s="41">
        <f>C42-B42</f>
        <v>-17026.599999999977</v>
      </c>
    </row>
    <row r="43" spans="1:5" ht="17.25" customHeight="1">
      <c r="A43" s="21" t="s">
        <v>104</v>
      </c>
      <c r="B43" s="36">
        <v>317000</v>
      </c>
      <c r="C43" s="36">
        <v>317000</v>
      </c>
      <c r="D43" s="40">
        <f t="shared" si="0"/>
        <v>100</v>
      </c>
      <c r="E43" s="41">
        <f t="shared" si="1"/>
        <v>0</v>
      </c>
    </row>
    <row r="44" spans="1:5" ht="30.75" customHeight="1">
      <c r="A44" s="21" t="s">
        <v>331</v>
      </c>
      <c r="B44" s="36">
        <v>47200</v>
      </c>
      <c r="C44" s="36">
        <v>47200</v>
      </c>
      <c r="D44" s="40">
        <f t="shared" si="0"/>
        <v>100</v>
      </c>
      <c r="E44" s="41">
        <f t="shared" si="1"/>
        <v>0</v>
      </c>
    </row>
    <row r="45" spans="1:5" ht="30.75" customHeight="1">
      <c r="A45" s="21" t="s">
        <v>339</v>
      </c>
      <c r="B45" s="36">
        <v>1000000</v>
      </c>
      <c r="C45" s="36">
        <v>999900</v>
      </c>
      <c r="D45" s="40">
        <f t="shared" si="0"/>
        <v>99.99</v>
      </c>
      <c r="E45" s="41">
        <f t="shared" si="1"/>
        <v>-100</v>
      </c>
    </row>
    <row r="46" spans="1:5" s="6" customFormat="1" ht="42" customHeight="1">
      <c r="A46" s="21" t="s">
        <v>98</v>
      </c>
      <c r="B46" s="36">
        <v>0</v>
      </c>
      <c r="C46" s="107">
        <v>0</v>
      </c>
      <c r="D46" s="40" t="str">
        <f t="shared" si="0"/>
        <v>   </v>
      </c>
      <c r="E46" s="41">
        <f t="shared" si="1"/>
        <v>0</v>
      </c>
    </row>
    <row r="47" spans="1:5" s="6" customFormat="1" ht="21" customHeight="1">
      <c r="A47" s="21" t="s">
        <v>189</v>
      </c>
      <c r="B47" s="36">
        <v>0</v>
      </c>
      <c r="C47" s="107">
        <v>0</v>
      </c>
      <c r="D47" s="40" t="str">
        <f t="shared" si="0"/>
        <v>   </v>
      </c>
      <c r="E47" s="41">
        <f t="shared" si="1"/>
        <v>0</v>
      </c>
    </row>
    <row r="48" spans="1:5" ht="26.25" customHeight="1">
      <c r="A48" s="44" t="s">
        <v>11</v>
      </c>
      <c r="B48" s="116">
        <f>SUM(B30,B31,)</f>
        <v>5402470</v>
      </c>
      <c r="C48" s="116">
        <f>SUM(C30,C31,)</f>
        <v>5407377.17</v>
      </c>
      <c r="D48" s="46">
        <f t="shared" si="0"/>
        <v>100.09083197130202</v>
      </c>
      <c r="E48" s="47">
        <f t="shared" si="1"/>
        <v>4907.1699999999255</v>
      </c>
    </row>
    <row r="49" spans="1:5" ht="37.5" customHeight="1">
      <c r="A49" s="44"/>
      <c r="B49" s="143"/>
      <c r="C49" s="36"/>
      <c r="D49" s="40" t="str">
        <f t="shared" si="0"/>
        <v>   </v>
      </c>
      <c r="E49" s="41"/>
    </row>
    <row r="50" spans="1:5" ht="36.75" customHeight="1">
      <c r="A50" s="33" t="s">
        <v>12</v>
      </c>
      <c r="B50" s="154"/>
      <c r="C50" s="155"/>
      <c r="D50" s="40" t="str">
        <f t="shared" si="0"/>
        <v>   </v>
      </c>
      <c r="E50" s="41"/>
    </row>
    <row r="51" spans="1:5" ht="18.75" customHeight="1">
      <c r="A51" s="21" t="s">
        <v>35</v>
      </c>
      <c r="B51" s="107">
        <f>SUM(B52,B55,B56)</f>
        <v>1281900</v>
      </c>
      <c r="C51" s="107">
        <f>SUM(C52,C56)</f>
        <v>1261354.62</v>
      </c>
      <c r="D51" s="40">
        <f t="shared" si="0"/>
        <v>98.39727123800608</v>
      </c>
      <c r="E51" s="41">
        <f t="shared" si="1"/>
        <v>-20545.37999999989</v>
      </c>
    </row>
    <row r="52" spans="1:5" ht="16.5" customHeight="1">
      <c r="A52" s="21" t="s">
        <v>36</v>
      </c>
      <c r="B52" s="36">
        <v>1281900</v>
      </c>
      <c r="C52" s="36">
        <v>1261354.62</v>
      </c>
      <c r="D52" s="40">
        <f t="shared" si="0"/>
        <v>98.39727123800608</v>
      </c>
      <c r="E52" s="41">
        <f t="shared" si="1"/>
        <v>-20545.37999999989</v>
      </c>
    </row>
    <row r="53" spans="1:5" ht="13.5">
      <c r="A53" s="21" t="s">
        <v>117</v>
      </c>
      <c r="B53" s="36">
        <v>788369.22</v>
      </c>
      <c r="C53" s="99">
        <v>785032.02</v>
      </c>
      <c r="D53" s="40">
        <f t="shared" si="0"/>
        <v>99.57669580250736</v>
      </c>
      <c r="E53" s="41">
        <f t="shared" si="1"/>
        <v>-3337.1999999999534</v>
      </c>
    </row>
    <row r="54" spans="1:5" ht="13.5">
      <c r="A54" s="21" t="s">
        <v>333</v>
      </c>
      <c r="B54" s="36">
        <v>47200</v>
      </c>
      <c r="C54" s="99">
        <v>47200</v>
      </c>
      <c r="D54" s="40">
        <f>IF(B54=0,"   ",C54/B54*100)</f>
        <v>100</v>
      </c>
      <c r="E54" s="41">
        <f>C54-B54</f>
        <v>0</v>
      </c>
    </row>
    <row r="55" spans="1:5" ht="13.5">
      <c r="A55" s="21" t="s">
        <v>97</v>
      </c>
      <c r="B55" s="36">
        <v>0</v>
      </c>
      <c r="C55" s="107">
        <v>0</v>
      </c>
      <c r="D55" s="40" t="str">
        <f t="shared" si="0"/>
        <v>   </v>
      </c>
      <c r="E55" s="41">
        <f t="shared" si="1"/>
        <v>0</v>
      </c>
    </row>
    <row r="56" spans="1:5" ht="13.5">
      <c r="A56" s="21" t="s">
        <v>52</v>
      </c>
      <c r="B56" s="107">
        <f>SUM(B57)</f>
        <v>0</v>
      </c>
      <c r="C56" s="107">
        <f>SUM(C57)</f>
        <v>0</v>
      </c>
      <c r="D56" s="40" t="str">
        <f t="shared" si="0"/>
        <v>   </v>
      </c>
      <c r="E56" s="41">
        <f t="shared" si="1"/>
        <v>0</v>
      </c>
    </row>
    <row r="57" spans="1:5" ht="27">
      <c r="A57" s="17" t="s">
        <v>232</v>
      </c>
      <c r="B57" s="36">
        <v>0</v>
      </c>
      <c r="C57" s="107">
        <v>0</v>
      </c>
      <c r="D57" s="40" t="str">
        <f t="shared" si="0"/>
        <v>   </v>
      </c>
      <c r="E57" s="41">
        <f t="shared" si="1"/>
        <v>0</v>
      </c>
    </row>
    <row r="58" spans="1:5" ht="19.5" customHeight="1">
      <c r="A58" s="21" t="s">
        <v>49</v>
      </c>
      <c r="B58" s="107">
        <f>SUM(B59)</f>
        <v>103600</v>
      </c>
      <c r="C58" s="107">
        <f>SUM(C59)</f>
        <v>103600</v>
      </c>
      <c r="D58" s="40">
        <f t="shared" si="0"/>
        <v>100</v>
      </c>
      <c r="E58" s="41">
        <f t="shared" si="1"/>
        <v>0</v>
      </c>
    </row>
    <row r="59" spans="1:5" ht="19.5" customHeight="1">
      <c r="A59" s="21" t="s">
        <v>102</v>
      </c>
      <c r="B59" s="36">
        <v>103600</v>
      </c>
      <c r="C59" s="107">
        <v>103600</v>
      </c>
      <c r="D59" s="40">
        <f t="shared" si="0"/>
        <v>100</v>
      </c>
      <c r="E59" s="41">
        <f t="shared" si="1"/>
        <v>0</v>
      </c>
    </row>
    <row r="60" spans="1:5" ht="16.5" customHeight="1">
      <c r="A60" s="21" t="s">
        <v>37</v>
      </c>
      <c r="B60" s="36">
        <f>SUM(B61)</f>
        <v>2000</v>
      </c>
      <c r="C60" s="107">
        <f>SUM(C61)</f>
        <v>2000</v>
      </c>
      <c r="D60" s="40">
        <f t="shared" si="0"/>
        <v>100</v>
      </c>
      <c r="E60" s="41">
        <f t="shared" si="1"/>
        <v>0</v>
      </c>
    </row>
    <row r="61" spans="1:5" ht="30" customHeight="1">
      <c r="A61" s="60" t="s">
        <v>324</v>
      </c>
      <c r="B61" s="36">
        <v>2000</v>
      </c>
      <c r="C61" s="107">
        <v>2000</v>
      </c>
      <c r="D61" s="40">
        <f t="shared" si="0"/>
        <v>100</v>
      </c>
      <c r="E61" s="41">
        <f t="shared" si="1"/>
        <v>0</v>
      </c>
    </row>
    <row r="62" spans="1:5" ht="19.5" customHeight="1">
      <c r="A62" s="21" t="s">
        <v>38</v>
      </c>
      <c r="B62" s="36">
        <f>B68+B63+B76</f>
        <v>1439854.99</v>
      </c>
      <c r="C62" s="36">
        <f>C68+C63+C76</f>
        <v>1423594.65</v>
      </c>
      <c r="D62" s="40">
        <f t="shared" si="0"/>
        <v>98.8706959997409</v>
      </c>
      <c r="E62" s="41">
        <f t="shared" si="1"/>
        <v>-16260.340000000084</v>
      </c>
    </row>
    <row r="63" spans="1:5" ht="19.5" customHeight="1">
      <c r="A63" s="62" t="s">
        <v>157</v>
      </c>
      <c r="B63" s="36">
        <f>SUM(B64:B67)</f>
        <v>2000</v>
      </c>
      <c r="C63" s="36">
        <f>SUM(C64:C67)</f>
        <v>0</v>
      </c>
      <c r="D63" s="40">
        <f>IF(B63=0,"   ",C63/B63*100)</f>
        <v>0</v>
      </c>
      <c r="E63" s="41">
        <f>C63-B63</f>
        <v>-2000</v>
      </c>
    </row>
    <row r="64" spans="1:5" ht="15" customHeight="1">
      <c r="A64" s="62" t="s">
        <v>161</v>
      </c>
      <c r="B64" s="36">
        <v>0</v>
      </c>
      <c r="C64" s="36">
        <v>0</v>
      </c>
      <c r="D64" s="40" t="str">
        <f>IF(B64=0,"   ",C64/B64*100)</f>
        <v>   </v>
      </c>
      <c r="E64" s="41">
        <f>C64-B64</f>
        <v>0</v>
      </c>
    </row>
    <row r="65" spans="1:5" ht="13.5" customHeight="1">
      <c r="A65" s="62" t="s">
        <v>158</v>
      </c>
      <c r="B65" s="36">
        <v>0</v>
      </c>
      <c r="C65" s="36">
        <v>0</v>
      </c>
      <c r="D65" s="40" t="str">
        <f>IF(B65=0,"   ",C65/B65*100)</f>
        <v>   </v>
      </c>
      <c r="E65" s="41">
        <f>C65-B65</f>
        <v>0</v>
      </c>
    </row>
    <row r="66" spans="1:5" ht="13.5" customHeight="1">
      <c r="A66" s="60" t="s">
        <v>299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3.5" customHeight="1">
      <c r="A67" s="60" t="s">
        <v>300</v>
      </c>
      <c r="B67" s="36">
        <v>2000</v>
      </c>
      <c r="C67" s="36">
        <v>0</v>
      </c>
      <c r="D67" s="40">
        <f>IF(B67=0,"   ",C67/B67*100)</f>
        <v>0</v>
      </c>
      <c r="E67" s="41">
        <f>C67-B67</f>
        <v>-2000</v>
      </c>
    </row>
    <row r="68" spans="1:5" ht="13.5">
      <c r="A68" s="62" t="s">
        <v>124</v>
      </c>
      <c r="B68" s="36">
        <f>SUM(B69:B75)</f>
        <v>1384260.34</v>
      </c>
      <c r="C68" s="36">
        <f>SUM(C69:C75)</f>
        <v>1370000</v>
      </c>
      <c r="D68" s="40">
        <f t="shared" si="0"/>
        <v>98.96982239626976</v>
      </c>
      <c r="E68" s="41">
        <f t="shared" si="1"/>
        <v>-14260.340000000084</v>
      </c>
    </row>
    <row r="69" spans="1:5" ht="19.5" customHeight="1">
      <c r="A69" s="60" t="s">
        <v>141</v>
      </c>
      <c r="B69" s="36">
        <v>0</v>
      </c>
      <c r="C69" s="36">
        <v>0</v>
      </c>
      <c r="D69" s="40" t="str">
        <f t="shared" si="0"/>
        <v>   </v>
      </c>
      <c r="E69" s="41">
        <f t="shared" si="1"/>
        <v>0</v>
      </c>
    </row>
    <row r="70" spans="1:5" ht="25.5" customHeight="1">
      <c r="A70" s="17" t="s">
        <v>237</v>
      </c>
      <c r="B70" s="36">
        <v>477760.34</v>
      </c>
      <c r="C70" s="36">
        <v>463500</v>
      </c>
      <c r="D70" s="40">
        <f t="shared" si="0"/>
        <v>97.0151687350189</v>
      </c>
      <c r="E70" s="41">
        <f t="shared" si="1"/>
        <v>-14260.340000000026</v>
      </c>
    </row>
    <row r="71" spans="1:5" ht="27.75" customHeight="1">
      <c r="A71" s="17" t="s">
        <v>238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31.5" customHeight="1">
      <c r="A72" s="17" t="s">
        <v>239</v>
      </c>
      <c r="B72" s="36">
        <v>498700</v>
      </c>
      <c r="C72" s="36">
        <v>498700</v>
      </c>
      <c r="D72" s="40">
        <f t="shared" si="0"/>
        <v>100</v>
      </c>
      <c r="E72" s="41">
        <f t="shared" si="1"/>
        <v>0</v>
      </c>
    </row>
    <row r="73" spans="1:5" ht="27.75" customHeight="1">
      <c r="A73" s="17" t="s">
        <v>240</v>
      </c>
      <c r="B73" s="36">
        <v>55500</v>
      </c>
      <c r="C73" s="36">
        <v>55500</v>
      </c>
      <c r="D73" s="40">
        <f t="shared" si="0"/>
        <v>100</v>
      </c>
      <c r="E73" s="41">
        <f t="shared" si="1"/>
        <v>0</v>
      </c>
    </row>
    <row r="74" spans="1:5" ht="28.5" customHeight="1">
      <c r="A74" s="17" t="s">
        <v>241</v>
      </c>
      <c r="B74" s="36">
        <v>317000</v>
      </c>
      <c r="C74" s="36">
        <v>317000</v>
      </c>
      <c r="D74" s="40">
        <f t="shared" si="0"/>
        <v>100</v>
      </c>
      <c r="E74" s="41">
        <f t="shared" si="1"/>
        <v>0</v>
      </c>
    </row>
    <row r="75" spans="1:5" ht="30" customHeight="1">
      <c r="A75" s="17" t="s">
        <v>242</v>
      </c>
      <c r="B75" s="36">
        <v>35300</v>
      </c>
      <c r="C75" s="36">
        <v>35300</v>
      </c>
      <c r="D75" s="40">
        <f t="shared" si="0"/>
        <v>100</v>
      </c>
      <c r="E75" s="41">
        <f t="shared" si="1"/>
        <v>0</v>
      </c>
    </row>
    <row r="76" spans="1:5" ht="24" customHeight="1">
      <c r="A76" s="68" t="s">
        <v>168</v>
      </c>
      <c r="B76" s="36">
        <f>SUM(B77+B78)</f>
        <v>53594.65</v>
      </c>
      <c r="C76" s="36">
        <f>SUM(C77+C78)</f>
        <v>53594.65</v>
      </c>
      <c r="D76" s="40">
        <f>IF(B76=0,"   ",C76/B76*100)</f>
        <v>100</v>
      </c>
      <c r="E76" s="41">
        <f>C76-B76</f>
        <v>0</v>
      </c>
    </row>
    <row r="77" spans="1:5" ht="24" customHeight="1">
      <c r="A77" s="62" t="s">
        <v>147</v>
      </c>
      <c r="B77" s="36">
        <v>53594.65</v>
      </c>
      <c r="C77" s="36">
        <v>53594.65</v>
      </c>
      <c r="D77" s="40">
        <f>IF(B77=0,"   ",C77/B77*100)</f>
        <v>100</v>
      </c>
      <c r="E77" s="41">
        <f>C77-B77</f>
        <v>0</v>
      </c>
    </row>
    <row r="78" spans="1:5" ht="30" customHeight="1">
      <c r="A78" s="60" t="s">
        <v>169</v>
      </c>
      <c r="B78" s="36"/>
      <c r="C78" s="36">
        <v>0</v>
      </c>
      <c r="D78" s="40" t="str">
        <f>IF(B78=0,"   ",C78/B78*100)</f>
        <v>   </v>
      </c>
      <c r="E78" s="41">
        <f>C78-B78</f>
        <v>0</v>
      </c>
    </row>
    <row r="79" spans="1:5" ht="15" customHeight="1">
      <c r="A79" s="21" t="s">
        <v>13</v>
      </c>
      <c r="B79" s="36">
        <f>SUM(B85,B80)</f>
        <v>2353478.25</v>
      </c>
      <c r="C79" s="36">
        <f>SUM(C85,C80)</f>
        <v>2234433.1</v>
      </c>
      <c r="D79" s="40">
        <f t="shared" si="0"/>
        <v>94.94173570543938</v>
      </c>
      <c r="E79" s="41">
        <f t="shared" si="1"/>
        <v>-119045.1499999999</v>
      </c>
    </row>
    <row r="80" spans="1:5" ht="15.75" customHeight="1">
      <c r="A80" s="21" t="s">
        <v>87</v>
      </c>
      <c r="B80" s="36">
        <f>SUM(B81:B84)</f>
        <v>1110478.25</v>
      </c>
      <c r="C80" s="36">
        <f>SUM(C81:C84)</f>
        <v>1054710</v>
      </c>
      <c r="D80" s="40">
        <f>IF(B80=0,"   ",C80/B80*100)</f>
        <v>94.97799709269407</v>
      </c>
      <c r="E80" s="41">
        <f>C80-B80</f>
        <v>-55768.25</v>
      </c>
    </row>
    <row r="81" spans="1:5" ht="25.5" customHeight="1">
      <c r="A81" s="21" t="s">
        <v>272</v>
      </c>
      <c r="B81" s="36">
        <v>887570</v>
      </c>
      <c r="C81" s="36">
        <v>870543.4</v>
      </c>
      <c r="D81" s="40">
        <f>IF(B81=0,"   ",C81/B81*100)</f>
        <v>98.08166116475321</v>
      </c>
      <c r="E81" s="41">
        <f>C81-B81</f>
        <v>-17026.599999999977</v>
      </c>
    </row>
    <row r="82" spans="1:5" ht="16.5" customHeight="1">
      <c r="A82" s="21" t="s">
        <v>281</v>
      </c>
      <c r="B82" s="36">
        <v>62530</v>
      </c>
      <c r="C82" s="36">
        <v>55566.6</v>
      </c>
      <c r="D82" s="40">
        <f>IF(B82=0,"   ",C82/B82*100)</f>
        <v>88.86390532544378</v>
      </c>
      <c r="E82" s="41">
        <f>C82-B82</f>
        <v>-6963.4000000000015</v>
      </c>
    </row>
    <row r="83" spans="1:5" ht="16.5" customHeight="1">
      <c r="A83" s="38" t="s">
        <v>151</v>
      </c>
      <c r="B83" s="36">
        <v>20000</v>
      </c>
      <c r="C83" s="36">
        <v>20000</v>
      </c>
      <c r="D83" s="40">
        <f>IF(B83=0,"   ",C83/B83*100)</f>
        <v>100</v>
      </c>
      <c r="E83" s="41">
        <f>C83-B83</f>
        <v>0</v>
      </c>
    </row>
    <row r="84" spans="1:5" ht="16.5" customHeight="1">
      <c r="A84" s="21" t="s">
        <v>325</v>
      </c>
      <c r="B84" s="36">
        <v>140378.25</v>
      </c>
      <c r="C84" s="36">
        <v>108600</v>
      </c>
      <c r="D84" s="40">
        <f>IF(B84=0,"   ",C84/B84*100)</f>
        <v>77.36241191210176</v>
      </c>
      <c r="E84" s="41">
        <f>C84-B84</f>
        <v>-31778.25</v>
      </c>
    </row>
    <row r="85" spans="1:5" ht="13.5">
      <c r="A85" s="21" t="s">
        <v>58</v>
      </c>
      <c r="B85" s="36">
        <f>B86+B88+B87+B89+B90</f>
        <v>1243000</v>
      </c>
      <c r="C85" s="36">
        <f>C86+C88+C87+C89+C90</f>
        <v>1179723.1</v>
      </c>
      <c r="D85" s="40">
        <f t="shared" si="0"/>
        <v>94.90934030571199</v>
      </c>
      <c r="E85" s="41">
        <f t="shared" si="1"/>
        <v>-63276.89999999991</v>
      </c>
    </row>
    <row r="86" spans="1:5" ht="13.5">
      <c r="A86" s="21" t="s">
        <v>60</v>
      </c>
      <c r="B86" s="36">
        <v>220000</v>
      </c>
      <c r="C86" s="107">
        <v>170000</v>
      </c>
      <c r="D86" s="40">
        <f t="shared" si="0"/>
        <v>77.27272727272727</v>
      </c>
      <c r="E86" s="41">
        <f t="shared" si="1"/>
        <v>-50000</v>
      </c>
    </row>
    <row r="87" spans="1:5" ht="27">
      <c r="A87" s="17" t="s">
        <v>273</v>
      </c>
      <c r="B87" s="36">
        <v>0</v>
      </c>
      <c r="C87" s="107">
        <v>0</v>
      </c>
      <c r="D87" s="40" t="str">
        <f t="shared" si="0"/>
        <v>   </v>
      </c>
      <c r="E87" s="41">
        <f t="shared" si="1"/>
        <v>0</v>
      </c>
    </row>
    <row r="88" spans="1:5" ht="13.5">
      <c r="A88" s="21" t="s">
        <v>59</v>
      </c>
      <c r="B88" s="36">
        <v>23000</v>
      </c>
      <c r="C88" s="107">
        <v>9823.1</v>
      </c>
      <c r="D88" s="40">
        <f t="shared" si="0"/>
        <v>42.70913043478261</v>
      </c>
      <c r="E88" s="41">
        <f t="shared" si="1"/>
        <v>-13176.9</v>
      </c>
    </row>
    <row r="89" spans="1:5" ht="13.5">
      <c r="A89" s="21" t="s">
        <v>338</v>
      </c>
      <c r="B89" s="36">
        <v>1000000</v>
      </c>
      <c r="C89" s="107">
        <v>999900</v>
      </c>
      <c r="D89" s="40">
        <f t="shared" si="0"/>
        <v>99.99</v>
      </c>
      <c r="E89" s="41">
        <f t="shared" si="1"/>
        <v>-100</v>
      </c>
    </row>
    <row r="90" spans="1:5" ht="27">
      <c r="A90" s="17" t="s">
        <v>196</v>
      </c>
      <c r="B90" s="36">
        <f>B91+B92+B93</f>
        <v>0</v>
      </c>
      <c r="C90" s="36">
        <f>C91+C92+C93</f>
        <v>0</v>
      </c>
      <c r="D90" s="40" t="str">
        <f>IF(B90=0,"   ",C90/B90*100)</f>
        <v>   </v>
      </c>
      <c r="E90" s="41">
        <f>C90-B90</f>
        <v>0</v>
      </c>
    </row>
    <row r="91" spans="1:5" ht="27">
      <c r="A91" s="17" t="s">
        <v>178</v>
      </c>
      <c r="B91" s="36">
        <v>0</v>
      </c>
      <c r="C91" s="107">
        <v>0</v>
      </c>
      <c r="D91" s="40" t="str">
        <f>IF(B91=0,"   ",C91/B91*100)</f>
        <v>   </v>
      </c>
      <c r="E91" s="41">
        <f>C91-B91</f>
        <v>0</v>
      </c>
    </row>
    <row r="92" spans="1:5" ht="27">
      <c r="A92" s="17" t="s">
        <v>190</v>
      </c>
      <c r="B92" s="36">
        <v>0</v>
      </c>
      <c r="C92" s="107">
        <v>0</v>
      </c>
      <c r="D92" s="40" t="str">
        <f>IF(B92=0,"   ",C92/B92*100)</f>
        <v>   </v>
      </c>
      <c r="E92" s="41">
        <f>C92-B92</f>
        <v>0</v>
      </c>
    </row>
    <row r="93" spans="1:5" ht="24.75" customHeight="1">
      <c r="A93" s="17" t="s">
        <v>202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24.75" customHeight="1">
      <c r="A94" s="21" t="s">
        <v>17</v>
      </c>
      <c r="B94" s="36">
        <v>8000</v>
      </c>
      <c r="C94" s="36">
        <v>8000</v>
      </c>
      <c r="D94" s="40">
        <f t="shared" si="0"/>
        <v>100</v>
      </c>
      <c r="E94" s="41">
        <f t="shared" si="1"/>
        <v>0</v>
      </c>
    </row>
    <row r="95" spans="1:5" ht="15" customHeight="1">
      <c r="A95" s="21" t="s">
        <v>41</v>
      </c>
      <c r="B95" s="143">
        <f>SUM(B96,)</f>
        <v>223100</v>
      </c>
      <c r="C95" s="143">
        <f>SUM(C96,)</f>
        <v>223100</v>
      </c>
      <c r="D95" s="40">
        <f t="shared" si="0"/>
        <v>100</v>
      </c>
      <c r="E95" s="41">
        <f t="shared" si="1"/>
        <v>0</v>
      </c>
    </row>
    <row r="96" spans="1:5" ht="13.5">
      <c r="A96" s="21" t="s">
        <v>42</v>
      </c>
      <c r="B96" s="36">
        <v>223100</v>
      </c>
      <c r="C96" s="107">
        <v>223100</v>
      </c>
      <c r="D96" s="40">
        <f t="shared" si="0"/>
        <v>100</v>
      </c>
      <c r="E96" s="41">
        <f t="shared" si="1"/>
        <v>0</v>
      </c>
    </row>
    <row r="97" spans="1:5" ht="13.5">
      <c r="A97" s="21" t="s">
        <v>222</v>
      </c>
      <c r="B97" s="143">
        <f>SUM(B98,)</f>
        <v>0</v>
      </c>
      <c r="C97" s="143">
        <f>SUM(C98,)</f>
        <v>0</v>
      </c>
      <c r="D97" s="40" t="str">
        <f>IF(B97=0,"   ",C97/B97*100)</f>
        <v>   </v>
      </c>
      <c r="E97" s="41">
        <f>C97-B97</f>
        <v>0</v>
      </c>
    </row>
    <row r="98" spans="1:5" ht="13.5">
      <c r="A98" s="21" t="s">
        <v>223</v>
      </c>
      <c r="B98" s="36">
        <v>0</v>
      </c>
      <c r="C98" s="107">
        <v>0</v>
      </c>
      <c r="D98" s="40" t="str">
        <f>IF(B98=0,"   ",C98/B98*100)</f>
        <v>   </v>
      </c>
      <c r="E98" s="41">
        <f>C98-B98</f>
        <v>0</v>
      </c>
    </row>
    <row r="99" spans="1:5" ht="18" customHeight="1">
      <c r="A99" s="21" t="s">
        <v>119</v>
      </c>
      <c r="B99" s="143">
        <f>SUM(B100,)</f>
        <v>50000</v>
      </c>
      <c r="C99" s="143">
        <f>SUM(C100,)</f>
        <v>50000</v>
      </c>
      <c r="D99" s="40">
        <f t="shared" si="0"/>
        <v>100</v>
      </c>
      <c r="E99" s="41">
        <f t="shared" si="1"/>
        <v>0</v>
      </c>
    </row>
    <row r="100" spans="1:5" ht="13.5">
      <c r="A100" s="21" t="s">
        <v>43</v>
      </c>
      <c r="B100" s="36">
        <v>50000</v>
      </c>
      <c r="C100" s="99">
        <v>50000</v>
      </c>
      <c r="D100" s="40">
        <f t="shared" si="0"/>
        <v>100</v>
      </c>
      <c r="E100" s="41">
        <f t="shared" si="1"/>
        <v>0</v>
      </c>
    </row>
    <row r="101" spans="1:5" ht="21" customHeight="1">
      <c r="A101" s="44" t="s">
        <v>15</v>
      </c>
      <c r="B101" s="116">
        <f>SUM(B51,B58,B60,B62,B79,B94,B95,B97,B99,)</f>
        <v>5461933.24</v>
      </c>
      <c r="C101" s="116">
        <f>SUM(C51,C58,C60,C62,C79,C94,C95,C97,C99,)</f>
        <v>5306082.37</v>
      </c>
      <c r="D101" s="46">
        <f>IF(B101=0,"   ",C101/B101*100)</f>
        <v>97.14659877461263</v>
      </c>
      <c r="E101" s="47">
        <f t="shared" si="1"/>
        <v>-155850.8700000001</v>
      </c>
    </row>
    <row r="102" spans="1:5" s="13" customFormat="1" ht="31.5" customHeight="1">
      <c r="A102" s="71" t="s">
        <v>290</v>
      </c>
      <c r="B102" s="71"/>
      <c r="C102" s="165"/>
      <c r="D102" s="165"/>
      <c r="E102" s="165"/>
    </row>
    <row r="103" spans="1:5" s="13" customFormat="1" ht="12" customHeight="1">
      <c r="A103" s="71" t="s">
        <v>146</v>
      </c>
      <c r="B103" s="71"/>
      <c r="C103" s="72" t="s">
        <v>291</v>
      </c>
      <c r="D103" s="73"/>
      <c r="E103" s="74"/>
    </row>
    <row r="104" spans="1:5" ht="13.5">
      <c r="A104" s="71"/>
      <c r="B104" s="71"/>
      <c r="C104" s="117"/>
      <c r="D104" s="71"/>
      <c r="E104" s="118"/>
    </row>
    <row r="105" spans="1:5" ht="13.5">
      <c r="A105" s="71"/>
      <c r="B105" s="71"/>
      <c r="C105" s="117"/>
      <c r="D105" s="71"/>
      <c r="E105" s="118"/>
    </row>
    <row r="106" spans="1:5" ht="12.75">
      <c r="A106" s="6"/>
      <c r="B106" s="6"/>
      <c r="C106" s="5"/>
      <c r="D106" s="6"/>
      <c r="E106" s="2"/>
    </row>
    <row r="107" spans="1:5" ht="12.75">
      <c r="A107" s="6"/>
      <c r="B107" s="6"/>
      <c r="C107" s="5"/>
      <c r="D107" s="6"/>
      <c r="E107" s="2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</sheetData>
  <sheetProtection/>
  <mergeCells count="2">
    <mergeCell ref="A1:E1"/>
    <mergeCell ref="C102:E102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PageLayoutView="0" workbookViewId="0" topLeftCell="A177">
      <selection activeCell="B191" sqref="B191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6" t="s">
        <v>354</v>
      </c>
      <c r="B1" s="166"/>
      <c r="C1" s="166"/>
      <c r="D1" s="166"/>
      <c r="E1" s="166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292</v>
      </c>
      <c r="C3" s="26" t="s">
        <v>355</v>
      </c>
      <c r="D3" s="25" t="s">
        <v>293</v>
      </c>
      <c r="E3" s="27" t="s">
        <v>294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11584500</v>
      </c>
      <c r="C6" s="39">
        <f>SUM(C7)</f>
        <v>11793699.67</v>
      </c>
      <c r="D6" s="40">
        <f aca="true" t="shared" si="0" ref="D6:D32">IF(B6=0,"   ",C6/B6*100)</f>
        <v>101.80585843152488</v>
      </c>
      <c r="E6" s="41">
        <f aca="true" t="shared" si="1" ref="E6:E39">C6-B6</f>
        <v>209199.66999999993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11584500</v>
      </c>
      <c r="C7" s="42">
        <f>Лист1!C9+Лист2!C7+Лист3!C7+Лист4!C8+Лист5!C8+Лист6!C8+Лист7!C8+Лист8!C8+Лист9!C8+Лист10!C8</f>
        <v>11793699.67</v>
      </c>
      <c r="D7" s="40">
        <f t="shared" si="0"/>
        <v>101.80585843152488</v>
      </c>
      <c r="E7" s="41">
        <f t="shared" si="1"/>
        <v>209199.66999999993</v>
      </c>
    </row>
    <row r="8" spans="1:5" ht="31.5" customHeight="1">
      <c r="A8" s="38" t="s">
        <v>129</v>
      </c>
      <c r="B8" s="39">
        <f>SUM(B9)</f>
        <v>7612100</v>
      </c>
      <c r="C8" s="39">
        <f>SUM(C9)</f>
        <v>8128045.1899999995</v>
      </c>
      <c r="D8" s="40">
        <f t="shared" si="0"/>
        <v>106.77796127218507</v>
      </c>
      <c r="E8" s="41">
        <f t="shared" si="1"/>
        <v>515945.1899999995</v>
      </c>
    </row>
    <row r="9" spans="1:5" ht="27">
      <c r="A9" s="21" t="s">
        <v>130</v>
      </c>
      <c r="B9" s="42">
        <f>Лист1!B15+Лист2!B9+Лист3!B9+Лист4!B10+Лист5!B10+Лист6!B10+Лист7!B10+Лист8!B10+Лист9!B10+Лист10!B10</f>
        <v>7612100</v>
      </c>
      <c r="C9" s="42">
        <f>Лист1!C15+Лист2!C9+Лист3!C9+Лист4!C10+Лист5!C10+Лист6!C10+Лист7!C10+Лист8!C10+Лист9!C10+Лист10!C10</f>
        <v>8128045.1899999995</v>
      </c>
      <c r="D9" s="40">
        <f t="shared" si="0"/>
        <v>106.77796127218507</v>
      </c>
      <c r="E9" s="41">
        <f t="shared" si="1"/>
        <v>515945.1899999995</v>
      </c>
    </row>
    <row r="10" spans="1:5" ht="13.5">
      <c r="A10" s="21" t="s">
        <v>7</v>
      </c>
      <c r="B10" s="42">
        <f>B11</f>
        <v>412600</v>
      </c>
      <c r="C10" s="42">
        <f>SUM(C11:C11)</f>
        <v>416494.06000000006</v>
      </c>
      <c r="D10" s="40">
        <f t="shared" si="0"/>
        <v>100.94378574890936</v>
      </c>
      <c r="E10" s="41">
        <f t="shared" si="1"/>
        <v>3894.060000000056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412600</v>
      </c>
      <c r="C11" s="42">
        <f>Лист1!C18+Лист2!C11+Лист3!C11+Лист4!C12+Лист5!C12+Лист6!C12+Лист7!C12+Лист8!C12+Лист9!C12+Лист10!C12</f>
        <v>416494.06000000006</v>
      </c>
      <c r="D11" s="40">
        <f t="shared" si="0"/>
        <v>100.94378574890936</v>
      </c>
      <c r="E11" s="41">
        <f t="shared" si="1"/>
        <v>3894.060000000056</v>
      </c>
    </row>
    <row r="12" spans="1:5" ht="13.5">
      <c r="A12" s="21" t="s">
        <v>9</v>
      </c>
      <c r="B12" s="42">
        <f>SUM(B13:B14)</f>
        <v>10854567.32</v>
      </c>
      <c r="C12" s="42">
        <f>SUM(C13:C14)</f>
        <v>10854335.620000001</v>
      </c>
      <c r="D12" s="40">
        <f t="shared" si="0"/>
        <v>99.99786541468518</v>
      </c>
      <c r="E12" s="41">
        <f t="shared" si="1"/>
        <v>-231.69999999925494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6003000</v>
      </c>
      <c r="C13" s="42">
        <f>Лист1!C20+Лист2!C13+Лист3!C13+Лист4!C14+Лист5!C14+Лист6!C14+Лист7!C14+Лист8!C14+Лист9!C14+Лист10!C14</f>
        <v>5995632.54</v>
      </c>
      <c r="D13" s="40">
        <f t="shared" si="0"/>
        <v>99.87727036481759</v>
      </c>
      <c r="E13" s="41">
        <f t="shared" si="1"/>
        <v>-7367.459999999963</v>
      </c>
    </row>
    <row r="14" spans="1:5" ht="13.5">
      <c r="A14" s="21" t="s">
        <v>152</v>
      </c>
      <c r="B14" s="42">
        <f>Лист1!B21+Лист2!B14+Лист3!B14+Лист4!B15+Лист5!B15+Лист6!B15+Лист7!B15+Лист8!B15+Лист9!B15+Лист10!B15</f>
        <v>4851567.32</v>
      </c>
      <c r="C14" s="42">
        <f>Лист1!C21+Лист2!C14+Лист3!C14+Лист4!C15+Лист5!C15+Лист6!C15+Лист7!C15+Лист8!C15+Лист9!C15+Лист10!C15</f>
        <v>4858703.08</v>
      </c>
      <c r="D14" s="40">
        <f t="shared" si="0"/>
        <v>100.14708154147596</v>
      </c>
      <c r="E14" s="41">
        <f t="shared" si="1"/>
        <v>7135.7599999997765</v>
      </c>
    </row>
    <row r="15" spans="1:5" ht="13.5">
      <c r="A15" s="21" t="s">
        <v>153</v>
      </c>
      <c r="B15" s="42">
        <f>Лист1!B22+Лист2!B15+Лист3!B15+Лист4!B16+Лист5!B16+Лист6!B16+Лист7!B16+Лист8!B16+Лист9!B16+Лист10!B16</f>
        <v>1701467.3199999998</v>
      </c>
      <c r="C15" s="42">
        <f>Лист1!C22+Лист2!C15+Лист3!C15+Лист4!C16+Лист5!C16+Лист6!C16+Лист7!C16+Лист8!C16+Лист9!C16+Лист10!C16</f>
        <v>1713495.91</v>
      </c>
      <c r="D15" s="40">
        <f t="shared" si="0"/>
        <v>100.7069539249217</v>
      </c>
      <c r="E15" s="41">
        <f t="shared" si="1"/>
        <v>12028.590000000084</v>
      </c>
    </row>
    <row r="16" spans="1:5" ht="13.5">
      <c r="A16" s="21" t="s">
        <v>154</v>
      </c>
      <c r="B16" s="42">
        <f>Лист1!B23+Лист2!B16+Лист3!B16+Лист4!B17+Лист5!B17+Лист6!B17+Лист7!B17+Лист8!B17+Лист9!B17+Лист10!B17</f>
        <v>3150100</v>
      </c>
      <c r="C16" s="42">
        <f>Лист1!C23+Лист2!C16+Лист3!C16+Лист4!C17+Лист5!C17+Лист6!C17+Лист7!C17+Лист8!C17+Лист9!C17+Лист10!C17</f>
        <v>3145207.17</v>
      </c>
      <c r="D16" s="40">
        <f t="shared" si="0"/>
        <v>99.84467699438113</v>
      </c>
      <c r="E16" s="41">
        <f t="shared" si="1"/>
        <v>-4892.8300000000745</v>
      </c>
    </row>
    <row r="17" spans="1:5" ht="13.5">
      <c r="A17" s="21" t="s">
        <v>187</v>
      </c>
      <c r="B17" s="43">
        <f>Лист8!B18+Лист5!B18+Лист9!B18+Лист3!B17+Лист4!B18+Лист2!B17+Лист10!B18+Лист1!B24+Лист6!B18</f>
        <v>6100</v>
      </c>
      <c r="C17" s="43">
        <f>Лист8!C18+Лист5!C18+Лист9!C18+Лист3!C17+Лист4!C18+Лист2!C17+Лист10!C18+Лист1!C24+Лист6!C18</f>
        <v>7100</v>
      </c>
      <c r="D17" s="40">
        <f>IF(B17=0,"   ",C17/B17*100)</f>
        <v>116.39344262295081</v>
      </c>
      <c r="E17" s="41">
        <f t="shared" si="1"/>
        <v>1000</v>
      </c>
    </row>
    <row r="18" spans="1:5" ht="28.5" customHeight="1">
      <c r="A18" s="21" t="s">
        <v>90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3568877.4</v>
      </c>
      <c r="C19" s="42">
        <f>SUM(C20:C25)</f>
        <v>3690128.89</v>
      </c>
      <c r="D19" s="40">
        <f t="shared" si="0"/>
        <v>103.39746862696937</v>
      </c>
      <c r="E19" s="41">
        <f t="shared" si="1"/>
        <v>121251.49000000022</v>
      </c>
    </row>
    <row r="20" spans="1:5" ht="13.5">
      <c r="A20" s="21" t="s">
        <v>145</v>
      </c>
      <c r="B20" s="42">
        <f>Лист7!B20</f>
        <v>1042000</v>
      </c>
      <c r="C20" s="42">
        <f>Лист7!C20</f>
        <v>1158169.19</v>
      </c>
      <c r="D20" s="40">
        <f t="shared" si="0"/>
        <v>111.14867466410747</v>
      </c>
      <c r="E20" s="41">
        <f t="shared" si="1"/>
        <v>116169.18999999994</v>
      </c>
    </row>
    <row r="21" spans="1:5" ht="13.5">
      <c r="A21" s="21" t="s">
        <v>131</v>
      </c>
      <c r="B21" s="42">
        <f>Лист1!B27+Лист2!B23+Лист3!B20+Лист4!B21+Лист5!B21+Лист6!B21+Лист7!B21+Лист8!B21+Лист9!B22+Лист10!B23</f>
        <v>1442400</v>
      </c>
      <c r="C21" s="42">
        <f>Лист1!C27+Лист2!C23+Лист3!C20+Лист4!C21+Лист5!C21+Лист6!C21+Лист7!C21+Лист8!C21+Лист9!C22+Лист10!C23</f>
        <v>1400735.33</v>
      </c>
      <c r="D21" s="40">
        <f t="shared" si="0"/>
        <v>97.11143441486412</v>
      </c>
      <c r="E21" s="41">
        <f t="shared" si="1"/>
        <v>-41664.669999999925</v>
      </c>
    </row>
    <row r="22" spans="1:5" ht="33" customHeight="1">
      <c r="A22" s="21" t="s">
        <v>30</v>
      </c>
      <c r="B22" s="42">
        <f>Лист1!B28+Лист2!B25+Лист3!B21+Лист4!B22+Лист5!B22+Лист6!B22+Лист7!B22+Лист8!B22+Лист9!B23+Лист10!B21</f>
        <v>129800</v>
      </c>
      <c r="C22" s="42">
        <f>Лист1!C28+Лист2!C25+Лист3!C21+Лист4!C22+Лист5!C22+Лист6!C22+Лист7!C22+Лист8!C22+Лист9!C23+Лист10!C21</f>
        <v>92882.43000000001</v>
      </c>
      <c r="D22" s="40">
        <f t="shared" si="0"/>
        <v>71.55811248073961</v>
      </c>
      <c r="E22" s="41">
        <f t="shared" si="1"/>
        <v>-36917.56999999999</v>
      </c>
    </row>
    <row r="23" spans="1:5" ht="33" customHeight="1">
      <c r="A23" s="21" t="s">
        <v>250</v>
      </c>
      <c r="B23" s="42">
        <f>Лист8!B23+Лист10!B22+Лист1!B29+Лист7!B23+Лист4!B23+Лист2!B24</f>
        <v>115777.4</v>
      </c>
      <c r="C23" s="42">
        <f>Лист8!C23+Лист10!C22+Лист1!C29+Лист7!C23+Лист4!C23+Лист2!C24</f>
        <v>192328.81999999998</v>
      </c>
      <c r="D23" s="40">
        <f>IF(B23=0,"   ",C23/B23*100)</f>
        <v>166.1194844589704</v>
      </c>
      <c r="E23" s="41">
        <f t="shared" si="1"/>
        <v>76551.41999999998</v>
      </c>
    </row>
    <row r="24" spans="1:5" ht="73.5" customHeight="1">
      <c r="A24" s="21" t="s">
        <v>191</v>
      </c>
      <c r="B24" s="42">
        <f>Лист7!B24</f>
        <v>782100</v>
      </c>
      <c r="C24" s="42">
        <f>Лист7!C24</f>
        <v>782684.54</v>
      </c>
      <c r="D24" s="40">
        <f>IF(B24=0,"   ",C24/B24*100)</f>
        <v>100.07473980309425</v>
      </c>
      <c r="E24" s="41">
        <f t="shared" si="1"/>
        <v>584.5400000000373</v>
      </c>
    </row>
    <row r="25" spans="1:5" ht="72" customHeight="1">
      <c r="A25" s="21" t="s">
        <v>215</v>
      </c>
      <c r="B25" s="42">
        <f>Лист1!B30+Лист9!B24</f>
        <v>56800</v>
      </c>
      <c r="C25" s="42">
        <f>Лист1!C30+Лист9!C24</f>
        <v>63328.58</v>
      </c>
      <c r="D25" s="40">
        <f>IF(B25=0,"   ",C25/B25*100)</f>
        <v>111.49397887323944</v>
      </c>
      <c r="E25" s="41">
        <f t="shared" si="1"/>
        <v>6528.580000000002</v>
      </c>
    </row>
    <row r="26" spans="1:5" ht="30.75" customHeight="1">
      <c r="A26" s="21" t="s">
        <v>83</v>
      </c>
      <c r="B26" s="42">
        <f>Лист1!B31+Лист3!B22+Лист9!B25</f>
        <v>45000</v>
      </c>
      <c r="C26" s="42">
        <f>Лист1!C31+Лист3!C22+Лист9!C25</f>
        <v>48515.229999999996</v>
      </c>
      <c r="D26" s="40">
        <f t="shared" si="0"/>
        <v>107.8116222222222</v>
      </c>
      <c r="E26" s="41">
        <f t="shared" si="1"/>
        <v>3515.229999999996</v>
      </c>
    </row>
    <row r="27" spans="1:5" ht="31.5" customHeight="1">
      <c r="A27" s="21" t="s">
        <v>76</v>
      </c>
      <c r="B27" s="42">
        <f>SUM(B29+B28+B30)</f>
        <v>5088937</v>
      </c>
      <c r="C27" s="42">
        <f>SUM(C29+C28+C30)</f>
        <v>5090773.7</v>
      </c>
      <c r="D27" s="40">
        <f t="shared" si="0"/>
        <v>100.03609201685933</v>
      </c>
      <c r="E27" s="41">
        <f t="shared" si="1"/>
        <v>1836.7000000001863</v>
      </c>
    </row>
    <row r="28" spans="1:5" ht="30.75" customHeight="1">
      <c r="A28" s="21" t="s">
        <v>127</v>
      </c>
      <c r="B28" s="42">
        <f>Лист7!B27+Лист1!B33+Лист9!B27+Лист4!B26+Лист3!B25</f>
        <v>981589</v>
      </c>
      <c r="C28" s="42">
        <f>Лист7!C27+Лист1!C33+Лист9!C27+Лист4!C26+Лист3!C25</f>
        <v>982206.48</v>
      </c>
      <c r="D28" s="40">
        <f t="shared" si="0"/>
        <v>100.06290616541138</v>
      </c>
      <c r="E28" s="41">
        <f t="shared" si="1"/>
        <v>617.4799999999814</v>
      </c>
    </row>
    <row r="29" spans="1:5" ht="42" customHeight="1">
      <c r="A29" s="21" t="s">
        <v>216</v>
      </c>
      <c r="B29" s="42">
        <f>Лист7!B28</f>
        <v>41600</v>
      </c>
      <c r="C29" s="42">
        <f>Лист7!C28</f>
        <v>41653.22</v>
      </c>
      <c r="D29" s="40">
        <f t="shared" si="0"/>
        <v>100.12793269230768</v>
      </c>
      <c r="E29" s="41">
        <f t="shared" si="1"/>
        <v>53.220000000001164</v>
      </c>
    </row>
    <row r="30" spans="1:5" ht="39" customHeight="1">
      <c r="A30" s="21" t="s">
        <v>217</v>
      </c>
      <c r="B30" s="42">
        <f>Лист2!B21+Лист8!B26+Лист4!B27+Лист3!B24</f>
        <v>4065748</v>
      </c>
      <c r="C30" s="42">
        <f>Лист1!C34+Лист2!C21+Лист3!C24+Лист4!C27+Лист6!C25+Лист8!C26+Лист9!C28+Лист10!C26</f>
        <v>4066914</v>
      </c>
      <c r="D30" s="40">
        <f t="shared" si="0"/>
        <v>100.02867860969249</v>
      </c>
      <c r="E30" s="41">
        <f t="shared" si="1"/>
        <v>1166</v>
      </c>
    </row>
    <row r="31" spans="1:5" ht="13.5">
      <c r="A31" s="21" t="s">
        <v>31</v>
      </c>
      <c r="B31" s="42">
        <f>Лист9!B29+Лист7!B29</f>
        <v>31300</v>
      </c>
      <c r="C31" s="42">
        <f>Лист9!C29+Лист7!C29</f>
        <v>35251.01</v>
      </c>
      <c r="D31" s="40">
        <f t="shared" si="0"/>
        <v>112.62303514376997</v>
      </c>
      <c r="E31" s="41">
        <f t="shared" si="1"/>
        <v>3951.010000000002</v>
      </c>
    </row>
    <row r="32" spans="1:5" ht="13.5">
      <c r="A32" s="21" t="s">
        <v>32</v>
      </c>
      <c r="B32" s="42">
        <f>B33+B35+B34</f>
        <v>1052439.3</v>
      </c>
      <c r="C32" s="42">
        <f>C33+C35+C34</f>
        <v>1066016.13</v>
      </c>
      <c r="D32" s="40">
        <f t="shared" si="0"/>
        <v>101.29003449415086</v>
      </c>
      <c r="E32" s="41">
        <f t="shared" si="1"/>
        <v>13576.829999999842</v>
      </c>
    </row>
    <row r="33" spans="1:5" ht="13.5">
      <c r="A33" s="21" t="s">
        <v>46</v>
      </c>
      <c r="B33" s="42">
        <v>0</v>
      </c>
      <c r="C33" s="42">
        <f>Лист1!C39+Лист2!C30+Лист4!C29+Лист6!C28+Лист7!C31+Лист8!C28+Лист9!C31+Лист3!C28+Лист10!C28+Лист5!C27</f>
        <v>3583.7699999999995</v>
      </c>
      <c r="D33" s="40"/>
      <c r="E33" s="41">
        <f t="shared" si="1"/>
        <v>3583.7699999999995</v>
      </c>
    </row>
    <row r="34" spans="1:5" ht="13.5">
      <c r="A34" s="21" t="s">
        <v>323</v>
      </c>
      <c r="B34" s="42">
        <f>Лист7!B32+Лист2!B31+Лист4!B30+Лист3!B29+Лист9!B32+Лист1!B40</f>
        <v>1052439.3</v>
      </c>
      <c r="C34" s="42">
        <f>Лист7!C32+Лист2!C31+Лист4!C30+Лист3!C29+Лист9!C32+Лист1!C40</f>
        <v>1062432.3599999999</v>
      </c>
      <c r="D34" s="40"/>
      <c r="E34" s="41">
        <f t="shared" si="1"/>
        <v>9993.059999999823</v>
      </c>
    </row>
    <row r="35" spans="1:5" ht="13.5">
      <c r="A35" s="21" t="s">
        <v>50</v>
      </c>
      <c r="B35" s="42">
        <f>Лист1!B41+Лист2!B32+Лист3!B30+Лист4!B31+Лист5!B27+Лист6!B29+Лист7!B33+Лист8!B29+Лист9!B33+Лист10!B29</f>
        <v>0</v>
      </c>
      <c r="C35" s="42">
        <f>Лист1!C41+Лист2!C32+Лист3!C30+Лист4!C31+Лист6!C29+Лист7!C33+Лист8!C29+Лист9!C33+Лист10!C29</f>
        <v>0</v>
      </c>
      <c r="D35" s="40" t="str">
        <f>IF(B35=0,"   ",C35/B35*100)</f>
        <v>   </v>
      </c>
      <c r="E35" s="41">
        <f t="shared" si="1"/>
        <v>0</v>
      </c>
    </row>
    <row r="36" spans="1:5" ht="18" customHeight="1">
      <c r="A36" s="44" t="s">
        <v>10</v>
      </c>
      <c r="B36" s="45">
        <f>SUM(B6,B8,B10,B12,B18,B19,B26,B27,B32,+B31+B17)</f>
        <v>40256421.019999996</v>
      </c>
      <c r="C36" s="45">
        <f>SUM(C6,C8,C10,C12,C18,C19,C26,C27,C32,+C31+C17)</f>
        <v>41130359.5</v>
      </c>
      <c r="D36" s="46">
        <f>IF(B36=0,"   ",C36/B36*100)</f>
        <v>102.17092940171165</v>
      </c>
      <c r="E36" s="47">
        <f t="shared" si="1"/>
        <v>873938.4800000042</v>
      </c>
    </row>
    <row r="37" spans="1:5" ht="33" customHeight="1">
      <c r="A37" s="38" t="s">
        <v>34</v>
      </c>
      <c r="B37" s="39">
        <f>Лист1!B46+Лист2!B35+Лист3!B34+Лист4!B35+Лист5!B31+Лист6!B32+Лист7!B36+Лист8!B33+Лист9!B36+Лист10!B32</f>
        <v>30569300</v>
      </c>
      <c r="C37" s="39">
        <f>Лист1!C46+Лист2!C35+Лист3!C34+Лист4!C35+Лист5!C31+Лист6!C32+Лист7!C36+Лист8!C33+Лист9!C36+Лист10!C32</f>
        <v>30569300</v>
      </c>
      <c r="D37" s="40">
        <f>IF(B37=0,"   ",C37/B37*100)</f>
        <v>100</v>
      </c>
      <c r="E37" s="41">
        <f t="shared" si="1"/>
        <v>0</v>
      </c>
    </row>
    <row r="38" spans="1:5" ht="33" customHeight="1">
      <c r="A38" s="38" t="s">
        <v>218</v>
      </c>
      <c r="B38" s="39">
        <f>Лист1!B47+Лист2!B36+Лист3!B35+Лист4!B36+Лист5!B32+Лист6!B33+Лист7!B37+Лист8!B34+Лист9!B37+Лист10!B33</f>
        <v>0</v>
      </c>
      <c r="C38" s="39">
        <f>Лист1!C47+Лист2!C36+Лист3!C35+Лист4!C36+Лист5!C32+Лист6!C33+Лист7!C37+Лист8!C34+Лист9!C37+Лист10!C33</f>
        <v>0</v>
      </c>
      <c r="D38" s="40" t="str">
        <f>IF(B38=0,"   ",C38/B38*100)</f>
        <v>   </v>
      </c>
      <c r="E38" s="41">
        <f t="shared" si="1"/>
        <v>0</v>
      </c>
    </row>
    <row r="39" spans="1:5" ht="13.5">
      <c r="A39" s="48" t="s">
        <v>110</v>
      </c>
      <c r="B39" s="39">
        <f>SUM(B41:B48)</f>
        <v>74839123.03</v>
      </c>
      <c r="C39" s="39">
        <f>SUM(C41:C48)</f>
        <v>57902577.78</v>
      </c>
      <c r="D39" s="40">
        <f>IF(B39=0,"   ",C39/B39*100)</f>
        <v>77.36939642757329</v>
      </c>
      <c r="E39" s="41">
        <f t="shared" si="1"/>
        <v>-16936545.25</v>
      </c>
    </row>
    <row r="40" spans="1:5" ht="13.5">
      <c r="A40" s="38" t="s">
        <v>111</v>
      </c>
      <c r="B40" s="39"/>
      <c r="C40" s="39"/>
      <c r="D40" s="40"/>
      <c r="E40" s="41"/>
    </row>
    <row r="41" spans="1:5" ht="33" customHeight="1">
      <c r="A41" s="21" t="s">
        <v>227</v>
      </c>
      <c r="B41" s="42">
        <v>0</v>
      </c>
      <c r="C41" s="42">
        <f>Лист2!C46</f>
        <v>0</v>
      </c>
      <c r="D41" s="40" t="str">
        <f>IF(B41=0,"   ",C41/B41*100)</f>
        <v>   </v>
      </c>
      <c r="E41" s="41">
        <f aca="true" t="shared" si="2" ref="E41:E48">C41-B41</f>
        <v>0</v>
      </c>
    </row>
    <row r="42" spans="1:5" ht="45" customHeight="1">
      <c r="A42" s="21" t="s">
        <v>170</v>
      </c>
      <c r="B42" s="49">
        <v>0</v>
      </c>
      <c r="C42" s="49">
        <v>0</v>
      </c>
      <c r="D42" s="50" t="str">
        <f>IF(B42=0,"   ",C42/B42)</f>
        <v>   </v>
      </c>
      <c r="E42" s="51">
        <f t="shared" si="2"/>
        <v>0</v>
      </c>
    </row>
    <row r="43" spans="1:5" ht="90" customHeight="1">
      <c r="A43" s="21" t="s">
        <v>226</v>
      </c>
      <c r="B43" s="42">
        <f>Лист1!B54+Лист2!B45+Лист3!B42+Лист4!B43+Лист5!B37+Лист6!B38+Лист7!B46+Лист8!B41+Лист9!B42+Лист10!B38</f>
        <v>7095400</v>
      </c>
      <c r="C43" s="42">
        <f>Лист1!C54+Лист2!C45+Лист3!C42+Лист4!C43+Лист5!C37+Лист6!C38+Лист7!C46+Лист8!C41+Лист9!C42+Лист10!C38</f>
        <v>7095400</v>
      </c>
      <c r="D43" s="40">
        <f aca="true" t="shared" si="3" ref="D43:D48">IF(B43=0,"   ",C43/B43*100)</f>
        <v>100</v>
      </c>
      <c r="E43" s="41">
        <f t="shared" si="2"/>
        <v>0</v>
      </c>
    </row>
    <row r="44" spans="1:5" ht="96" customHeight="1">
      <c r="A44" s="21" t="s">
        <v>228</v>
      </c>
      <c r="B44" s="42">
        <f>Лист7!B47</f>
        <v>1567100</v>
      </c>
      <c r="C44" s="42">
        <f>Лист7!C47</f>
        <v>1567100</v>
      </c>
      <c r="D44" s="40">
        <f t="shared" si="3"/>
        <v>100</v>
      </c>
      <c r="E44" s="41">
        <f t="shared" si="2"/>
        <v>0</v>
      </c>
    </row>
    <row r="45" spans="1:5" ht="60" customHeight="1">
      <c r="A45" s="21" t="s">
        <v>246</v>
      </c>
      <c r="B45" s="42">
        <v>0</v>
      </c>
      <c r="C45" s="42">
        <v>0</v>
      </c>
      <c r="D45" s="40" t="str">
        <f t="shared" si="3"/>
        <v>   </v>
      </c>
      <c r="E45" s="41">
        <f t="shared" si="2"/>
        <v>0</v>
      </c>
    </row>
    <row r="46" spans="1:5" ht="49.5" customHeight="1">
      <c r="A46" s="21" t="s">
        <v>252</v>
      </c>
      <c r="B46" s="42">
        <f>Лист2!B46+Лист4!B44+Лист9!B43</f>
        <v>0</v>
      </c>
      <c r="C46" s="42">
        <f>Лист2!C46+Лист4!C44+Лист9!C43</f>
        <v>0</v>
      </c>
      <c r="D46" s="40" t="str">
        <f t="shared" si="3"/>
        <v>   </v>
      </c>
      <c r="E46" s="41">
        <f t="shared" si="2"/>
        <v>0</v>
      </c>
    </row>
    <row r="47" spans="1:5" ht="49.5" customHeight="1">
      <c r="A47" s="21" t="s">
        <v>282</v>
      </c>
      <c r="B47" s="42">
        <f>Лист6!B39</f>
        <v>0</v>
      </c>
      <c r="C47" s="42">
        <f>Лист6!C39</f>
        <v>0</v>
      </c>
      <c r="D47" s="40" t="str">
        <f t="shared" si="3"/>
        <v>   </v>
      </c>
      <c r="E47" s="41">
        <f>C47-B47</f>
        <v>0</v>
      </c>
    </row>
    <row r="48" spans="1:5" ht="13.5">
      <c r="A48" s="21" t="s">
        <v>101</v>
      </c>
      <c r="B48" s="42">
        <f>SUM(B50:B58)</f>
        <v>66176623.03</v>
      </c>
      <c r="C48" s="42">
        <f>SUM(C50:C58)</f>
        <v>49240077.78</v>
      </c>
      <c r="D48" s="40">
        <f t="shared" si="3"/>
        <v>74.40705724388185</v>
      </c>
      <c r="E48" s="41">
        <f t="shared" si="2"/>
        <v>-16936545.25</v>
      </c>
    </row>
    <row r="49" spans="1:5" ht="13.5">
      <c r="A49" s="21" t="s">
        <v>112</v>
      </c>
      <c r="B49" s="42"/>
      <c r="C49" s="42"/>
      <c r="D49" s="40"/>
      <c r="E49" s="41"/>
    </row>
    <row r="50" spans="1:5" ht="27">
      <c r="A50" s="21" t="s">
        <v>211</v>
      </c>
      <c r="B50" s="42">
        <f>Лист7!B50</f>
        <v>1580700</v>
      </c>
      <c r="C50" s="42">
        <f>Лист7!C50</f>
        <v>1580700</v>
      </c>
      <c r="D50" s="40">
        <f>IF(B50=0,"   ",C50/B50*100)</f>
        <v>100</v>
      </c>
      <c r="E50" s="41">
        <f>C50-B50</f>
        <v>0</v>
      </c>
    </row>
    <row r="51" spans="1:5" ht="27" customHeight="1">
      <c r="A51" s="21" t="s">
        <v>210</v>
      </c>
      <c r="B51" s="42">
        <f>Лист1!B56+Лист2!B48+Лист3!B44+Лист4!B46+Лист5!B42+Лист6!B44+Лист7!B49+Лист8!B43+Лист9!B45+Лист10!B40</f>
        <v>2394281.29</v>
      </c>
      <c r="C51" s="42">
        <f>Лист1!C56+Лист2!C48+Лист3!C44+Лист4!C46+Лист5!C42+Лист6!C44+Лист7!C49+Лист8!C43+Лист9!C45+Лист10!C40</f>
        <v>2330381.29</v>
      </c>
      <c r="D51" s="42">
        <f>Лист7!D49</f>
        <v>100</v>
      </c>
      <c r="E51" s="41">
        <f>C51-B51</f>
        <v>-63900</v>
      </c>
    </row>
    <row r="52" spans="1:5" ht="23.25" customHeight="1">
      <c r="A52" s="21" t="s">
        <v>254</v>
      </c>
      <c r="B52" s="42">
        <f>Лист7!B51</f>
        <v>0</v>
      </c>
      <c r="C52" s="42">
        <f>Лист7!C51</f>
        <v>0</v>
      </c>
      <c r="D52" s="42" t="str">
        <f>Лист7!D51</f>
        <v>   </v>
      </c>
      <c r="E52" s="42">
        <f>Лист7!E51</f>
        <v>0</v>
      </c>
    </row>
    <row r="53" spans="1:5" ht="23.25" customHeight="1">
      <c r="A53" s="21" t="s">
        <v>284</v>
      </c>
      <c r="B53" s="42">
        <f>Лист7!B52</f>
        <v>42392061.74</v>
      </c>
      <c r="C53" s="42">
        <f>Лист7!C52</f>
        <v>26191000</v>
      </c>
      <c r="D53" s="42">
        <f>Лист7!D52</f>
        <v>61.78279358205143</v>
      </c>
      <c r="E53" s="42">
        <f>Лист7!E52</f>
        <v>-16201061.740000002</v>
      </c>
    </row>
    <row r="54" spans="1:5" ht="28.5" customHeight="1">
      <c r="A54" s="21" t="s">
        <v>301</v>
      </c>
      <c r="B54" s="42">
        <f>Лист7!B53</f>
        <v>8969440</v>
      </c>
      <c r="C54" s="42">
        <f>Лист7!C53</f>
        <v>8367438.07</v>
      </c>
      <c r="D54" s="40">
        <f>IF(B54=0,"   ",C54/B54*100)</f>
        <v>93.28829971547835</v>
      </c>
      <c r="E54" s="41">
        <f aca="true" t="shared" si="4" ref="E54:E59">C54-B54</f>
        <v>-602001.9299999997</v>
      </c>
    </row>
    <row r="55" spans="1:5" ht="32.25" customHeight="1">
      <c r="A55" s="21" t="s">
        <v>302</v>
      </c>
      <c r="B55" s="42">
        <f>Лист7!B54</f>
        <v>0</v>
      </c>
      <c r="C55" s="42">
        <f>Лист7!C54</f>
        <v>0</v>
      </c>
      <c r="D55" s="40" t="str">
        <f>IF(B55=0,"   ",C55/B55*100)</f>
        <v>   </v>
      </c>
      <c r="E55" s="41">
        <f t="shared" si="4"/>
        <v>0</v>
      </c>
    </row>
    <row r="56" spans="1:5" ht="32.25" customHeight="1">
      <c r="A56" s="21" t="s">
        <v>271</v>
      </c>
      <c r="B56" s="42">
        <f>Лист1!B59+Лист2!B50+Лист3!B46+Лист5!B41+Лист6!B43+Лист7!B55+Лист8!B45+Лист9!B47+Лист10!B42</f>
        <v>6250340</v>
      </c>
      <c r="C56" s="42">
        <f>Лист1!C59+Лист2!C50+Лист3!C46+Лист5!C41+Лист6!C43+Лист7!C55+Лист8!C45+Лист9!C47+Лист10!C42</f>
        <v>6180758.42</v>
      </c>
      <c r="D56" s="42">
        <f>Лист7!D55</f>
        <v>98.61009946442235</v>
      </c>
      <c r="E56" s="41">
        <f t="shared" si="4"/>
        <v>-69581.58000000007</v>
      </c>
    </row>
    <row r="57" spans="1:5" ht="32.25" customHeight="1">
      <c r="A57" s="21" t="s">
        <v>298</v>
      </c>
      <c r="B57" s="42">
        <f>Лист2!B49+Лист3!B45+Лист5!B40+Лист6!B42+Лист7!B56+Лист8!B44+Лист1!B58+Лист4!B47+Лист9!B46+Лист10!B41</f>
        <v>0</v>
      </c>
      <c r="C57" s="42">
        <f>Лист2!C49+Лист3!C45+Лист5!C40+Лист6!C42+Лист7!C56+Лист8!C44+Лист1!C58+Лист4!C47+Лист9!C46+Лист10!C41</f>
        <v>0</v>
      </c>
      <c r="D57" s="40" t="str">
        <f>IF(B57=0,"   ",C57/B57*100)</f>
        <v>   </v>
      </c>
      <c r="E57" s="41">
        <f t="shared" si="4"/>
        <v>0</v>
      </c>
    </row>
    <row r="58" spans="1:5" s="13" customFormat="1" ht="48" customHeight="1">
      <c r="A58" s="21" t="s">
        <v>113</v>
      </c>
      <c r="B58" s="42">
        <f>Лист1!B60+Лист2!B51+Лист3!B47+Лист4!B48+Лист5!B39+Лист6!B41+Лист7!B57+Лист8!B46+Лист9!B48+Лист10!B43</f>
        <v>4589800</v>
      </c>
      <c r="C58" s="42">
        <f>Лист1!C60+Лист2!C51+Лист3!C47+Лист4!C48+Лист5!C39+Лист6!C41+Лист7!C57+Лист8!C46+Лист9!C48+Лист10!C43</f>
        <v>4589800</v>
      </c>
      <c r="D58" s="40">
        <f>IF(B58=0,"   ",C58/B58*100)</f>
        <v>100</v>
      </c>
      <c r="E58" s="41">
        <f t="shared" si="4"/>
        <v>0</v>
      </c>
    </row>
    <row r="59" spans="1:5" s="13" customFormat="1" ht="13.5">
      <c r="A59" s="48" t="s">
        <v>19</v>
      </c>
      <c r="B59" s="42">
        <f>B61+B62</f>
        <v>1483700</v>
      </c>
      <c r="C59" s="42">
        <f>C61+C62</f>
        <v>1456297.4</v>
      </c>
      <c r="D59" s="40">
        <f>IF(B59=0,"   ",C59/B59*100)</f>
        <v>98.15309024735458</v>
      </c>
      <c r="E59" s="41">
        <f t="shared" si="4"/>
        <v>-27402.600000000093</v>
      </c>
    </row>
    <row r="60" spans="1:5" ht="13.5">
      <c r="A60" s="38" t="s">
        <v>111</v>
      </c>
      <c r="B60" s="39"/>
      <c r="C60" s="39"/>
      <c r="D60" s="40"/>
      <c r="E60" s="41"/>
    </row>
    <row r="61" spans="1:5" ht="48.75" customHeight="1">
      <c r="A61" s="52" t="s">
        <v>51</v>
      </c>
      <c r="B61" s="53">
        <f>Лист1!B48+Лист2!B38+Лист3!B36+Лист4!B37+Лист5!B33+Лист6!B34+Лист7!B38+Лист8!B35+Лист9!B38+Лист10!B34</f>
        <v>1451500</v>
      </c>
      <c r="C61" s="53">
        <f>Лист1!C48+Лист2!C38+Лист3!C36+Лист4!C37+Лист5!C33+Лист6!C34+Лист7!C38+Лист8!C35+Лист9!C38+Лист10!C34</f>
        <v>1451500</v>
      </c>
      <c r="D61" s="54">
        <f>IF(B61=0,"   ",C61/B61*100)</f>
        <v>100</v>
      </c>
      <c r="E61" s="55">
        <f>C61-B61</f>
        <v>0</v>
      </c>
    </row>
    <row r="62" spans="1:5" ht="45" customHeight="1">
      <c r="A62" s="52" t="s">
        <v>140</v>
      </c>
      <c r="B62" s="53">
        <f>Лист1!B49+Лист2!B39+Лист3!B37+Лист4!B38+Лист5!B34+Лист6!B35+Лист7!B39+Лист8!B36+Лист9!B39+Лист10!B35</f>
        <v>32200</v>
      </c>
      <c r="C62" s="53">
        <f>Лист1!C49+Лист2!C39+Лист3!C37+Лист4!C38+Лист5!C34+Лист6!C35+Лист7!C39+Лист8!C36+Лист9!C39+Лист10!C35</f>
        <v>4797.4</v>
      </c>
      <c r="D62" s="54">
        <f>IF(B62=0,"   ",C62/B62*100)</f>
        <v>14.898757763975153</v>
      </c>
      <c r="E62" s="55">
        <f>C62-B62</f>
        <v>-27402.6</v>
      </c>
    </row>
    <row r="63" spans="1:5" ht="27.75" customHeight="1">
      <c r="A63" s="52" t="s">
        <v>155</v>
      </c>
      <c r="B63" s="53">
        <f>Лист1!B50+Лист2!B40+Лист3!B38+Лист4!B39+Лист5!B35+Лист6!B36+Лист7!B40+Лист8!B37+Лист9!B40+Лист10!B36</f>
        <v>1700</v>
      </c>
      <c r="C63" s="53">
        <f>Лист1!C50+Лист2!C40+Лист3!C38+Лист4!C39+Лист5!C35+Лист6!C36+Лист7!C40+Лист8!C37+Лист9!C40+Лист10!C36</f>
        <v>1700</v>
      </c>
      <c r="D63" s="54">
        <f>IF(B63=0,"   ",C63/B63*100)</f>
        <v>100</v>
      </c>
      <c r="E63" s="55">
        <f>C63-B63</f>
        <v>0</v>
      </c>
    </row>
    <row r="64" spans="1:5" ht="47.25" customHeight="1">
      <c r="A64" s="52" t="s">
        <v>156</v>
      </c>
      <c r="B64" s="53">
        <f>Лист1!B51+Лист2!B41+Лист3!B39+Лист4!B40+Лист5!B36+Лист6!B37+Лист7!B41+Лист8!B38+Лист9!B41+Лист10!B37</f>
        <v>30500</v>
      </c>
      <c r="C64" s="53">
        <f>Лист1!C51+Лист2!C41+Лист3!C39+Лист4!C40+Лист5!C36+Лист6!C37+Лист7!C41+Лист8!C38+Лист9!C41+Лист10!C37</f>
        <v>3097.4</v>
      </c>
      <c r="D64" s="54">
        <f>IF(B64=0,"   ",C64/B64*100)</f>
        <v>10.155409836065573</v>
      </c>
      <c r="E64" s="55">
        <f>C64-B64</f>
        <v>-27402.6</v>
      </c>
    </row>
    <row r="65" spans="1:5" ht="13.5">
      <c r="A65" s="48" t="s">
        <v>114</v>
      </c>
      <c r="B65" s="42">
        <f>B71+B67+B69+B68+B70</f>
        <v>8828426.76</v>
      </c>
      <c r="C65" s="42">
        <f>C71+C67+C69+C68+C70</f>
        <v>8828326.76</v>
      </c>
      <c r="D65" s="40">
        <f>IF(B65=0,"   ",C65/B65*100)</f>
        <v>99.9988672953549</v>
      </c>
      <c r="E65" s="41">
        <f>C65-B65</f>
        <v>-100</v>
      </c>
    </row>
    <row r="66" spans="1:5" ht="13.5">
      <c r="A66" s="38" t="s">
        <v>111</v>
      </c>
      <c r="B66" s="39"/>
      <c r="C66" s="39"/>
      <c r="D66" s="40"/>
      <c r="E66" s="41"/>
    </row>
    <row r="67" spans="1:5" ht="85.5" customHeight="1">
      <c r="A67" s="21" t="s">
        <v>249</v>
      </c>
      <c r="B67" s="49">
        <f>Лист7!B45</f>
        <v>5885076.76</v>
      </c>
      <c r="C67" s="49">
        <f>Лист7!C45</f>
        <v>5885076.76</v>
      </c>
      <c r="D67" s="40">
        <f>IF(B67=0,"   ",C67/B67*100)</f>
        <v>100</v>
      </c>
      <c r="E67" s="41">
        <f aca="true" t="shared" si="5" ref="E67:E72">C67-B67</f>
        <v>0</v>
      </c>
    </row>
    <row r="68" spans="1:5" ht="63" customHeight="1">
      <c r="A68" s="21" t="s">
        <v>274</v>
      </c>
      <c r="B68" s="53">
        <f>Лист2!B42+Лист4!B41+Лист9!B49</f>
        <v>0</v>
      </c>
      <c r="C68" s="53">
        <f>Лист2!C42+Лист4!C41+Лист9!C49</f>
        <v>0</v>
      </c>
      <c r="D68" s="40" t="str">
        <f>IF(B68=0,"   ",C68/B68*100)</f>
        <v>   </v>
      </c>
      <c r="E68" s="41">
        <f t="shared" si="5"/>
        <v>0</v>
      </c>
    </row>
    <row r="69" spans="1:5" ht="50.25" customHeight="1">
      <c r="A69" s="21" t="s">
        <v>270</v>
      </c>
      <c r="B69" s="49">
        <f>Лист7!B44</f>
        <v>140000</v>
      </c>
      <c r="C69" s="49">
        <f>Лист7!C44</f>
        <v>140000</v>
      </c>
      <c r="D69" s="40">
        <f>IF(B69=0,"   ",C69/B69*100)</f>
        <v>100</v>
      </c>
      <c r="E69" s="41">
        <f t="shared" si="5"/>
        <v>0</v>
      </c>
    </row>
    <row r="70" spans="1:5" ht="50.25" customHeight="1">
      <c r="A70" s="21" t="s">
        <v>339</v>
      </c>
      <c r="B70" s="49">
        <f>Лист2!B44+Лист5!B45+Лист10!B45</f>
        <v>2250000</v>
      </c>
      <c r="C70" s="49">
        <f>Лист2!C44+Лист5!C45+Лист10!C45</f>
        <v>2249900</v>
      </c>
      <c r="D70" s="40">
        <f>IF(B70=0,"   ",C70/B70*100)</f>
        <v>99.99555555555555</v>
      </c>
      <c r="E70" s="41">
        <f t="shared" si="5"/>
        <v>-100</v>
      </c>
    </row>
    <row r="71" spans="1:5" ht="33" customHeight="1">
      <c r="A71" s="21" t="s">
        <v>162</v>
      </c>
      <c r="B71" s="53">
        <f>Лист1!B53+Лист2!B43+Лист3!B41+Лист6!B45+Лист8!B40+Лист10!B44+Лист4!B42+Лист5!B44+Лист7!B43+Лист9!B50</f>
        <v>553350</v>
      </c>
      <c r="C71" s="53">
        <f>Лист1!C53+Лист2!C43+Лист3!C41+Лист6!C45+Лист8!C40+Лист10!C44+Лист4!C42+Лист5!C44+Лист7!C43+Лист9!C50</f>
        <v>553350</v>
      </c>
      <c r="D71" s="40">
        <f aca="true" t="shared" si="6" ref="D71:D101">IF(B71=0,"   ",C71/B71*100)</f>
        <v>100</v>
      </c>
      <c r="E71" s="41">
        <f t="shared" si="5"/>
        <v>0</v>
      </c>
    </row>
    <row r="72" spans="1:5" ht="21" customHeight="1">
      <c r="A72" s="44" t="s">
        <v>177</v>
      </c>
      <c r="B72" s="42">
        <f>Лист1!B61+Лист2!B52+Лист3!B48+Лист4!B49+Лист5!B46+Лист6!B47+Лист7!B58+Лист8!B47+Лист9!B51+Лист10!B47</f>
        <v>0</v>
      </c>
      <c r="C72" s="42">
        <f>Лист1!C61+Лист2!C52+Лист3!C48+Лист4!C49+Лист5!C46+Лист6!C47+Лист7!C58+Лист8!C47+Лист9!C51+Лист10!C47</f>
        <v>-23059.71</v>
      </c>
      <c r="D72" s="40" t="str">
        <f>IF(B72=0,"   ",C72/B72*100)</f>
        <v>   </v>
      </c>
      <c r="E72" s="41">
        <f t="shared" si="5"/>
        <v>-23059.71</v>
      </c>
    </row>
    <row r="73" spans="1:5" ht="13.5">
      <c r="A73" s="44" t="s">
        <v>99</v>
      </c>
      <c r="B73" s="45">
        <f>B37+B39+B59+B65+B72+B38</f>
        <v>115720549.79</v>
      </c>
      <c r="C73" s="45">
        <f>C37+C39+C59+C65+C72+C38</f>
        <v>98733442.23000002</v>
      </c>
      <c r="D73" s="46">
        <f t="shared" si="6"/>
        <v>85.32057824575948</v>
      </c>
      <c r="E73" s="47">
        <f aca="true" t="shared" si="7" ref="E73:E119">C73-B73</f>
        <v>-16987107.559999987</v>
      </c>
    </row>
    <row r="74" spans="1:5" ht="23.25" customHeight="1">
      <c r="A74" s="44" t="s">
        <v>11</v>
      </c>
      <c r="B74" s="45">
        <f>B36+B73</f>
        <v>155976970.81</v>
      </c>
      <c r="C74" s="45">
        <f>C36+C73</f>
        <v>139863801.73000002</v>
      </c>
      <c r="D74" s="46">
        <f t="shared" si="6"/>
        <v>89.66952044502268</v>
      </c>
      <c r="E74" s="47">
        <f t="shared" si="7"/>
        <v>-16113169.079999983</v>
      </c>
    </row>
    <row r="75" spans="1:5" ht="13.5" hidden="1">
      <c r="A75" s="44" t="s">
        <v>48</v>
      </c>
      <c r="B75" s="42"/>
      <c r="C75" s="42"/>
      <c r="D75" s="40" t="str">
        <f t="shared" si="6"/>
        <v>   </v>
      </c>
      <c r="E75" s="41">
        <f t="shared" si="7"/>
        <v>0</v>
      </c>
    </row>
    <row r="76" spans="1:5" ht="14.25">
      <c r="A76" s="56" t="s">
        <v>12</v>
      </c>
      <c r="B76" s="57"/>
      <c r="C76" s="58"/>
      <c r="D76" s="40" t="str">
        <f t="shared" si="6"/>
        <v>   </v>
      </c>
      <c r="E76" s="41"/>
    </row>
    <row r="77" spans="1:5" ht="13.5">
      <c r="A77" s="21" t="s">
        <v>35</v>
      </c>
      <c r="B77" s="42">
        <f>Лист1!B64+Лист2!B56+Лист3!B51+Лист4!B52+Лист5!B50+Лист6!B50+Лист7!B62+Лист8!B50+Лист9!B54+Лист10!B51</f>
        <v>18110210.66</v>
      </c>
      <c r="C77" s="42">
        <f>Лист1!C64+Лист2!C56+Лист3!C51+Лист4!C52+Лист5!C50+Лист6!C50+Лист7!C62+Лист8!C50+Лист9!C54+Лист10!C51</f>
        <v>17488714.91</v>
      </c>
      <c r="D77" s="40">
        <f t="shared" si="6"/>
        <v>96.56825775432476</v>
      </c>
      <c r="E77" s="41">
        <f t="shared" si="7"/>
        <v>-621495.75</v>
      </c>
    </row>
    <row r="78" spans="1:5" ht="13.5" customHeight="1">
      <c r="A78" s="21" t="s">
        <v>36</v>
      </c>
      <c r="B78" s="42">
        <f>Лист1!B65+Лист2!B57+Лист3!B52+Лист4!B53+Лист5!B51+Лист6!B51+Лист7!B63+Лист8!B51+Лист9!B55+Лист10!B52</f>
        <v>17796161.54</v>
      </c>
      <c r="C78" s="42">
        <f>Лист1!C65+Лист2!C57+Лист3!C52+Лист4!C53+Лист5!C51+Лист6!C51+Лист7!C63+Лист8!C51+Лист9!C55+Лист10!C52</f>
        <v>17201763.79</v>
      </c>
      <c r="D78" s="40">
        <f t="shared" si="6"/>
        <v>96.65996654017786</v>
      </c>
      <c r="E78" s="41">
        <f t="shared" si="7"/>
        <v>-594397.75</v>
      </c>
    </row>
    <row r="79" spans="1:5" ht="13.5">
      <c r="A79" s="21" t="s">
        <v>116</v>
      </c>
      <c r="B79" s="42">
        <f>Лист1!B66+Лист2!B58+Лист3!B53+Лист4!B54+Лист5!B52+Лист6!B52+Лист7!B64+Лист8!B52+Лист9!B56+Лист10!B53</f>
        <v>9845080.075000001</v>
      </c>
      <c r="C79" s="42">
        <f>Лист1!C66+Лист2!C58+Лист3!C53+Лист4!C54+Лист5!C52+Лист6!C52+Лист7!C64+Лист8!C52+Лист9!C56+Лист10!C53</f>
        <v>9831342.43</v>
      </c>
      <c r="D79" s="40">
        <f t="shared" si="6"/>
        <v>99.86046182564948</v>
      </c>
      <c r="E79" s="41">
        <f t="shared" si="7"/>
        <v>-13737.645000001416</v>
      </c>
    </row>
    <row r="80" spans="1:5" ht="27">
      <c r="A80" s="21" t="s">
        <v>333</v>
      </c>
      <c r="B80" s="42">
        <f>Лист1!B67+Лист2!B59+Лист3!B54+Лист4!B55+Лист5!B53+Лист6!B53+Лист7!B65+Лист8!B53+Лист9!B57+Лист10!B54</f>
        <v>553350</v>
      </c>
      <c r="C80" s="42">
        <f>Лист1!C67+Лист2!C59+Лист3!C54+Лист4!C55+Лист5!C53+Лист6!C53+Лист7!C65+Лист8!C53+Лист9!C57+Лист10!C54</f>
        <v>553350</v>
      </c>
      <c r="D80" s="40">
        <f>IF(B80=0,"   ",C80/B80*100)</f>
        <v>100</v>
      </c>
      <c r="E80" s="41">
        <f>C80-B80</f>
        <v>0</v>
      </c>
    </row>
    <row r="81" spans="1:5" ht="27">
      <c r="A81" s="21" t="s">
        <v>338</v>
      </c>
      <c r="B81" s="42">
        <f>+Лист2!B60+Лист5!B54</f>
        <v>798519.74</v>
      </c>
      <c r="C81" s="42">
        <f>+Лист2!C60+Лист5!C54</f>
        <v>798519.74</v>
      </c>
      <c r="D81" s="40">
        <f>IF(B81=0,"   ",C81/B81*100)</f>
        <v>100</v>
      </c>
      <c r="E81" s="41">
        <f>C81-B81</f>
        <v>0</v>
      </c>
    </row>
    <row r="82" spans="1:5" ht="13.5">
      <c r="A82" s="21" t="s">
        <v>91</v>
      </c>
      <c r="B82" s="42">
        <f>Лист1!B68+Лист2!B61+Лист3!B55+Лист4!B56+Лист5!B55+Лист6!B54+Лист7!B66+Лист8!B54+Лист9!B58+Лист10!B55</f>
        <v>1500</v>
      </c>
      <c r="C82" s="42">
        <f>Лист1!C68+Лист2!C61+Лист3!C55+Лист4!C56+Лист5!C55+Лист6!C54+Лист7!C66+Лист8!C54+Лист9!C58+Лист10!C55</f>
        <v>0</v>
      </c>
      <c r="D82" s="40">
        <f t="shared" si="6"/>
        <v>0</v>
      </c>
      <c r="E82" s="41">
        <f t="shared" si="7"/>
        <v>-1500</v>
      </c>
    </row>
    <row r="83" spans="1:5" ht="13.5">
      <c r="A83" s="21" t="s">
        <v>52</v>
      </c>
      <c r="B83" s="43">
        <f>SUM(B84:B88)</f>
        <v>312549.12</v>
      </c>
      <c r="C83" s="43">
        <f>SUM(C84:C88)</f>
        <v>286951.12</v>
      </c>
      <c r="D83" s="40">
        <f t="shared" si="6"/>
        <v>91.80992734837967</v>
      </c>
      <c r="E83" s="41">
        <f t="shared" si="7"/>
        <v>-25598</v>
      </c>
    </row>
    <row r="84" spans="1:5" ht="27">
      <c r="A84" s="17" t="s">
        <v>231</v>
      </c>
      <c r="B84" s="42">
        <f>Лист7!B69+Лист8!B57</f>
        <v>2000</v>
      </c>
      <c r="C84" s="42">
        <f>Лист7!C69+Лист8!C57</f>
        <v>0</v>
      </c>
      <c r="D84" s="40">
        <f>IF(B84=0,"   ",C84/B84*100)</f>
        <v>0</v>
      </c>
      <c r="E84" s="41">
        <f>C84-B84</f>
        <v>-2000</v>
      </c>
    </row>
    <row r="85" spans="1:5" ht="47.25" customHeight="1">
      <c r="A85" s="17" t="s">
        <v>232</v>
      </c>
      <c r="B85" s="42">
        <f>Лист3!B57+Лист7!B68+Лист1!B70+Лист2!B63+Лист4!B59+Лист5!B57+Лист6!B56+Лист8!B56+Лист9!B60+Лист10!B57</f>
        <v>155000</v>
      </c>
      <c r="C85" s="42">
        <f>Лист3!C57+Лист7!C68+Лист1!C70+Лист2!C63+Лист4!C59+Лист5!C57+Лист6!C56+Лист8!C56+Лист9!C60+Лист10!C57</f>
        <v>132000</v>
      </c>
      <c r="D85" s="40">
        <f>IF(B85=0,"   ",C85/B85*100)</f>
        <v>85.16129032258064</v>
      </c>
      <c r="E85" s="41">
        <f>C85-B85</f>
        <v>-23000</v>
      </c>
    </row>
    <row r="86" spans="1:5" ht="26.25" customHeight="1">
      <c r="A86" s="17" t="s">
        <v>276</v>
      </c>
      <c r="B86" s="42">
        <f>Лист3!B58</f>
        <v>94686</v>
      </c>
      <c r="C86" s="42">
        <f>Лист3!C58</f>
        <v>94686</v>
      </c>
      <c r="D86" s="40">
        <f t="shared" si="6"/>
        <v>100</v>
      </c>
      <c r="E86" s="41">
        <f>C86-B86</f>
        <v>0</v>
      </c>
    </row>
    <row r="87" spans="1:5" ht="22.5" customHeight="1">
      <c r="A87" s="17" t="s">
        <v>213</v>
      </c>
      <c r="B87" s="42">
        <f>Лист4!B58+Лист7!B71+Лист5!B58+Лист1!B71</f>
        <v>60863.119999999995</v>
      </c>
      <c r="C87" s="42">
        <f>Лист4!C58+Лист7!C71+Лист5!C58+Лист1!C71</f>
        <v>60265.119999999995</v>
      </c>
      <c r="D87" s="40">
        <f>IF(B87=0,"   ",C87/B87*100)</f>
        <v>99.01746739240447</v>
      </c>
      <c r="E87" s="41">
        <f>C87-B87</f>
        <v>-598</v>
      </c>
    </row>
    <row r="88" spans="1:5" ht="33" customHeight="1">
      <c r="A88" s="17" t="s">
        <v>235</v>
      </c>
      <c r="B88" s="42">
        <f>Лист7!B70</f>
        <v>0</v>
      </c>
      <c r="C88" s="42">
        <f>Лист7!C70</f>
        <v>0</v>
      </c>
      <c r="D88" s="42" t="str">
        <f>Лист7!D70</f>
        <v>   </v>
      </c>
      <c r="E88" s="42">
        <f>Лист7!E70</f>
        <v>0</v>
      </c>
    </row>
    <row r="89" spans="1:5" ht="13.5">
      <c r="A89" s="21" t="s">
        <v>49</v>
      </c>
      <c r="B89" s="43">
        <f>SUM(B90)</f>
        <v>1451500</v>
      </c>
      <c r="C89" s="43">
        <f>SUM(C90)</f>
        <v>1451500</v>
      </c>
      <c r="D89" s="40">
        <f t="shared" si="6"/>
        <v>100</v>
      </c>
      <c r="E89" s="41">
        <f t="shared" si="7"/>
        <v>0</v>
      </c>
    </row>
    <row r="90" spans="1:5" ht="33" customHeight="1">
      <c r="A90" s="21" t="s">
        <v>102</v>
      </c>
      <c r="B90" s="42">
        <f>Лист1!B73+Лист2!B65+Лист3!B60+Лист4!B61+Лист5!B60+Лист6!B58+Лист7!B73+Лист8!B59+Лист9!B62+Лист10!B59</f>
        <v>1451500</v>
      </c>
      <c r="C90" s="42">
        <f>Лист1!C73+Лист2!C65+Лист3!C60+Лист4!C61+Лист5!C60+Лист6!C58+Лист7!C73+Лист8!C59+Лист9!C62+Лист10!C59</f>
        <v>1451500</v>
      </c>
      <c r="D90" s="40">
        <f t="shared" si="6"/>
        <v>100</v>
      </c>
      <c r="E90" s="41">
        <f t="shared" si="7"/>
        <v>0</v>
      </c>
    </row>
    <row r="91" spans="1:5" ht="27">
      <c r="A91" s="21" t="s">
        <v>37</v>
      </c>
      <c r="B91" s="42">
        <f>Лист1!B74+Лист2!B66+Лист3!B61+Лист4!B62+Лист5!B61+Лист6!B59+Лист7!B74+Лист8!B60+Лист9!B63+Лист10!B60</f>
        <v>658000</v>
      </c>
      <c r="C91" s="42">
        <f>Лист1!C74+Лист2!C66+Лист3!C61+Лист4!C62+Лист5!C61+Лист6!C59+Лист7!C74+Лист8!C60+Лист9!C63+Лист10!C60</f>
        <v>563742.57</v>
      </c>
      <c r="D91" s="40">
        <f t="shared" si="6"/>
        <v>85.67516261398175</v>
      </c>
      <c r="E91" s="41">
        <f t="shared" si="7"/>
        <v>-94257.43000000005</v>
      </c>
    </row>
    <row r="92" spans="1:5" ht="33.75" customHeight="1">
      <c r="A92" s="60" t="s">
        <v>324</v>
      </c>
      <c r="B92" s="43">
        <f>Лист7!B75</f>
        <v>635000</v>
      </c>
      <c r="C92" s="43">
        <f>Лист7!C75</f>
        <v>540742.57</v>
      </c>
      <c r="D92" s="40">
        <f t="shared" si="6"/>
        <v>85.15631023622046</v>
      </c>
      <c r="E92" s="41">
        <f t="shared" si="7"/>
        <v>-94257.43000000005</v>
      </c>
    </row>
    <row r="93" spans="1:5" ht="18.75" customHeight="1">
      <c r="A93" s="21" t="s">
        <v>92</v>
      </c>
      <c r="B93" s="42">
        <f>Лист7!B76</f>
        <v>635000</v>
      </c>
      <c r="C93" s="42">
        <f>Лист7!C76</f>
        <v>540742.57</v>
      </c>
      <c r="D93" s="40">
        <f t="shared" si="6"/>
        <v>85.15631023622046</v>
      </c>
      <c r="E93" s="41">
        <f t="shared" si="7"/>
        <v>-94257.43000000005</v>
      </c>
    </row>
    <row r="94" spans="1:5" ht="15.75" customHeight="1">
      <c r="A94" s="21" t="s">
        <v>116</v>
      </c>
      <c r="B94" s="42">
        <f>Лист7!B77</f>
        <v>487711</v>
      </c>
      <c r="C94" s="42">
        <f>Лист7!C77</f>
        <v>417120.98</v>
      </c>
      <c r="D94" s="40">
        <f t="shared" si="6"/>
        <v>85.52626042881953</v>
      </c>
      <c r="E94" s="41">
        <f t="shared" si="7"/>
        <v>-70590.02000000002</v>
      </c>
    </row>
    <row r="95" spans="1:5" ht="27">
      <c r="A95" s="21" t="s">
        <v>326</v>
      </c>
      <c r="B95" s="42">
        <f>Лист1!B75+Лист2!B67+Лист3!B62+Лист4!B63+Лист5!B62+Лист6!B60+Лист7!B78+Лист8!B61+Лист9!B64+Лист10!B61</f>
        <v>23000</v>
      </c>
      <c r="C95" s="42">
        <f>Лист1!C75+Лист2!C67+Лист3!C62+Лист4!C63+Лист5!C62+Лист6!C60+Лист7!C78+Лист8!C61+Лист9!C64+Лист10!C61</f>
        <v>23000</v>
      </c>
      <c r="D95" s="40">
        <f t="shared" si="6"/>
        <v>100</v>
      </c>
      <c r="E95" s="41">
        <f t="shared" si="7"/>
        <v>0</v>
      </c>
    </row>
    <row r="96" spans="1:5" ht="13.5">
      <c r="A96" s="21" t="s">
        <v>38</v>
      </c>
      <c r="B96" s="43">
        <f>B106+B99+B121+B104+B97</f>
        <v>25423043.679999996</v>
      </c>
      <c r="C96" s="43">
        <f>C106+C99+C121+C104+C97</f>
        <v>24431757.709999997</v>
      </c>
      <c r="D96" s="40">
        <f t="shared" si="6"/>
        <v>96.10083677439522</v>
      </c>
      <c r="E96" s="41">
        <f t="shared" si="7"/>
        <v>-991285.9699999988</v>
      </c>
    </row>
    <row r="97" spans="1:5" ht="13.5">
      <c r="A97" s="61" t="s">
        <v>229</v>
      </c>
      <c r="B97" s="43">
        <f>B98</f>
        <v>0</v>
      </c>
      <c r="C97" s="43">
        <f>C98</f>
        <v>0</v>
      </c>
      <c r="D97" s="40" t="str">
        <f>IF(B97=0,"   ",C97/B97*100)</f>
        <v>   </v>
      </c>
      <c r="E97" s="41">
        <f t="shared" si="7"/>
        <v>0</v>
      </c>
    </row>
    <row r="98" spans="1:5" ht="27">
      <c r="A98" s="62" t="s">
        <v>230</v>
      </c>
      <c r="B98" s="43">
        <f>Лист7!B81</f>
        <v>0</v>
      </c>
      <c r="C98" s="43">
        <f>Лист7!C81</f>
        <v>0</v>
      </c>
      <c r="D98" s="40" t="str">
        <f>IF(B98=0,"   ",C98/B98*100)</f>
        <v>   </v>
      </c>
      <c r="E98" s="41">
        <f t="shared" si="7"/>
        <v>0</v>
      </c>
    </row>
    <row r="99" spans="1:5" ht="15.75" customHeight="1">
      <c r="A99" s="61" t="s">
        <v>164</v>
      </c>
      <c r="B99" s="43">
        <f>SUM(B100:B103)</f>
        <v>175119.4</v>
      </c>
      <c r="C99" s="43">
        <f>SUM(C100:C103)</f>
        <v>31623.22</v>
      </c>
      <c r="D99" s="40">
        <f t="shared" si="6"/>
        <v>18.058090651292776</v>
      </c>
      <c r="E99" s="41">
        <f aca="true" t="shared" si="8" ref="E99:E105">C99-B99</f>
        <v>-143496.18</v>
      </c>
    </row>
    <row r="100" spans="1:5" ht="30" customHeight="1">
      <c r="A100" s="60" t="s">
        <v>161</v>
      </c>
      <c r="B100" s="43">
        <f>Лист10!B64+Лист7!B83+Лист2!B71+Лист6!B64+Лист1!B79+Лист3!B66+Лист4!B67+Лист5!B66+Лист8!B65+Лист9!B68</f>
        <v>72819.4</v>
      </c>
      <c r="C100" s="43">
        <f>Лист10!C64+Лист7!C83+Лист2!C71+Лист6!C64+Лист1!C79+Лист3!C66+Лист4!C67+Лист5!C66+Лист8!C65+Лист9!C68</f>
        <v>28525.82</v>
      </c>
      <c r="D100" s="40">
        <f t="shared" si="6"/>
        <v>39.17337962136464</v>
      </c>
      <c r="E100" s="41">
        <f t="shared" si="8"/>
        <v>-44293.579999999994</v>
      </c>
    </row>
    <row r="101" spans="1:5" ht="27">
      <c r="A101" s="62" t="s">
        <v>158</v>
      </c>
      <c r="B101" s="43">
        <f>Лист1!B78+Лист2!B70+Лист3!B65+Лист4!B66+Лист5!B65+Лист6!B63+Лист7!B84+Лист8!B64+Лист9!B67+Лист10!B65</f>
        <v>30500</v>
      </c>
      <c r="C101" s="43">
        <f>Лист1!C78+Лист2!C70+Лист3!C65+Лист4!C66+Лист5!C65+Лист6!C63+Лист7!C84+Лист8!C64+Лист9!C67+Лист10!C65</f>
        <v>3097.4</v>
      </c>
      <c r="D101" s="40">
        <f t="shared" si="6"/>
        <v>10.155409836065573</v>
      </c>
      <c r="E101" s="41">
        <f t="shared" si="8"/>
        <v>-27402.6</v>
      </c>
    </row>
    <row r="102" spans="1:5" ht="27">
      <c r="A102" s="60" t="s">
        <v>299</v>
      </c>
      <c r="B102" s="43">
        <f>Лист7!B85+Лист2!B72+Лист6!B65+Лист3!B67+Лист5!B67+Лист8!B66+Лист1!B80+Лист4!B68+Лист9!B69+Лист10!B66</f>
        <v>0</v>
      </c>
      <c r="C102" s="43">
        <f>Лист7!C85+Лист2!C72+Лист6!C65+Лист3!C67+Лист5!C67+Лист8!C66+Лист1!C80+Лист4!C68+Лист9!C69+Лист10!C66</f>
        <v>0</v>
      </c>
      <c r="D102" s="40" t="str">
        <f>IF(B102=0,"   ",C102/B102*100)</f>
        <v>   </v>
      </c>
      <c r="E102" s="41">
        <f t="shared" si="8"/>
        <v>0</v>
      </c>
    </row>
    <row r="103" spans="1:5" ht="27">
      <c r="A103" s="60" t="s">
        <v>300</v>
      </c>
      <c r="B103" s="43">
        <f>Лист7!B86+Лист2!B73+Лист6!B66+Лист3!B68+Лист5!B68+Лист8!B67+Лист1!B81+Лист4!B69+Лист9!B70+Лист10!B67</f>
        <v>71800</v>
      </c>
      <c r="C103" s="43">
        <f>Лист7!C86+Лист2!C73+Лист6!C66+Лист3!C68+Лист5!C68+Лист8!C67+Лист1!C81+Лист4!C69+Лист9!C70+Лист10!C67</f>
        <v>0</v>
      </c>
      <c r="D103" s="40">
        <f>IF(B103=0,"   ",C103/B103*100)</f>
        <v>0</v>
      </c>
      <c r="E103" s="41">
        <f t="shared" si="8"/>
        <v>-71800</v>
      </c>
    </row>
    <row r="104" spans="1:5" ht="13.5">
      <c r="A104" s="59" t="s">
        <v>224</v>
      </c>
      <c r="B104" s="43">
        <f>B105</f>
        <v>0</v>
      </c>
      <c r="C104" s="43">
        <f>C105</f>
        <v>0</v>
      </c>
      <c r="D104" s="40" t="str">
        <f>IF(B104=0,"   ",C104/B104*100)</f>
        <v>   </v>
      </c>
      <c r="E104" s="41">
        <f t="shared" si="8"/>
        <v>0</v>
      </c>
    </row>
    <row r="105" spans="1:5" ht="27">
      <c r="A105" s="60" t="s">
        <v>221</v>
      </c>
      <c r="B105" s="43">
        <f>Лист7!B88+Лист2!B75+Лист1!B83+Лист6!B68+Лист8!B69</f>
        <v>0</v>
      </c>
      <c r="C105" s="43">
        <f>Лист7!C88+Лист2!C75+Лист1!C83+Лист6!C68+Лист8!C69</f>
        <v>0</v>
      </c>
      <c r="D105" s="40" t="str">
        <f>IF(B105=0,"   ",C105/B105*100)</f>
        <v>   </v>
      </c>
      <c r="E105" s="41">
        <f t="shared" si="8"/>
        <v>0</v>
      </c>
    </row>
    <row r="106" spans="1:5" ht="13.5">
      <c r="A106" s="63" t="s">
        <v>124</v>
      </c>
      <c r="B106" s="43">
        <f>SUM(B107,B111:B120)</f>
        <v>24280403.54</v>
      </c>
      <c r="C106" s="43">
        <f>SUM(C107,C111:C120)</f>
        <v>23600113.75</v>
      </c>
      <c r="D106" s="40">
        <f aca="true" t="shared" si="9" ref="D106:D127">IF(B106=0,"   ",C106/B106*100)</f>
        <v>97.1981940543975</v>
      </c>
      <c r="E106" s="41">
        <f t="shared" si="7"/>
        <v>-680289.7899999991</v>
      </c>
    </row>
    <row r="107" spans="1:5" ht="27">
      <c r="A107" s="17" t="s">
        <v>196</v>
      </c>
      <c r="B107" s="43">
        <f>Лист7!B91</f>
        <v>2634509.6</v>
      </c>
      <c r="C107" s="43">
        <f>Лист7!C91</f>
        <v>2634509.6</v>
      </c>
      <c r="D107" s="40">
        <f t="shared" si="9"/>
        <v>100</v>
      </c>
      <c r="E107" s="41">
        <f t="shared" si="7"/>
        <v>0</v>
      </c>
    </row>
    <row r="108" spans="1:5" ht="41.25">
      <c r="A108" s="17" t="s">
        <v>206</v>
      </c>
      <c r="B108" s="43">
        <f>Лист7!B92</f>
        <v>1580700</v>
      </c>
      <c r="C108" s="43">
        <f>Лист7!C92</f>
        <v>1580700</v>
      </c>
      <c r="D108" s="40">
        <f t="shared" si="9"/>
        <v>100</v>
      </c>
      <c r="E108" s="41">
        <f t="shared" si="7"/>
        <v>0</v>
      </c>
    </row>
    <row r="109" spans="1:5" ht="41.25">
      <c r="A109" s="17" t="s">
        <v>197</v>
      </c>
      <c r="B109" s="43">
        <f>Лист7!B93</f>
        <v>790357.2</v>
      </c>
      <c r="C109" s="43">
        <f>Лист7!C93</f>
        <v>790357.2</v>
      </c>
      <c r="D109" s="40">
        <f t="shared" si="9"/>
        <v>100</v>
      </c>
      <c r="E109" s="41">
        <f t="shared" si="7"/>
        <v>0</v>
      </c>
    </row>
    <row r="110" spans="1:5" ht="27" customHeight="1">
      <c r="A110" s="17" t="s">
        <v>207</v>
      </c>
      <c r="B110" s="43">
        <f>Лист7!B94</f>
        <v>263452.4</v>
      </c>
      <c r="C110" s="43">
        <f>Лист7!C94</f>
        <v>263452.4</v>
      </c>
      <c r="D110" s="40">
        <f t="shared" si="9"/>
        <v>100</v>
      </c>
      <c r="E110" s="41">
        <f t="shared" si="7"/>
        <v>0</v>
      </c>
    </row>
    <row r="111" spans="1:5" ht="13.5">
      <c r="A111" s="62" t="s">
        <v>255</v>
      </c>
      <c r="B111" s="43">
        <f>Лист1!B85+Лист2!B77+Лист3!B70+Лист4!B71+Лист5!B70+Лист6!B70+Лист7!B90+Лист8!B71+Лист9!B72+Лист10!B69</f>
        <v>290000</v>
      </c>
      <c r="C111" s="43">
        <f>Лист1!C85+Лист2!C77+Лист3!C70+Лист4!C71+Лист5!C70+Лист6!C70+Лист7!C90+Лист8!C71+Лист9!C72+Лист10!C69</f>
        <v>0</v>
      </c>
      <c r="D111" s="40">
        <f>IF(B111=0,"   ",C111/B111*100)</f>
        <v>0</v>
      </c>
      <c r="E111" s="41">
        <f>C111-B111</f>
        <v>-290000</v>
      </c>
    </row>
    <row r="112" spans="1:5" ht="27">
      <c r="A112" s="60" t="s">
        <v>248</v>
      </c>
      <c r="B112" s="43">
        <f>Лист7!B101</f>
        <v>103155</v>
      </c>
      <c r="C112" s="43">
        <f>Лист7!C101</f>
        <v>0</v>
      </c>
      <c r="D112" s="40">
        <f>IF(B112=0,"   ",C112/B112*100)</f>
        <v>0</v>
      </c>
      <c r="E112" s="41">
        <f>C112-B112</f>
        <v>-103155</v>
      </c>
    </row>
    <row r="113" spans="1:5" ht="42.75" customHeight="1">
      <c r="A113" s="17" t="s">
        <v>237</v>
      </c>
      <c r="B113" s="43">
        <f>Лист1!B90+Лист2!B78+Лист3!B71+Лист4!B72+Лист5!B71+Лист6!B71+Лист7!B95+Лист8!B72+Лист9!B73+Лист10!B70</f>
        <v>4713536.07</v>
      </c>
      <c r="C113" s="43">
        <f>Лист1!C90+Лист2!C78+Лист3!C71+Лист4!C72+Лист5!C71+Лист6!C71+Лист7!C95+Лист8!C72+Лист9!C73+Лист10!C70</f>
        <v>4603660.17</v>
      </c>
      <c r="D113" s="40">
        <f>IF(B113=0,"   ",C113/B113*100)</f>
        <v>97.66892841450134</v>
      </c>
      <c r="E113" s="41">
        <f>C113-B113</f>
        <v>-109875.90000000037</v>
      </c>
    </row>
    <row r="114" spans="1:5" ht="45" customHeight="1">
      <c r="A114" s="17" t="s">
        <v>238</v>
      </c>
      <c r="B114" s="43">
        <f>Лист1!B91+Лист2!B79+Лист3!B72+Лист4!B73+Лист5!B72+Лист6!B72+Лист7!B96+Лист8!B73+Лист9!B74+Лист10!B71</f>
        <v>1813302.87</v>
      </c>
      <c r="C114" s="43">
        <f>Лист1!C91+Лист2!C79+Лист3!C72+Лист4!C73+Лист5!C72+Лист6!C72+Лист7!C96+Лист8!C73+Лист9!C74+Лист10!C71</f>
        <v>1636043.98</v>
      </c>
      <c r="D114" s="40">
        <f t="shared" si="9"/>
        <v>90.22452934186333</v>
      </c>
      <c r="E114" s="41">
        <f t="shared" si="7"/>
        <v>-177258.89000000013</v>
      </c>
    </row>
    <row r="115" spans="1:5" ht="44.25" customHeight="1">
      <c r="A115" s="17" t="s">
        <v>239</v>
      </c>
      <c r="B115" s="43">
        <f>Лист1!B92+Лист2!B80+Лист3!B73+Лист4!B74+Лист5!B73+Лист6!B73+Лист7!B97+Лист8!B74+Лист9!B75+Лист10!B72</f>
        <v>7095400</v>
      </c>
      <c r="C115" s="43">
        <f>Лист1!C92+Лист2!C80+Лист3!C73+Лист4!C74+Лист5!C73+Лист6!C73+Лист7!C97+Лист8!C74+Лист9!C75+Лист10!C72</f>
        <v>7095400</v>
      </c>
      <c r="D115" s="40">
        <f t="shared" si="9"/>
        <v>100</v>
      </c>
      <c r="E115" s="41">
        <f t="shared" si="7"/>
        <v>0</v>
      </c>
    </row>
    <row r="116" spans="1:5" ht="48" customHeight="1">
      <c r="A116" s="17" t="s">
        <v>240</v>
      </c>
      <c r="B116" s="43">
        <f>Лист1!B93+Лист2!B81+Лист3!B74+Лист4!B75+Лист5!B74+Лист6!B74+Лист7!B98+Лист8!B75+Лист9!B76+Лист10!B73</f>
        <v>788900</v>
      </c>
      <c r="C116" s="43">
        <f>Лист1!C93+Лист2!C81+Лист3!C74+Лист4!C75+Лист5!C74+Лист6!C74+Лист7!C98+Лист8!C75+Лист9!C76+Лист10!C73</f>
        <v>788900</v>
      </c>
      <c r="D116" s="40">
        <f t="shared" si="9"/>
        <v>100</v>
      </c>
      <c r="E116" s="41">
        <f t="shared" si="7"/>
        <v>0</v>
      </c>
    </row>
    <row r="117" spans="1:5" ht="33.75" customHeight="1">
      <c r="A117" s="17" t="s">
        <v>241</v>
      </c>
      <c r="B117" s="43">
        <f>Лист1!B94+Лист2!B82+Лист3!B75+Лист4!B76+Лист5!B75+Лист6!B75+Лист7!B99+Лист8!B76+Лист9!B77+Лист10!B74</f>
        <v>4589800</v>
      </c>
      <c r="C117" s="43">
        <f>Лист1!C94+Лист2!C82+Лист3!C75+Лист4!C76+Лист5!C75+Лист6!C75+Лист7!C99+Лист8!C76+Лист9!C77+Лист10!C74</f>
        <v>4589800</v>
      </c>
      <c r="D117" s="40">
        <f t="shared" si="9"/>
        <v>100</v>
      </c>
      <c r="E117" s="41">
        <f>C117-B117</f>
        <v>0</v>
      </c>
    </row>
    <row r="118" spans="1:5" ht="46.5" customHeight="1">
      <c r="A118" s="17" t="s">
        <v>242</v>
      </c>
      <c r="B118" s="43">
        <f>Лист1!B95+Лист2!B83+Лист3!B76+Лист4!B77+Лист5!B76+Лист6!B76+Лист7!B100+Лист8!B77+Лист9!B78+Лист10!B75</f>
        <v>510500</v>
      </c>
      <c r="C118" s="43">
        <f>Лист1!C95+Лист2!C83+Лист3!C76+Лист4!C77+Лист5!C76+Лист6!C76+Лист7!C100+Лист8!C77+Лист9!C78+Лист10!C75</f>
        <v>510500</v>
      </c>
      <c r="D118" s="40">
        <f t="shared" si="9"/>
        <v>100</v>
      </c>
      <c r="E118" s="41">
        <f t="shared" si="7"/>
        <v>0</v>
      </c>
    </row>
    <row r="119" spans="1:5" ht="45" customHeight="1">
      <c r="A119" s="17" t="s">
        <v>133</v>
      </c>
      <c r="B119" s="43">
        <f>Лист7!B102</f>
        <v>1567100</v>
      </c>
      <c r="C119" s="43">
        <f>Лист7!C102</f>
        <v>1567100</v>
      </c>
      <c r="D119" s="40">
        <f t="shared" si="9"/>
        <v>100</v>
      </c>
      <c r="E119" s="41">
        <f t="shared" si="7"/>
        <v>0</v>
      </c>
    </row>
    <row r="120" spans="1:5" ht="36" customHeight="1">
      <c r="A120" s="21" t="s">
        <v>233</v>
      </c>
      <c r="B120" s="43">
        <f>Лист7!B103</f>
        <v>174200</v>
      </c>
      <c r="C120" s="43">
        <f>Лист7!C103</f>
        <v>174200</v>
      </c>
      <c r="D120" s="40">
        <f>IF(B120=0,"   ",C120/B120*100)</f>
        <v>100</v>
      </c>
      <c r="E120" s="41">
        <f aca="true" t="shared" si="10" ref="E120:E157">C120-B120</f>
        <v>0</v>
      </c>
    </row>
    <row r="121" spans="1:5" ht="18.75" customHeight="1">
      <c r="A121" s="63" t="s">
        <v>168</v>
      </c>
      <c r="B121" s="43">
        <f>B122+B123</f>
        <v>967520.74</v>
      </c>
      <c r="C121" s="43">
        <f>C122+C123</f>
        <v>800020.74</v>
      </c>
      <c r="D121" s="40">
        <f t="shared" si="9"/>
        <v>82.68770961953746</v>
      </c>
      <c r="E121" s="41">
        <f t="shared" si="10"/>
        <v>-167500</v>
      </c>
    </row>
    <row r="122" spans="1:5" ht="45" customHeight="1">
      <c r="A122" s="21" t="s">
        <v>147</v>
      </c>
      <c r="B122" s="43">
        <f>Лист1!B97+Лист2!B85+Лист7!B105+Лист9!B80+Лист4!B79+Лист5!B78+Лист6!B78+Лист10!B77+Лист8!B79</f>
        <v>454071.78</v>
      </c>
      <c r="C122" s="43">
        <f>Лист1!C97+Лист2!C85+Лист7!C105+Лист9!C80+Лист4!C79+Лист5!C78+Лист6!C78+Лист10!C77+Лист8!C79</f>
        <v>326571.78</v>
      </c>
      <c r="D122" s="40">
        <f t="shared" si="9"/>
        <v>71.92073905143369</v>
      </c>
      <c r="E122" s="41">
        <f t="shared" si="10"/>
        <v>-127500</v>
      </c>
    </row>
    <row r="123" spans="1:5" ht="44.25" customHeight="1">
      <c r="A123" s="68" t="s">
        <v>169</v>
      </c>
      <c r="B123" s="43">
        <f>Лист1!B98+Лист2!B86+Лист3!B78+Лист5!B79+Лист7!B106+Лист8!B80+Лист9!B81+Лист10!B78+Лист4!B80</f>
        <v>513448.96</v>
      </c>
      <c r="C123" s="43">
        <f>Лист1!C98+Лист2!C86+Лист3!C78+Лист5!C79+Лист7!C106+Лист8!C80+Лист9!C81+Лист10!C78+Лист4!C80</f>
        <v>473448.96</v>
      </c>
      <c r="D123" s="40">
        <f>IF(B123=0,"   ",C123/B123*100)</f>
        <v>92.20954698204082</v>
      </c>
      <c r="E123" s="41">
        <f t="shared" si="10"/>
        <v>-40000</v>
      </c>
    </row>
    <row r="124" spans="1:5" ht="15.75" customHeight="1">
      <c r="A124" s="21" t="s">
        <v>13</v>
      </c>
      <c r="B124" s="42">
        <f>SUM(B125,B128,B146,B171)</f>
        <v>80726328.08</v>
      </c>
      <c r="C124" s="42">
        <f>SUM(C125,C128,C146,C171)</f>
        <v>62641774.56</v>
      </c>
      <c r="D124" s="40">
        <f t="shared" si="9"/>
        <v>77.5977008367355</v>
      </c>
      <c r="E124" s="41">
        <f t="shared" si="10"/>
        <v>-18084553.519999996</v>
      </c>
    </row>
    <row r="125" spans="1:5" ht="14.25" customHeight="1">
      <c r="A125" s="21" t="s">
        <v>14</v>
      </c>
      <c r="B125" s="70">
        <f>SUM(B126:B127)</f>
        <v>933739</v>
      </c>
      <c r="C125" s="70">
        <f>SUM(C126:C127)</f>
        <v>770979.7100000001</v>
      </c>
      <c r="D125" s="40">
        <f t="shared" si="9"/>
        <v>82.5690808673516</v>
      </c>
      <c r="E125" s="41">
        <f t="shared" si="10"/>
        <v>-162759.28999999992</v>
      </c>
    </row>
    <row r="126" spans="1:5" ht="14.25" customHeight="1">
      <c r="A126" s="21" t="s">
        <v>89</v>
      </c>
      <c r="B126" s="42">
        <f>Лист7!B109+Лист9!B84+Лист1!B103</f>
        <v>863739</v>
      </c>
      <c r="C126" s="42">
        <f>Лист7!C109+Лист9!C84+Лист1!C103</f>
        <v>749878.31</v>
      </c>
      <c r="D126" s="40">
        <f t="shared" si="9"/>
        <v>86.81769724419067</v>
      </c>
      <c r="E126" s="41">
        <f t="shared" si="10"/>
        <v>-113860.68999999994</v>
      </c>
    </row>
    <row r="127" spans="1:5" ht="21.75" customHeight="1">
      <c r="A127" s="21" t="s">
        <v>174</v>
      </c>
      <c r="B127" s="42">
        <f>Лист7!B110</f>
        <v>70000</v>
      </c>
      <c r="C127" s="42">
        <f>Лист7!C110</f>
        <v>21101.4</v>
      </c>
      <c r="D127" s="40">
        <f t="shared" si="9"/>
        <v>30.144857142857145</v>
      </c>
      <c r="E127" s="41">
        <f t="shared" si="10"/>
        <v>-48898.6</v>
      </c>
    </row>
    <row r="128" spans="1:5" ht="14.25" customHeight="1">
      <c r="A128" s="21" t="s">
        <v>70</v>
      </c>
      <c r="B128" s="70">
        <f>SUM(B129:B142)</f>
        <v>13436287.379999999</v>
      </c>
      <c r="C128" s="70">
        <f>SUM(C129:C142)</f>
        <v>12661106.23</v>
      </c>
      <c r="D128" s="40">
        <f aca="true" t="shared" si="11" ref="D128:D153">IF(B128=0,"   ",C128/B128*100)</f>
        <v>94.2306894153376</v>
      </c>
      <c r="E128" s="41">
        <f t="shared" si="10"/>
        <v>-775181.1499999985</v>
      </c>
    </row>
    <row r="129" spans="1:5" ht="13.5">
      <c r="A129" s="21" t="s">
        <v>71</v>
      </c>
      <c r="B129" s="42">
        <f>Лист7!B123</f>
        <v>300000</v>
      </c>
      <c r="C129" s="42">
        <f>Лист7!C123</f>
        <v>218550</v>
      </c>
      <c r="D129" s="40">
        <f t="shared" si="11"/>
        <v>72.85000000000001</v>
      </c>
      <c r="E129" s="41">
        <f t="shared" si="10"/>
        <v>-81450</v>
      </c>
    </row>
    <row r="130" spans="1:5" ht="27">
      <c r="A130" s="21" t="s">
        <v>272</v>
      </c>
      <c r="B130" s="42">
        <f>Лист1!B107+Лист2!B90+Лист3!B81+Лист5!B84+Лист6!B84+Лист7!B120+Лист8!B88+Лист9!B86+Лист10!B81</f>
        <v>6250340</v>
      </c>
      <c r="C130" s="42">
        <f>Лист1!C107+Лист2!C90+Лист3!C81+Лист5!C84+Лист6!C84+Лист7!C120+Лист8!C88+Лист9!C86+Лист10!C81</f>
        <v>6180758.42</v>
      </c>
      <c r="D130" s="40">
        <f t="shared" si="11"/>
        <v>98.88675528051274</v>
      </c>
      <c r="E130" s="41">
        <f t="shared" si="10"/>
        <v>-69581.58000000007</v>
      </c>
    </row>
    <row r="131" spans="1:5" ht="27">
      <c r="A131" s="21" t="s">
        <v>303</v>
      </c>
      <c r="B131" s="42">
        <f>Лист7!B114</f>
        <v>0</v>
      </c>
      <c r="C131" s="42">
        <f>Лист7!C114</f>
        <v>0</v>
      </c>
      <c r="D131" s="40" t="str">
        <f>IF(B131=0,"   ",C131/B131*100)</f>
        <v>   </v>
      </c>
      <c r="E131" s="41">
        <f>C131-B131</f>
        <v>0</v>
      </c>
    </row>
    <row r="132" spans="1:5" ht="27">
      <c r="A132" s="21" t="s">
        <v>304</v>
      </c>
      <c r="B132" s="42">
        <f>Лист7!B115</f>
        <v>0</v>
      </c>
      <c r="C132" s="42">
        <f>Лист7!C115</f>
        <v>0</v>
      </c>
      <c r="D132" s="40" t="str">
        <f>IF(B132=0,"   ",C132/B132*100)</f>
        <v>   </v>
      </c>
      <c r="E132" s="41">
        <f>C132-B132</f>
        <v>0</v>
      </c>
    </row>
    <row r="133" spans="1:5" ht="32.25" customHeight="1">
      <c r="A133" s="21" t="s">
        <v>330</v>
      </c>
      <c r="B133" s="42">
        <f>Лист2!B91+Лист7!B121+Лист9!B87+Лист10!B82</f>
        <v>431740</v>
      </c>
      <c r="C133" s="42">
        <f>Лист2!C91+Лист7!C121+Лист9!C87+Лист10!C82</f>
        <v>401097.13</v>
      </c>
      <c r="D133" s="40">
        <f>IF(B133=0,"   ",C133/B133*100)</f>
        <v>92.90247139482096</v>
      </c>
      <c r="E133" s="41">
        <f t="shared" si="10"/>
        <v>-30642.869999999995</v>
      </c>
    </row>
    <row r="134" spans="1:5" ht="41.25">
      <c r="A134" s="21" t="s">
        <v>186</v>
      </c>
      <c r="B134" s="42">
        <f>Лист8!B85+Лист7!B112+Лист6!B81+Лист2!B89+Лист1!B105+Лист5!B83+Лист9!B88</f>
        <v>101900</v>
      </c>
      <c r="C134" s="42">
        <f>Лист8!C85+Лист7!C112+Лист6!C81+Лист2!C89+Лист1!C105+Лист5!C83+Лист9!C88</f>
        <v>62974.81</v>
      </c>
      <c r="D134" s="40">
        <f t="shared" si="11"/>
        <v>61.80059862610402</v>
      </c>
      <c r="E134" s="41">
        <f t="shared" si="10"/>
        <v>-38925.19</v>
      </c>
    </row>
    <row r="135" spans="1:5" ht="27">
      <c r="A135" s="38" t="s">
        <v>328</v>
      </c>
      <c r="B135" s="42">
        <f>Лист9!B92</f>
        <v>90000</v>
      </c>
      <c r="C135" s="42">
        <f>Лист9!C92</f>
        <v>0</v>
      </c>
      <c r="D135" s="40">
        <f>IF(B135=0,"   ",C135/B135*100)</f>
        <v>0</v>
      </c>
      <c r="E135" s="41">
        <f>C135-B135</f>
        <v>-90000</v>
      </c>
    </row>
    <row r="136" spans="1:5" ht="31.5" customHeight="1">
      <c r="A136" s="21" t="s">
        <v>319</v>
      </c>
      <c r="B136" s="42">
        <f>Лист7!B122</f>
        <v>225000</v>
      </c>
      <c r="C136" s="42">
        <f>Лист7!C122</f>
        <v>225000</v>
      </c>
      <c r="D136" s="40">
        <f>IF(B136=0,"   ",C136/B136*100)</f>
        <v>100</v>
      </c>
      <c r="E136" s="41">
        <f>C136-B136</f>
        <v>0</v>
      </c>
    </row>
    <row r="137" spans="1:5" ht="27">
      <c r="A137" s="21" t="s">
        <v>308</v>
      </c>
      <c r="B137" s="42">
        <f>Лист1!B113</f>
        <v>795407.51</v>
      </c>
      <c r="C137" s="42">
        <f>Лист1!C113</f>
        <v>795407.51</v>
      </c>
      <c r="D137" s="40">
        <f t="shared" si="11"/>
        <v>100</v>
      </c>
      <c r="E137" s="41">
        <f t="shared" si="10"/>
        <v>0</v>
      </c>
    </row>
    <row r="138" spans="1:5" ht="17.25" customHeight="1">
      <c r="A138" s="38" t="s">
        <v>151</v>
      </c>
      <c r="B138" s="42">
        <f>Лист7!B113+Лист9!B89+Лист1!B106+Лист5!B82+Лист8!B86+Лист10!B83+Лист3!B84+Лист4!B83</f>
        <v>677302</v>
      </c>
      <c r="C138" s="42">
        <f>Лист7!C113+Лист9!C89+Лист1!C106+Лист5!C82+Лист8!C86+Лист10!C83+Лист3!C84+Лист4!C83</f>
        <v>562853.65</v>
      </c>
      <c r="D138" s="40">
        <f t="shared" si="11"/>
        <v>83.10231624888159</v>
      </c>
      <c r="E138" s="41">
        <f t="shared" si="10"/>
        <v>-114448.34999999998</v>
      </c>
    </row>
    <row r="139" spans="1:5" ht="30" customHeight="1">
      <c r="A139" s="38" t="s">
        <v>327</v>
      </c>
      <c r="B139" s="42">
        <f>Лист9!B90</f>
        <v>0</v>
      </c>
      <c r="C139" s="42">
        <f>Лист9!C90</f>
        <v>0</v>
      </c>
      <c r="D139" s="40" t="str">
        <f>IF(B139=0,"   ",C139/B139*100)</f>
        <v>   </v>
      </c>
      <c r="E139" s="41">
        <f>C139-B139</f>
        <v>0</v>
      </c>
    </row>
    <row r="140" spans="1:5" ht="28.5" customHeight="1">
      <c r="A140" s="21" t="s">
        <v>325</v>
      </c>
      <c r="B140" s="42">
        <f>Лист2!B92+Лист3!B83+Лист5!B86+Лист6!B82+Лист8!B87+Лист9!B91+Лист10!B84</f>
        <v>1712002.96</v>
      </c>
      <c r="C140" s="42">
        <f>Лист2!C92+Лист3!C83+Лист5!C86+Лист6!C82+Лист8!C87+Лист9!C91+Лист10!C84</f>
        <v>1361869.8</v>
      </c>
      <c r="D140" s="40">
        <f>IF(B140=0,"   ",C140/B140*100)</f>
        <v>79.54833208933238</v>
      </c>
      <c r="E140" s="41">
        <f>C140-B140</f>
        <v>-350133.1599999999</v>
      </c>
    </row>
    <row r="141" spans="1:5" ht="28.5" customHeight="1">
      <c r="A141" s="21" t="s">
        <v>338</v>
      </c>
      <c r="B141" s="42">
        <f>Лист5!B87</f>
        <v>219960.26</v>
      </c>
      <c r="C141" s="42">
        <f>Лист5!C87</f>
        <v>219960.26</v>
      </c>
      <c r="D141" s="40">
        <f>IF(B141=0,"   ",C141/B141*100)</f>
        <v>100</v>
      </c>
      <c r="E141" s="41">
        <f>C141-B141</f>
        <v>0</v>
      </c>
    </row>
    <row r="142" spans="1:5" ht="33" customHeight="1">
      <c r="A142" s="17" t="s">
        <v>196</v>
      </c>
      <c r="B142" s="42">
        <f>SUM(B143:B145)</f>
        <v>2632634.6500000004</v>
      </c>
      <c r="C142" s="42">
        <f>SUM(C143:C145)</f>
        <v>2632634.6500000004</v>
      </c>
      <c r="D142" s="40">
        <f t="shared" si="11"/>
        <v>100</v>
      </c>
      <c r="E142" s="41">
        <f t="shared" si="10"/>
        <v>0</v>
      </c>
    </row>
    <row r="143" spans="1:5" ht="50.25" customHeight="1">
      <c r="A143" s="17" t="s">
        <v>178</v>
      </c>
      <c r="B143" s="42">
        <f>Лист9!B94+Лист7!B117</f>
        <v>1579563.69</v>
      </c>
      <c r="C143" s="42">
        <f>Лист9!C94+Лист7!C117</f>
        <v>1579563.69</v>
      </c>
      <c r="D143" s="40">
        <f t="shared" si="11"/>
        <v>100</v>
      </c>
      <c r="E143" s="41">
        <f t="shared" si="10"/>
        <v>0</v>
      </c>
    </row>
    <row r="144" spans="1:5" ht="44.25" customHeight="1">
      <c r="A144" s="17" t="s">
        <v>190</v>
      </c>
      <c r="B144" s="42">
        <f>Лист9!B95+Лист7!B118</f>
        <v>743962.76</v>
      </c>
      <c r="C144" s="42">
        <f>Лист9!C95+Лист7!C118</f>
        <v>743962.76</v>
      </c>
      <c r="D144" s="40">
        <f t="shared" si="11"/>
        <v>100</v>
      </c>
      <c r="E144" s="41">
        <f t="shared" si="10"/>
        <v>0</v>
      </c>
    </row>
    <row r="145" spans="1:5" ht="26.25" customHeight="1">
      <c r="A145" s="17" t="s">
        <v>202</v>
      </c>
      <c r="B145" s="42">
        <f>Лист9!B96+Лист7!B119</f>
        <v>309108.2</v>
      </c>
      <c r="C145" s="42">
        <f>Лист9!C96+Лист7!C119</f>
        <v>309108.2</v>
      </c>
      <c r="D145" s="40">
        <f t="shared" si="11"/>
        <v>100</v>
      </c>
      <c r="E145" s="41">
        <f t="shared" si="10"/>
        <v>0</v>
      </c>
    </row>
    <row r="146" spans="1:5" ht="13.5">
      <c r="A146" s="21" t="s">
        <v>72</v>
      </c>
      <c r="B146" s="70">
        <f>SUM(B147:B157,B158,B162,B163,B167)</f>
        <v>66354601.699999996</v>
      </c>
      <c r="C146" s="70">
        <f>SUM(C147:C157,C158,C163,C167)</f>
        <v>49207988.62</v>
      </c>
      <c r="D146" s="40">
        <f t="shared" si="11"/>
        <v>74.1591198790965</v>
      </c>
      <c r="E146" s="41">
        <f t="shared" si="10"/>
        <v>-17146613.08</v>
      </c>
    </row>
    <row r="147" spans="1:5" ht="13.5">
      <c r="A147" s="21" t="s">
        <v>60</v>
      </c>
      <c r="B147" s="42">
        <f>Лист1!B115+Лист2!B99+Лист3!B86+Лист4!B85+Лист5!B93+Лист6!B91+Лист7!B125+Лист8!B91+Лист9!B98+Лист10!B86</f>
        <v>8242128.840000001</v>
      </c>
      <c r="C147" s="42">
        <f>Лист1!C115+Лист2!C99+Лист3!C86+Лист4!C85+Лист5!C93+Лист6!C91+Лист7!C125+Лист8!C91+Лист9!C98+Лист10!C86</f>
        <v>8111521.8</v>
      </c>
      <c r="D147" s="40">
        <f t="shared" si="11"/>
        <v>98.41537250223328</v>
      </c>
      <c r="E147" s="41">
        <f t="shared" si="10"/>
        <v>-130607.04000000097</v>
      </c>
    </row>
    <row r="148" spans="1:5" ht="27" customHeight="1">
      <c r="A148" s="21" t="s">
        <v>208</v>
      </c>
      <c r="B148" s="42">
        <f>Лист7!B126</f>
        <v>0</v>
      </c>
      <c r="C148" s="42">
        <f>Лист7!C126</f>
        <v>0</v>
      </c>
      <c r="D148" s="40" t="str">
        <f t="shared" si="11"/>
        <v>   </v>
      </c>
      <c r="E148" s="41">
        <f t="shared" si="10"/>
        <v>0</v>
      </c>
    </row>
    <row r="149" spans="1:5" ht="27" customHeight="1">
      <c r="A149" s="17" t="s">
        <v>321</v>
      </c>
      <c r="B149" s="42">
        <f>Лист7!B131</f>
        <v>300000</v>
      </c>
      <c r="C149" s="42">
        <f>Лист7!C131</f>
        <v>300000</v>
      </c>
      <c r="D149" s="40">
        <f>IF(B149=0,"   ",C149/B149*100)</f>
        <v>100</v>
      </c>
      <c r="E149" s="41">
        <f t="shared" si="10"/>
        <v>0</v>
      </c>
    </row>
    <row r="150" spans="1:5" ht="23.25" customHeight="1">
      <c r="A150" s="17" t="s">
        <v>236</v>
      </c>
      <c r="B150" s="42">
        <f>Лист7!B141</f>
        <v>805500</v>
      </c>
      <c r="C150" s="42">
        <f>Лист7!C141</f>
        <v>433000</v>
      </c>
      <c r="D150" s="40">
        <f t="shared" si="11"/>
        <v>53.755431409062695</v>
      </c>
      <c r="E150" s="41">
        <f t="shared" si="10"/>
        <v>-372500</v>
      </c>
    </row>
    <row r="151" spans="1:5" ht="13.5">
      <c r="A151" s="21" t="s">
        <v>73</v>
      </c>
      <c r="B151" s="42">
        <f>Лист7!B127</f>
        <v>250000</v>
      </c>
      <c r="C151" s="42">
        <f>Лист7!C127</f>
        <v>250000</v>
      </c>
      <c r="D151" s="40">
        <f t="shared" si="11"/>
        <v>100</v>
      </c>
      <c r="E151" s="41">
        <f t="shared" si="10"/>
        <v>0</v>
      </c>
    </row>
    <row r="152" spans="1:5" ht="13.5">
      <c r="A152" s="21" t="s">
        <v>74</v>
      </c>
      <c r="B152" s="42">
        <f>Лист7!B128</f>
        <v>0</v>
      </c>
      <c r="C152" s="42">
        <f>Лист7!C128</f>
        <v>0</v>
      </c>
      <c r="D152" s="40" t="str">
        <f t="shared" si="11"/>
        <v>   </v>
      </c>
      <c r="E152" s="41">
        <f t="shared" si="10"/>
        <v>0</v>
      </c>
    </row>
    <row r="153" spans="1:5" ht="13.5">
      <c r="A153" s="21" t="s">
        <v>75</v>
      </c>
      <c r="B153" s="42">
        <f>Лист1!B117+Лист3!B87+Лист4!B86+Лист5!B94+Лист7!B129+Лист8!B93+Лист9!B99+Лист10!B88+Лист6!B92+Лист2!B104</f>
        <v>3720979.64</v>
      </c>
      <c r="C153" s="42">
        <f>Лист1!C117+Лист3!C87+Лист4!C86+Лист5!C94+Лист7!C129+Лист8!C93+Лист9!C99+Лист10!C88+Лист6!C92+Лист2!C104</f>
        <v>3392002.2</v>
      </c>
      <c r="D153" s="40">
        <f t="shared" si="11"/>
        <v>91.15884869501731</v>
      </c>
      <c r="E153" s="41">
        <f t="shared" si="10"/>
        <v>-328977.43999999994</v>
      </c>
    </row>
    <row r="154" spans="1:5" ht="27">
      <c r="A154" s="21" t="s">
        <v>338</v>
      </c>
      <c r="B154" s="42">
        <f>Лист5!B95+Лист10!B89</f>
        <v>1231520</v>
      </c>
      <c r="C154" s="42">
        <f>Лист5!C95+Лист10!C89</f>
        <v>1231420</v>
      </c>
      <c r="D154" s="40">
        <f>IF(B154=0,"   ",C154/B154*100)</f>
        <v>99.99187995322853</v>
      </c>
      <c r="E154" s="41">
        <f>C154-B154</f>
        <v>-100</v>
      </c>
    </row>
    <row r="155" spans="1:5" ht="24" customHeight="1">
      <c r="A155" s="21" t="s">
        <v>329</v>
      </c>
      <c r="B155" s="42">
        <f>Лист9!B100</f>
        <v>52142</v>
      </c>
      <c r="C155" s="42">
        <f>Лист9!C100</f>
        <v>52142</v>
      </c>
      <c r="D155" s="40">
        <f>IF(B155=0,"   ",C155/B155*100)</f>
        <v>100</v>
      </c>
      <c r="E155" s="41">
        <f>C155-B155</f>
        <v>0</v>
      </c>
    </row>
    <row r="156" spans="1:5" ht="27">
      <c r="A156" s="62" t="s">
        <v>230</v>
      </c>
      <c r="B156" s="42">
        <f>Лист7!B136</f>
        <v>268800</v>
      </c>
      <c r="C156" s="42">
        <f>Лист7!C136</f>
        <v>261971.34</v>
      </c>
      <c r="D156" s="40">
        <f>IF(B156=0,"   ",C156/B156*100)</f>
        <v>97.45957589285715</v>
      </c>
      <c r="E156" s="41">
        <f>C156-B156</f>
        <v>-6828.6600000000035</v>
      </c>
    </row>
    <row r="157" spans="1:5" ht="27">
      <c r="A157" s="17" t="s">
        <v>336</v>
      </c>
      <c r="B157" s="42">
        <f>Лист1!B118+Лист3!B93+Лист4!B91+Лист5!B100+Лист7!B130+Лист8!B92+Лист9!B101+Лист10!B87+Лист6!B97+Лист2!B105</f>
        <v>140000</v>
      </c>
      <c r="C157" s="42">
        <f>Лист1!C118+Лист3!C93+Лист4!C91+Лист5!C100+Лист7!C130+Лист8!C92+Лист9!C101+Лист10!C87+Лист6!C97+Лист2!C105</f>
        <v>140000</v>
      </c>
      <c r="D157" s="40">
        <f aca="true" t="shared" si="12" ref="D157:D166">IF(B157=0,"   ",C157/B157*100)</f>
        <v>100</v>
      </c>
      <c r="E157" s="41">
        <f t="shared" si="10"/>
        <v>0</v>
      </c>
    </row>
    <row r="158" spans="1:5" ht="27">
      <c r="A158" s="17" t="s">
        <v>196</v>
      </c>
      <c r="B158" s="42">
        <f>SUM(B159:B161)</f>
        <v>1394391.76</v>
      </c>
      <c r="C158" s="42">
        <f>SUM(C159:C161)</f>
        <v>1287853.5599999998</v>
      </c>
      <c r="D158" s="40">
        <f t="shared" si="12"/>
        <v>92.35952168851026</v>
      </c>
      <c r="E158" s="41">
        <f>C158-B158</f>
        <v>-106538.20000000019</v>
      </c>
    </row>
    <row r="159" spans="1:5" ht="41.25">
      <c r="A159" s="17" t="s">
        <v>203</v>
      </c>
      <c r="B159" s="42">
        <f>Лист1!B120+Лист2!B101+Лист4!B88+Лист3!B90</f>
        <v>814717.6</v>
      </c>
      <c r="C159" s="42">
        <f>Лист1!C120+Лист2!C101+Лист4!C88+Лист3!C90</f>
        <v>750817.6</v>
      </c>
      <c r="D159" s="40">
        <f t="shared" si="12"/>
        <v>92.15679150665213</v>
      </c>
      <c r="E159" s="41">
        <f>C159-B159</f>
        <v>-63900</v>
      </c>
    </row>
    <row r="160" spans="1:5" ht="41.25">
      <c r="A160" s="17" t="s">
        <v>204</v>
      </c>
      <c r="B160" s="42">
        <f>Лист1!B121+Лист2!B102+Лист4!B89+Лист3!B91</f>
        <v>347365.06</v>
      </c>
      <c r="C160" s="42">
        <f>Лист1!C121+Лист2!C102+Лист4!C89+Лист3!C91</f>
        <v>326065.06</v>
      </c>
      <c r="D160" s="40">
        <f t="shared" si="12"/>
        <v>93.86812248762152</v>
      </c>
      <c r="E160" s="41">
        <f>C160-B160</f>
        <v>-21300</v>
      </c>
    </row>
    <row r="161" spans="1:5" ht="24.75" customHeight="1">
      <c r="A161" s="17" t="s">
        <v>205</v>
      </c>
      <c r="B161" s="42">
        <f>Лист1!B122+Лист2!B103+Лист4!B90+Лист3!B92</f>
        <v>232309.1</v>
      </c>
      <c r="C161" s="42">
        <f>Лист1!C122+Лист2!C103+Лист4!C90+Лист3!C92</f>
        <v>210970.9</v>
      </c>
      <c r="D161" s="40">
        <f t="shared" si="12"/>
        <v>90.81473777824458</v>
      </c>
      <c r="E161" s="41">
        <f>C161-B161</f>
        <v>-21338.20000000001</v>
      </c>
    </row>
    <row r="162" spans="1:5" ht="27">
      <c r="A162" s="17" t="s">
        <v>288</v>
      </c>
      <c r="B162" s="39">
        <f>Лист7!B142</f>
        <v>16201061.74</v>
      </c>
      <c r="C162" s="39">
        <f>Лист7!C142</f>
        <v>0</v>
      </c>
      <c r="D162" s="40">
        <f t="shared" si="12"/>
        <v>0</v>
      </c>
      <c r="E162" s="41">
        <f>C162-B162</f>
        <v>-16201061.74</v>
      </c>
    </row>
    <row r="163" spans="1:5" ht="27">
      <c r="A163" s="17" t="s">
        <v>262</v>
      </c>
      <c r="B163" s="39">
        <f>B164+B166+B165</f>
        <v>27863000.96</v>
      </c>
      <c r="C163" s="39">
        <f>C164+C166+C165</f>
        <v>27863000.96</v>
      </c>
      <c r="D163" s="40">
        <f t="shared" si="12"/>
        <v>100</v>
      </c>
      <c r="E163" s="41">
        <f aca="true" t="shared" si="13" ref="E163:E182">C163-B163</f>
        <v>0</v>
      </c>
    </row>
    <row r="164" spans="1:5" ht="27">
      <c r="A164" s="17" t="s">
        <v>251</v>
      </c>
      <c r="B164" s="39">
        <f>Лист7!B144</f>
        <v>26191000</v>
      </c>
      <c r="C164" s="39">
        <f>Лист7!C144</f>
        <v>26191000</v>
      </c>
      <c r="D164" s="40">
        <f t="shared" si="12"/>
        <v>100</v>
      </c>
      <c r="E164" s="41">
        <f t="shared" si="13"/>
        <v>0</v>
      </c>
    </row>
    <row r="165" spans="1:5" ht="27">
      <c r="A165" s="17" t="s">
        <v>263</v>
      </c>
      <c r="B165" s="39">
        <f>Лист7!B145</f>
        <v>1393138.3</v>
      </c>
      <c r="C165" s="39">
        <f>Лист7!C145</f>
        <v>1393138.3</v>
      </c>
      <c r="D165" s="40">
        <f t="shared" si="12"/>
        <v>100</v>
      </c>
      <c r="E165" s="41">
        <f t="shared" si="13"/>
        <v>0</v>
      </c>
    </row>
    <row r="166" spans="1:5" ht="27">
      <c r="A166" s="17" t="s">
        <v>264</v>
      </c>
      <c r="B166" s="39">
        <f>Лист7!B146</f>
        <v>278862.66</v>
      </c>
      <c r="C166" s="39">
        <f>Лист7!C146</f>
        <v>278862.66</v>
      </c>
      <c r="D166" s="40">
        <f t="shared" si="12"/>
        <v>100</v>
      </c>
      <c r="E166" s="41">
        <f t="shared" si="13"/>
        <v>0</v>
      </c>
    </row>
    <row r="167" spans="1:5" ht="33.75" customHeight="1">
      <c r="A167" s="17" t="s">
        <v>173</v>
      </c>
      <c r="B167" s="39">
        <f>B168+B170+B169</f>
        <v>5885076.760000001</v>
      </c>
      <c r="C167" s="39">
        <f>C168+C170+C169</f>
        <v>5885076.760000001</v>
      </c>
      <c r="D167" s="50">
        <f>IF(B167=0,"   ",C167/B167)</f>
        <v>1</v>
      </c>
      <c r="E167" s="51">
        <f t="shared" si="13"/>
        <v>0</v>
      </c>
    </row>
    <row r="168" spans="1:5" ht="13.5">
      <c r="A168" s="17" t="s">
        <v>171</v>
      </c>
      <c r="B168" s="39">
        <f>Лист7!B133</f>
        <v>5826225.99</v>
      </c>
      <c r="C168" s="39">
        <f>Лист7!C133</f>
        <v>5826225.99</v>
      </c>
      <c r="D168" s="50">
        <f>IF(B168=0,"   ",C168/B168)</f>
        <v>1</v>
      </c>
      <c r="E168" s="51">
        <f t="shared" si="13"/>
        <v>0</v>
      </c>
    </row>
    <row r="169" spans="1:5" ht="13.5">
      <c r="A169" s="17" t="s">
        <v>172</v>
      </c>
      <c r="B169" s="39">
        <f>Лист7!B134</f>
        <v>41195.54</v>
      </c>
      <c r="C169" s="39">
        <f>Лист7!C134</f>
        <v>41195.54</v>
      </c>
      <c r="D169" s="50">
        <f>IF(B169=0,"   ",C169/B169)</f>
        <v>1</v>
      </c>
      <c r="E169" s="51">
        <f t="shared" si="13"/>
        <v>0</v>
      </c>
    </row>
    <row r="170" spans="1:5" ht="13.5">
      <c r="A170" s="17" t="s">
        <v>185</v>
      </c>
      <c r="B170" s="39">
        <f>Лист7!B135</f>
        <v>17655.23</v>
      </c>
      <c r="C170" s="39">
        <f>Лист7!C135</f>
        <v>17655.23</v>
      </c>
      <c r="D170" s="50">
        <f>IF(B170=0,"   ",C170/B170)</f>
        <v>1</v>
      </c>
      <c r="E170" s="51">
        <f t="shared" si="13"/>
        <v>0</v>
      </c>
    </row>
    <row r="171" spans="1:5" ht="27">
      <c r="A171" s="62" t="s">
        <v>310</v>
      </c>
      <c r="B171" s="39">
        <f>SUM(B172,)</f>
        <v>1700</v>
      </c>
      <c r="C171" s="39">
        <f>SUM(C172,)</f>
        <v>1700</v>
      </c>
      <c r="D171" s="40">
        <f>IF(B171=0,"   ",C171/B171*100)</f>
        <v>100</v>
      </c>
      <c r="E171" s="41">
        <f>C171-B171</f>
        <v>0</v>
      </c>
    </row>
    <row r="172" spans="1:5" ht="13.5">
      <c r="A172" s="62" t="s">
        <v>261</v>
      </c>
      <c r="B172" s="42">
        <f>Лист1!B124+Лист2!B107+Лист3!B95+Лист4!B93+Лист5!B102+Лист6!B99+Лист8!B99+Лист9!B107+Лист7!B148</f>
        <v>1700</v>
      </c>
      <c r="C172" s="42">
        <f>Лист1!C124+Лист2!C107+Лист3!C95+Лист4!C93+Лист5!C102+Лист6!C99+Лист8!C99+Лист9!C107+Лист7!C148</f>
        <v>1700</v>
      </c>
      <c r="D172" s="40">
        <f>IF(B172=0,"   ",C172/B172*100)</f>
        <v>100</v>
      </c>
      <c r="E172" s="41">
        <f>C172-B172</f>
        <v>0</v>
      </c>
    </row>
    <row r="173" spans="1:5" ht="13.5">
      <c r="A173" s="21" t="s">
        <v>17</v>
      </c>
      <c r="B173" s="42">
        <f>Лист2!B108+Лист4!B94+Лист6!B100+Лист8!B100+Лист10!B94</f>
        <v>24000</v>
      </c>
      <c r="C173" s="42">
        <f>Лист2!C108+Лист4!C94+Лист6!C100+Лист8!C100+Лист10!C94</f>
        <v>8000</v>
      </c>
      <c r="D173" s="40">
        <f aca="true" t="shared" si="14" ref="D173:D182">IF(B173=0,"   ",C173/B173*100)</f>
        <v>33.33333333333333</v>
      </c>
      <c r="E173" s="41">
        <f t="shared" si="13"/>
        <v>-16000</v>
      </c>
    </row>
    <row r="174" spans="1:5" ht="27">
      <c r="A174" s="21" t="s">
        <v>41</v>
      </c>
      <c r="B174" s="39">
        <f>SUM(B175,)</f>
        <v>31588176.48</v>
      </c>
      <c r="C174" s="39">
        <f>C175</f>
        <v>30056678.74</v>
      </c>
      <c r="D174" s="40">
        <f t="shared" si="14"/>
        <v>95.15167410512073</v>
      </c>
      <c r="E174" s="41">
        <f t="shared" si="13"/>
        <v>-1531497.740000002</v>
      </c>
    </row>
    <row r="175" spans="1:5" ht="13.5">
      <c r="A175" s="21" t="s">
        <v>42</v>
      </c>
      <c r="B175" s="42">
        <f>Лист1!B127+Лист2!B110+Лист3!B98+Лист4!B96+Лист5!B105+Лист6!B102+Лист7!B151+Лист8!B102+Лист9!B110+Лист10!B96</f>
        <v>31588176.48</v>
      </c>
      <c r="C175" s="42">
        <f>Лист1!C127+Лист2!C110+Лист3!C98+Лист4!C96+Лист5!C105+Лист6!C102+Лист7!C151+Лист8!C102+Лист9!C110+Лист10!C96</f>
        <v>30056678.74</v>
      </c>
      <c r="D175" s="40">
        <f t="shared" si="14"/>
        <v>95.15167410512073</v>
      </c>
      <c r="E175" s="41">
        <f t="shared" si="13"/>
        <v>-1531497.740000002</v>
      </c>
    </row>
    <row r="176" spans="1:5" ht="32.25" customHeight="1">
      <c r="A176" s="21" t="s">
        <v>135</v>
      </c>
      <c r="B176" s="42">
        <f>Лист1!B127+Лист2!B111+Лист3!B99+Лист4!B97+Лист5!B105+Лист6!B103+Лист7!B152+Лист8!B102+Лист9!B110+Лист10!B96</f>
        <v>14864100</v>
      </c>
      <c r="C176" s="42">
        <f>Лист1!C127+Лист2!C111+Лист3!C99+Лист4!C96+Лист5!C105+Лист6!C103+Лист7!C152+Лист8!C102+Лист9!C110+Лист10!C96</f>
        <v>14864100</v>
      </c>
      <c r="D176" s="40">
        <f t="shared" si="14"/>
        <v>100</v>
      </c>
      <c r="E176" s="41">
        <f t="shared" si="13"/>
        <v>0</v>
      </c>
    </row>
    <row r="177" spans="1:5" ht="16.5" customHeight="1">
      <c r="A177" s="21" t="s">
        <v>243</v>
      </c>
      <c r="B177" s="42">
        <f>Лист4!B98</f>
        <v>706519.8</v>
      </c>
      <c r="C177" s="42">
        <f>Лист2!C113</f>
        <v>0</v>
      </c>
      <c r="D177" s="40">
        <f t="shared" si="14"/>
        <v>0</v>
      </c>
      <c r="E177" s="41">
        <f t="shared" si="13"/>
        <v>-706519.8</v>
      </c>
    </row>
    <row r="178" spans="1:5" ht="24.75" customHeight="1">
      <c r="A178" s="68" t="s">
        <v>285</v>
      </c>
      <c r="B178" s="42">
        <f>Лист6!B104</f>
        <v>0</v>
      </c>
      <c r="C178" s="42">
        <f>Лист6!C104</f>
        <v>0</v>
      </c>
      <c r="D178" s="40" t="str">
        <f>IF(B178=0,"   ",C178/B178*100)</f>
        <v>   </v>
      </c>
      <c r="E178" s="41">
        <f t="shared" si="13"/>
        <v>0</v>
      </c>
    </row>
    <row r="179" spans="1:5" ht="26.25" customHeight="1">
      <c r="A179" s="68" t="s">
        <v>286</v>
      </c>
      <c r="B179" s="42">
        <f>Лист6!B105</f>
        <v>0</v>
      </c>
      <c r="C179" s="42">
        <f>Лист6!C105</f>
        <v>0</v>
      </c>
      <c r="D179" s="40" t="str">
        <f>IF(B179=0,"   ",C179/B179*100)</f>
        <v>   </v>
      </c>
      <c r="E179" s="41">
        <f t="shared" si="13"/>
        <v>0</v>
      </c>
    </row>
    <row r="180" spans="1:5" ht="25.5" customHeight="1">
      <c r="A180" s="21" t="s">
        <v>193</v>
      </c>
      <c r="B180" s="42">
        <f>Лист3!B101+Лист6!B106+Лист2!B112+Лист4!B99</f>
        <v>459723.57</v>
      </c>
      <c r="C180" s="42">
        <f>Лист3!C101+Лист6!C106+Лист2!C112</f>
        <v>275173.22</v>
      </c>
      <c r="D180" s="40">
        <f t="shared" si="14"/>
        <v>59.85623491090526</v>
      </c>
      <c r="E180" s="41">
        <f t="shared" si="13"/>
        <v>-184550.35000000003</v>
      </c>
    </row>
    <row r="181" spans="1:5" ht="21.75" customHeight="1">
      <c r="A181" s="21" t="s">
        <v>184</v>
      </c>
      <c r="B181" s="42">
        <f>Лист7!B153</f>
        <v>4606475.66</v>
      </c>
      <c r="C181" s="42">
        <f>Лист7!C153</f>
        <v>4606475.66</v>
      </c>
      <c r="D181" s="40">
        <f t="shared" si="14"/>
        <v>100</v>
      </c>
      <c r="E181" s="41">
        <f t="shared" si="13"/>
        <v>0</v>
      </c>
    </row>
    <row r="182" spans="1:5" ht="25.5" customHeight="1">
      <c r="A182" s="21" t="s">
        <v>136</v>
      </c>
      <c r="B182" s="42">
        <f>Лист7!B154</f>
        <v>1409400</v>
      </c>
      <c r="C182" s="42">
        <f>Лист7!C154</f>
        <v>1409400</v>
      </c>
      <c r="D182" s="40">
        <f t="shared" si="14"/>
        <v>100</v>
      </c>
      <c r="E182" s="41">
        <f t="shared" si="13"/>
        <v>0</v>
      </c>
    </row>
    <row r="183" spans="1:5" ht="30.75" customHeight="1">
      <c r="A183" s="21" t="s">
        <v>305</v>
      </c>
      <c r="B183" s="42">
        <f>Лист7!B156</f>
        <v>9541957.45</v>
      </c>
      <c r="C183" s="42">
        <f>Лист7!C156</f>
        <v>8901529.86</v>
      </c>
      <c r="D183" s="40">
        <f aca="true" t="shared" si="15" ref="D183:D190">IF(B183=0,"   ",C183/B183*100)</f>
        <v>93.28829966643794</v>
      </c>
      <c r="E183" s="41">
        <f aca="true" t="shared" si="16" ref="E183:E190">C183-B183</f>
        <v>-640427.5899999999</v>
      </c>
    </row>
    <row r="184" spans="1:5" ht="21" customHeight="1">
      <c r="A184" s="17" t="s">
        <v>306</v>
      </c>
      <c r="B184" s="42">
        <f>Лист7!B157</f>
        <v>8969440</v>
      </c>
      <c r="C184" s="42">
        <f>Лист7!C157</f>
        <v>8367438.07</v>
      </c>
      <c r="D184" s="40">
        <f t="shared" si="15"/>
        <v>93.28829971547835</v>
      </c>
      <c r="E184" s="41">
        <f t="shared" si="16"/>
        <v>-602001.9299999997</v>
      </c>
    </row>
    <row r="185" spans="1:5" ht="18.75" customHeight="1">
      <c r="A185" s="17" t="s">
        <v>307</v>
      </c>
      <c r="B185" s="42">
        <f>Лист7!B158</f>
        <v>572517.45</v>
      </c>
      <c r="C185" s="42">
        <f>Лист7!C158</f>
        <v>534091.79</v>
      </c>
      <c r="D185" s="40">
        <f t="shared" si="15"/>
        <v>93.2882988981384</v>
      </c>
      <c r="E185" s="41">
        <f t="shared" si="16"/>
        <v>-38425.659999999916</v>
      </c>
    </row>
    <row r="186" spans="1:5" ht="21.75" customHeight="1">
      <c r="A186" s="21" t="s">
        <v>222</v>
      </c>
      <c r="B186" s="42">
        <f>SUM(B187,)</f>
        <v>0</v>
      </c>
      <c r="C186" s="42">
        <f>SUM(C187,)</f>
        <v>0</v>
      </c>
      <c r="D186" s="40" t="str">
        <f t="shared" si="15"/>
        <v>   </v>
      </c>
      <c r="E186" s="41">
        <f t="shared" si="16"/>
        <v>0</v>
      </c>
    </row>
    <row r="187" spans="1:5" ht="19.5" customHeight="1">
      <c r="A187" s="21" t="s">
        <v>223</v>
      </c>
      <c r="B187" s="42">
        <f>Лист10!B98</f>
        <v>0</v>
      </c>
      <c r="C187" s="42">
        <f>Лист10!C98</f>
        <v>0</v>
      </c>
      <c r="D187" s="40" t="str">
        <f t="shared" si="15"/>
        <v>   </v>
      </c>
      <c r="E187" s="41">
        <f t="shared" si="16"/>
        <v>0</v>
      </c>
    </row>
    <row r="188" spans="1:5" ht="20.25" customHeight="1">
      <c r="A188" s="21" t="s">
        <v>119</v>
      </c>
      <c r="B188" s="42">
        <f>SUM(B189)</f>
        <v>227000</v>
      </c>
      <c r="C188" s="42">
        <f>SUM(C189)</f>
        <v>177074</v>
      </c>
      <c r="D188" s="40">
        <f t="shared" si="15"/>
        <v>78.00616740088105</v>
      </c>
      <c r="E188" s="41">
        <f t="shared" si="16"/>
        <v>-49926</v>
      </c>
    </row>
    <row r="189" spans="1:5" ht="19.5" customHeight="1">
      <c r="A189" s="21" t="s">
        <v>268</v>
      </c>
      <c r="B189" s="42">
        <f>Лист1!B129+Лист2!B115+Лист3!B103+Лист4!B101+Лист5!B107+Лист6!B108+Лист7!B160+Лист8!B104+Лист9!B112+Лист10!B100</f>
        <v>227000</v>
      </c>
      <c r="C189" s="42">
        <f>Лист1!C129+Лист2!C115+Лист3!C103+Лист4!C101+Лист5!C107+Лист6!C108+Лист7!C160+Лист8!C104+Лист9!C112+Лист10!C100</f>
        <v>177074</v>
      </c>
      <c r="D189" s="40">
        <f t="shared" si="15"/>
        <v>78.00616740088105</v>
      </c>
      <c r="E189" s="41">
        <f t="shared" si="16"/>
        <v>-49926</v>
      </c>
    </row>
    <row r="190" spans="1:6" ht="25.5" customHeight="1">
      <c r="A190" s="44" t="s">
        <v>15</v>
      </c>
      <c r="B190" s="45">
        <f>B77+B89+B91+B96+B124+B173+B174+B186+B188</f>
        <v>158208258.89999998</v>
      </c>
      <c r="C190" s="45">
        <f>C77+C89+C91+C96+C124+C173+C174+C186+C188</f>
        <v>136819242.49</v>
      </c>
      <c r="D190" s="46">
        <f t="shared" si="15"/>
        <v>86.48046786007582</v>
      </c>
      <c r="E190" s="47">
        <f t="shared" si="16"/>
        <v>-21389016.409999967</v>
      </c>
      <c r="F190" s="16"/>
    </row>
    <row r="191" spans="1:5" s="13" customFormat="1" ht="23.25" customHeight="1">
      <c r="A191" s="64" t="s">
        <v>256</v>
      </c>
      <c r="B191" s="65">
        <f>(B74-B190)</f>
        <v>-2231288.089999974</v>
      </c>
      <c r="C191" s="65">
        <f>(C74-C190)</f>
        <v>3044559.2400000095</v>
      </c>
      <c r="D191" s="36"/>
      <c r="E191" s="36"/>
    </row>
    <row r="192" spans="1:5" s="13" customFormat="1" ht="21" customHeight="1">
      <c r="A192" s="64" t="s">
        <v>257</v>
      </c>
      <c r="B192" s="64"/>
      <c r="C192" s="66"/>
      <c r="D192" s="66"/>
      <c r="E192" s="66"/>
    </row>
    <row r="193" spans="1:5" ht="13.5">
      <c r="A193" s="64" t="s">
        <v>258</v>
      </c>
      <c r="B193" s="65">
        <f>SUM(B8+B43+B44+B50+B58)</f>
        <v>22445100</v>
      </c>
      <c r="C193" s="65">
        <f>SUM(C8+C43+C44+C50+C58)</f>
        <v>22961045.189999998</v>
      </c>
      <c r="D193" s="46">
        <f>IF(B193=0,"   ",C193/B193*100)</f>
        <v>102.29869855781439</v>
      </c>
      <c r="E193" s="47">
        <f>C193-B193</f>
        <v>515945.1899999976</v>
      </c>
    </row>
    <row r="194" spans="1:5" ht="13.5">
      <c r="A194" s="64" t="s">
        <v>259</v>
      </c>
      <c r="B194" s="65">
        <f>SUM(B106)</f>
        <v>24280403.54</v>
      </c>
      <c r="C194" s="65">
        <f>SUM(C106)</f>
        <v>23600113.75</v>
      </c>
      <c r="D194" s="46">
        <f>IF(B194=0,"   ",C194/B194*100)</f>
        <v>97.1981940543975</v>
      </c>
      <c r="E194" s="47">
        <f>C194-B194</f>
        <v>-680289.7899999991</v>
      </c>
    </row>
    <row r="195" spans="1:5" ht="13.5">
      <c r="A195" s="64" t="s">
        <v>256</v>
      </c>
      <c r="B195" s="65">
        <f>(B193-B194)</f>
        <v>-1835303.539999999</v>
      </c>
      <c r="C195" s="65">
        <f>(C193-C194)</f>
        <v>-639068.5600000024</v>
      </c>
      <c r="D195" s="64"/>
      <c r="E195" s="67"/>
    </row>
    <row r="196" spans="1:5" ht="13.5">
      <c r="A196" s="62" t="s">
        <v>334</v>
      </c>
      <c r="B196" s="62">
        <v>482506.32</v>
      </c>
      <c r="C196" s="35"/>
      <c r="D196" s="62"/>
      <c r="E196" s="69"/>
    </row>
    <row r="197" spans="1:5" ht="13.5">
      <c r="A197" s="62" t="s">
        <v>335</v>
      </c>
      <c r="B197" s="163">
        <v>1131119.42</v>
      </c>
      <c r="C197" s="162"/>
      <c r="D197" s="162"/>
      <c r="E197" s="162"/>
    </row>
    <row r="198" spans="1:5" ht="13.5">
      <c r="A198" s="77"/>
      <c r="B198" s="77"/>
      <c r="C198" s="77"/>
      <c r="D198" s="77"/>
      <c r="E198" s="77"/>
    </row>
    <row r="199" spans="1:5" ht="13.5">
      <c r="A199" s="77"/>
      <c r="B199" s="77"/>
      <c r="C199" s="77"/>
      <c r="D199" s="77"/>
      <c r="E199" s="77"/>
    </row>
    <row r="200" spans="1:5" ht="13.5">
      <c r="A200" s="77"/>
      <c r="B200" s="77"/>
      <c r="C200" s="77"/>
      <c r="D200" s="77"/>
      <c r="E200" s="77"/>
    </row>
    <row r="201" spans="1:5" ht="13.5">
      <c r="A201" s="77"/>
      <c r="B201" s="77"/>
      <c r="C201" s="77"/>
      <c r="D201" s="77"/>
      <c r="E201" s="77"/>
    </row>
    <row r="202" spans="1:5" ht="13.5">
      <c r="A202" s="77"/>
      <c r="B202" s="77"/>
      <c r="C202" s="77"/>
      <c r="D202" s="77"/>
      <c r="E202" s="77"/>
    </row>
    <row r="203" spans="1:5" ht="13.5">
      <c r="A203" s="77"/>
      <c r="B203" s="77"/>
      <c r="C203" s="77"/>
      <c r="D203" s="77"/>
      <c r="E203" s="77"/>
    </row>
    <row r="204" spans="1:5" ht="13.5">
      <c r="A204" s="77"/>
      <c r="B204" s="77"/>
      <c r="C204" s="77"/>
      <c r="D204" s="77"/>
      <c r="E204" s="77"/>
    </row>
    <row r="205" spans="1:5" ht="13.5">
      <c r="A205" s="77"/>
      <c r="B205" s="77"/>
      <c r="C205" s="77"/>
      <c r="D205" s="77"/>
      <c r="E205" s="77"/>
    </row>
    <row r="206" spans="1:5" ht="15">
      <c r="A206" s="76"/>
      <c r="B206" s="76"/>
      <c r="C206" s="76"/>
      <c r="D206" s="76"/>
      <c r="E206" s="76"/>
    </row>
    <row r="207" spans="1:5" ht="15">
      <c r="A207" s="76"/>
      <c r="B207" s="76"/>
      <c r="C207" s="76"/>
      <c r="D207" s="76"/>
      <c r="E207" s="76"/>
    </row>
    <row r="208" spans="1:5" ht="15">
      <c r="A208" s="76"/>
      <c r="B208" s="76"/>
      <c r="C208" s="76"/>
      <c r="D208" s="76"/>
      <c r="E208" s="76"/>
    </row>
    <row r="209" spans="1:5" ht="15">
      <c r="A209" s="76"/>
      <c r="B209" s="76"/>
      <c r="C209" s="76"/>
      <c r="D209" s="76"/>
      <c r="E209" s="76"/>
    </row>
    <row r="210" spans="1:5" ht="15">
      <c r="A210" s="76"/>
      <c r="B210" s="76"/>
      <c r="C210" s="76"/>
      <c r="D210" s="76"/>
      <c r="E210" s="76"/>
    </row>
    <row r="211" spans="1:5" ht="15">
      <c r="A211" s="76"/>
      <c r="B211" s="76"/>
      <c r="C211" s="76"/>
      <c r="D211" s="76"/>
      <c r="E211" s="76"/>
    </row>
    <row r="212" spans="1:5" ht="15">
      <c r="A212" s="76"/>
      <c r="B212" s="76"/>
      <c r="C212" s="76"/>
      <c r="D212" s="76"/>
      <c r="E212" s="76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  <row r="218" spans="1:5" ht="15">
      <c r="A218" s="76"/>
      <c r="B218" s="76"/>
      <c r="C218" s="76"/>
      <c r="D218" s="76"/>
      <c r="E218" s="76"/>
    </row>
    <row r="219" spans="1:5" ht="15">
      <c r="A219" s="76"/>
      <c r="B219" s="76"/>
      <c r="C219" s="76"/>
      <c r="D219" s="76"/>
      <c r="E219" s="76"/>
    </row>
    <row r="220" spans="1:5" ht="15">
      <c r="A220" s="76"/>
      <c r="B220" s="76"/>
      <c r="C220" s="76"/>
      <c r="D220" s="76"/>
      <c r="E220" s="76"/>
    </row>
    <row r="221" spans="1:5" ht="15">
      <c r="A221" s="76"/>
      <c r="B221" s="76"/>
      <c r="C221" s="76"/>
      <c r="D221" s="76"/>
      <c r="E221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zoomScalePageLayoutView="0" workbookViewId="0" topLeftCell="A31">
      <selection activeCell="B53" sqref="B53:C53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6" t="s">
        <v>342</v>
      </c>
      <c r="B1" s="166"/>
      <c r="C1" s="166"/>
      <c r="D1" s="166"/>
      <c r="E1" s="166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292</v>
      </c>
      <c r="C3" s="26" t="s">
        <v>343</v>
      </c>
      <c r="D3" s="25" t="s">
        <v>295</v>
      </c>
      <c r="E3" s="27" t="s">
        <v>294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24500</v>
      </c>
      <c r="C6" s="79">
        <f>SUM(C7)</f>
        <v>28789.1</v>
      </c>
      <c r="D6" s="40">
        <f aca="true" t="shared" si="0" ref="D6:D115">IF(B6=0,"   ",C6/B6*100)</f>
        <v>117.5065306122449</v>
      </c>
      <c r="E6" s="41">
        <f aca="true" t="shared" si="1" ref="E6:E115">C6-B6</f>
        <v>4289.0999999999985</v>
      </c>
    </row>
    <row r="7" spans="1:5" ht="16.5" customHeight="1">
      <c r="A7" s="21" t="s">
        <v>44</v>
      </c>
      <c r="B7" s="80">
        <v>24500</v>
      </c>
      <c r="C7" s="81">
        <v>28789.1</v>
      </c>
      <c r="D7" s="40">
        <f t="shared" si="0"/>
        <v>117.5065306122449</v>
      </c>
      <c r="E7" s="41">
        <f t="shared" si="1"/>
        <v>4289.0999999999985</v>
      </c>
    </row>
    <row r="8" spans="1:5" ht="12.75" customHeight="1">
      <c r="A8" s="38" t="s">
        <v>129</v>
      </c>
      <c r="B8" s="79">
        <f>SUM(B9)</f>
        <v>712800</v>
      </c>
      <c r="C8" s="79">
        <f>SUM(C9)</f>
        <v>761136.13</v>
      </c>
      <c r="D8" s="40">
        <f t="shared" si="0"/>
        <v>106.7811630190797</v>
      </c>
      <c r="E8" s="41">
        <f t="shared" si="1"/>
        <v>48336.130000000005</v>
      </c>
    </row>
    <row r="9" spans="1:5" ht="18.75" customHeight="1">
      <c r="A9" s="21" t="s">
        <v>130</v>
      </c>
      <c r="B9" s="80">
        <v>712800</v>
      </c>
      <c r="C9" s="81">
        <v>761136.13</v>
      </c>
      <c r="D9" s="40">
        <f t="shared" si="0"/>
        <v>106.7811630190797</v>
      </c>
      <c r="E9" s="41">
        <f t="shared" si="1"/>
        <v>48336.130000000005</v>
      </c>
    </row>
    <row r="10" spans="1:5" ht="16.5" customHeight="1">
      <c r="A10" s="21" t="s">
        <v>7</v>
      </c>
      <c r="B10" s="80">
        <f>SUM(B11:B11)</f>
        <v>60900</v>
      </c>
      <c r="C10" s="80">
        <f>SUM(C11:C11)</f>
        <v>60913.5</v>
      </c>
      <c r="D10" s="40">
        <f t="shared" si="0"/>
        <v>100.02216748768473</v>
      </c>
      <c r="E10" s="41">
        <f t="shared" si="1"/>
        <v>13.5</v>
      </c>
    </row>
    <row r="11" spans="1:5" ht="14.25" customHeight="1">
      <c r="A11" s="21" t="s">
        <v>26</v>
      </c>
      <c r="B11" s="80">
        <v>60900</v>
      </c>
      <c r="C11" s="81">
        <v>60913.5</v>
      </c>
      <c r="D11" s="40">
        <f t="shared" si="0"/>
        <v>100.02216748768473</v>
      </c>
      <c r="E11" s="41">
        <f t="shared" si="1"/>
        <v>13.5</v>
      </c>
    </row>
    <row r="12" spans="1:5" ht="14.25" customHeight="1">
      <c r="A12" s="21" t="s">
        <v>9</v>
      </c>
      <c r="B12" s="80">
        <f>SUM(B13:B14)</f>
        <v>203800</v>
      </c>
      <c r="C12" s="80">
        <f>SUM(C13:C14)</f>
        <v>175783.30000000002</v>
      </c>
      <c r="D12" s="40">
        <f t="shared" si="0"/>
        <v>86.2528459273798</v>
      </c>
      <c r="E12" s="41">
        <f t="shared" si="1"/>
        <v>-28016.699999999983</v>
      </c>
    </row>
    <row r="13" spans="1:5" ht="12.75" customHeight="1">
      <c r="A13" s="21" t="s">
        <v>27</v>
      </c>
      <c r="B13" s="80">
        <v>71000</v>
      </c>
      <c r="C13" s="81">
        <v>33536.07</v>
      </c>
      <c r="D13" s="40">
        <f t="shared" si="0"/>
        <v>47.2339014084507</v>
      </c>
      <c r="E13" s="41">
        <f t="shared" si="1"/>
        <v>-37463.93</v>
      </c>
    </row>
    <row r="14" spans="1:5" ht="13.5">
      <c r="A14" s="21" t="s">
        <v>152</v>
      </c>
      <c r="B14" s="80">
        <f>SUM(B15:B16)</f>
        <v>132800</v>
      </c>
      <c r="C14" s="80">
        <f>SUM(C15:C16)</f>
        <v>142247.23</v>
      </c>
      <c r="D14" s="40">
        <f t="shared" si="0"/>
        <v>107.11387801204819</v>
      </c>
      <c r="E14" s="41">
        <f t="shared" si="1"/>
        <v>9447.23000000001</v>
      </c>
    </row>
    <row r="15" spans="1:5" ht="13.5">
      <c r="A15" s="21" t="s">
        <v>153</v>
      </c>
      <c r="B15" s="80">
        <v>5000</v>
      </c>
      <c r="C15" s="81">
        <v>15383.79</v>
      </c>
      <c r="D15" s="40">
        <f t="shared" si="0"/>
        <v>307.67580000000004</v>
      </c>
      <c r="E15" s="41">
        <f t="shared" si="1"/>
        <v>10383.79</v>
      </c>
    </row>
    <row r="16" spans="1:5" ht="13.5">
      <c r="A16" s="21" t="s">
        <v>154</v>
      </c>
      <c r="B16" s="80">
        <v>127800</v>
      </c>
      <c r="C16" s="81">
        <v>126863.44</v>
      </c>
      <c r="D16" s="40">
        <f t="shared" si="0"/>
        <v>99.26716744913928</v>
      </c>
      <c r="E16" s="41">
        <f t="shared" si="1"/>
        <v>-936.5599999999977</v>
      </c>
    </row>
    <row r="17" spans="1:5" ht="13.5">
      <c r="A17" s="21" t="s">
        <v>187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85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175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277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36">
        <f>SUM(B23:B25)</f>
        <v>99200</v>
      </c>
      <c r="C22" s="143">
        <f>SUM(C23:C25)</f>
        <v>82851.97</v>
      </c>
      <c r="D22" s="40">
        <f t="shared" si="0"/>
        <v>83.5201310483871</v>
      </c>
      <c r="E22" s="41">
        <f t="shared" si="1"/>
        <v>-16348.029999999999</v>
      </c>
    </row>
    <row r="23" spans="1:5" ht="15.75" customHeight="1">
      <c r="A23" s="21" t="s">
        <v>144</v>
      </c>
      <c r="B23" s="80">
        <v>99200</v>
      </c>
      <c r="C23" s="81">
        <v>61491.73</v>
      </c>
      <c r="D23" s="40">
        <f t="shared" si="0"/>
        <v>61.9876310483871</v>
      </c>
      <c r="E23" s="41">
        <f t="shared" si="1"/>
        <v>-37708.27</v>
      </c>
    </row>
    <row r="24" spans="1:5" ht="15.75" customHeight="1">
      <c r="A24" s="21" t="s">
        <v>250</v>
      </c>
      <c r="B24" s="80">
        <v>0</v>
      </c>
      <c r="C24" s="81">
        <v>21360.24</v>
      </c>
      <c r="D24" s="40" t="str">
        <f t="shared" si="0"/>
        <v>   </v>
      </c>
      <c r="E24" s="41">
        <f t="shared" si="1"/>
        <v>21360.24</v>
      </c>
    </row>
    <row r="25" spans="1:5" ht="15.75" customHeight="1">
      <c r="A25" s="21" t="s">
        <v>30</v>
      </c>
      <c r="B25" s="80">
        <v>0</v>
      </c>
      <c r="C25" s="82">
        <v>0</v>
      </c>
      <c r="D25" s="40" t="str">
        <f t="shared" si="0"/>
        <v>   </v>
      </c>
      <c r="E25" s="41">
        <f t="shared" si="1"/>
        <v>0</v>
      </c>
    </row>
    <row r="26" spans="1:5" ht="18" customHeight="1">
      <c r="A26" s="21" t="s">
        <v>165</v>
      </c>
      <c r="B26" s="79">
        <f>SUM(B27)</f>
        <v>0</v>
      </c>
      <c r="C26" s="79">
        <f>SUM(C27)</f>
        <v>0</v>
      </c>
      <c r="D26" s="40" t="str">
        <f t="shared" si="0"/>
        <v>   </v>
      </c>
      <c r="E26" s="41">
        <f t="shared" si="1"/>
        <v>0</v>
      </c>
    </row>
    <row r="27" spans="1:5" ht="16.5" customHeight="1">
      <c r="A27" s="21" t="s">
        <v>166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7.25" customHeight="1">
      <c r="A28" s="21" t="s">
        <v>31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32</v>
      </c>
      <c r="B29" s="80">
        <f>SUM(B30:B32)</f>
        <v>130123.31</v>
      </c>
      <c r="C29" s="80">
        <f>SUM(C30:C32)</f>
        <v>108823.6</v>
      </c>
      <c r="D29" s="40">
        <f t="shared" si="0"/>
        <v>83.63113419109919</v>
      </c>
      <c r="E29" s="41">
        <f t="shared" si="1"/>
        <v>-21299.709999999992</v>
      </c>
    </row>
    <row r="30" spans="1:5" ht="15.75" customHeight="1">
      <c r="A30" s="21" t="s">
        <v>100</v>
      </c>
      <c r="B30" s="80">
        <v>0</v>
      </c>
      <c r="C30" s="80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322</v>
      </c>
      <c r="B31" s="80">
        <v>130123.31</v>
      </c>
      <c r="C31" s="80">
        <v>108823.6</v>
      </c>
      <c r="D31" s="40">
        <f t="shared" si="0"/>
        <v>83.63113419109919</v>
      </c>
      <c r="E31" s="41">
        <f t="shared" si="1"/>
        <v>-21299.709999999992</v>
      </c>
    </row>
    <row r="32" spans="1:5" s="8" customFormat="1" ht="15" customHeight="1">
      <c r="A32" s="21" t="s">
        <v>103</v>
      </c>
      <c r="B32" s="80">
        <v>0</v>
      </c>
      <c r="C32" s="79">
        <v>0</v>
      </c>
      <c r="D32" s="40" t="str">
        <f t="shared" si="0"/>
        <v>   </v>
      </c>
      <c r="E32" s="41">
        <f>C32-B32</f>
        <v>0</v>
      </c>
    </row>
    <row r="33" spans="1:5" ht="19.5" customHeight="1">
      <c r="A33" s="44" t="s">
        <v>10</v>
      </c>
      <c r="B33" s="83">
        <f>SUM(B6,B8,B10,B12,B17,B18,B19,B22,B28,B29,B26)</f>
        <v>1231323.31</v>
      </c>
      <c r="C33" s="83">
        <f>SUM(C6,C8,C10,C12,C17,C18,C19,C22,C28,C29,C26)</f>
        <v>1218297.6</v>
      </c>
      <c r="D33" s="46">
        <f t="shared" si="0"/>
        <v>98.94213730104728</v>
      </c>
      <c r="E33" s="47">
        <f t="shared" si="1"/>
        <v>-13025.709999999963</v>
      </c>
    </row>
    <row r="34" spans="1:5" ht="19.5" customHeight="1">
      <c r="A34" s="62" t="s">
        <v>132</v>
      </c>
      <c r="B34" s="84">
        <f>SUM(B35:B39,B42:B47,B52)</f>
        <v>6778020</v>
      </c>
      <c r="C34" s="84">
        <f>SUM(C35:C39,C42:C47,C52)</f>
        <v>6676097.82</v>
      </c>
      <c r="D34" s="46">
        <f t="shared" si="0"/>
        <v>98.49628387051087</v>
      </c>
      <c r="E34" s="47">
        <f t="shared" si="1"/>
        <v>-101922.1799999997</v>
      </c>
    </row>
    <row r="35" spans="1:5" ht="18.75" customHeight="1">
      <c r="A35" s="38" t="s">
        <v>34</v>
      </c>
      <c r="B35" s="79">
        <v>2275600</v>
      </c>
      <c r="C35" s="81">
        <v>2275600</v>
      </c>
      <c r="D35" s="40">
        <f t="shared" si="0"/>
        <v>100</v>
      </c>
      <c r="E35" s="41">
        <f t="shared" si="1"/>
        <v>0</v>
      </c>
    </row>
    <row r="36" spans="1:5" ht="18.75" customHeight="1">
      <c r="A36" s="38" t="s">
        <v>218</v>
      </c>
      <c r="B36" s="79">
        <v>0</v>
      </c>
      <c r="C36" s="81">
        <v>0</v>
      </c>
      <c r="D36" s="40" t="str">
        <f>IF(B36=0,"   ",C36/B36*100)</f>
        <v>   </v>
      </c>
      <c r="E36" s="41">
        <f>C36-B36</f>
        <v>0</v>
      </c>
    </row>
    <row r="37" spans="1:5" ht="15.75" customHeight="1">
      <c r="A37" s="21" t="s">
        <v>139</v>
      </c>
      <c r="B37" s="80">
        <v>0</v>
      </c>
      <c r="C37" s="82">
        <v>0</v>
      </c>
      <c r="D37" s="40" t="str">
        <f t="shared" si="0"/>
        <v>   </v>
      </c>
      <c r="E37" s="41">
        <f t="shared" si="1"/>
        <v>0</v>
      </c>
    </row>
    <row r="38" spans="1:5" ht="35.25" customHeight="1">
      <c r="A38" s="52" t="s">
        <v>51</v>
      </c>
      <c r="B38" s="85">
        <v>103600</v>
      </c>
      <c r="C38" s="86">
        <v>103600</v>
      </c>
      <c r="D38" s="54">
        <f t="shared" si="0"/>
        <v>100</v>
      </c>
      <c r="E38" s="55">
        <f t="shared" si="1"/>
        <v>0</v>
      </c>
    </row>
    <row r="39" spans="1:5" ht="32.25" customHeight="1">
      <c r="A39" s="52" t="s">
        <v>140</v>
      </c>
      <c r="B39" s="85">
        <f>SUM(B40:B41)</f>
        <v>100</v>
      </c>
      <c r="C39" s="85">
        <f>SUM(C40:C41)</f>
        <v>100</v>
      </c>
      <c r="D39" s="54">
        <f t="shared" si="0"/>
        <v>100</v>
      </c>
      <c r="E39" s="55">
        <f t="shared" si="1"/>
        <v>0</v>
      </c>
    </row>
    <row r="40" spans="1:5" ht="15.75" customHeight="1">
      <c r="A40" s="52" t="s">
        <v>155</v>
      </c>
      <c r="B40" s="85">
        <v>100</v>
      </c>
      <c r="C40" s="85">
        <v>100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156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26.25" customHeight="1">
      <c r="A42" s="21" t="s">
        <v>274</v>
      </c>
      <c r="B42" s="85">
        <v>0</v>
      </c>
      <c r="C42" s="85">
        <v>0</v>
      </c>
      <c r="D42" s="54" t="str">
        <f t="shared" si="0"/>
        <v>   </v>
      </c>
      <c r="E42" s="55">
        <f t="shared" si="1"/>
        <v>0</v>
      </c>
    </row>
    <row r="43" spans="1:5" ht="25.5" customHeight="1">
      <c r="A43" s="21" t="s">
        <v>331</v>
      </c>
      <c r="B43" s="85">
        <v>46800</v>
      </c>
      <c r="C43" s="85">
        <v>46800</v>
      </c>
      <c r="D43" s="54">
        <f t="shared" si="0"/>
        <v>100</v>
      </c>
      <c r="E43" s="55">
        <f t="shared" si="1"/>
        <v>0</v>
      </c>
    </row>
    <row r="44" spans="1:5" ht="25.5" customHeight="1">
      <c r="A44" s="21" t="s">
        <v>339</v>
      </c>
      <c r="B44" s="85">
        <v>750000</v>
      </c>
      <c r="C44" s="85">
        <v>750000</v>
      </c>
      <c r="D44" s="54">
        <f t="shared" si="0"/>
        <v>100</v>
      </c>
      <c r="E44" s="55">
        <f t="shared" si="1"/>
        <v>0</v>
      </c>
    </row>
    <row r="45" spans="1:5" ht="54.75" customHeight="1">
      <c r="A45" s="21" t="s">
        <v>226</v>
      </c>
      <c r="B45" s="85">
        <v>761800</v>
      </c>
      <c r="C45" s="85">
        <v>761800</v>
      </c>
      <c r="D45" s="54">
        <f t="shared" si="0"/>
        <v>100</v>
      </c>
      <c r="E45" s="55">
        <f t="shared" si="1"/>
        <v>0</v>
      </c>
    </row>
    <row r="46" spans="1:5" ht="26.25" customHeight="1">
      <c r="A46" s="21" t="s">
        <v>252</v>
      </c>
      <c r="B46" s="85">
        <v>0</v>
      </c>
      <c r="C46" s="85">
        <v>0</v>
      </c>
      <c r="D46" s="54" t="str">
        <f t="shared" si="0"/>
        <v>   </v>
      </c>
      <c r="E46" s="55">
        <f t="shared" si="1"/>
        <v>0</v>
      </c>
    </row>
    <row r="47" spans="1:5" ht="16.5" customHeight="1">
      <c r="A47" s="21" t="s">
        <v>80</v>
      </c>
      <c r="B47" s="80">
        <f>B51+B48+B50+B49</f>
        <v>2840120</v>
      </c>
      <c r="C47" s="80">
        <f>C51+C48+C50+C49</f>
        <v>2738197.8200000003</v>
      </c>
      <c r="D47" s="40">
        <f t="shared" si="0"/>
        <v>96.41134247848684</v>
      </c>
      <c r="E47" s="41">
        <f t="shared" si="1"/>
        <v>-101922.1799999997</v>
      </c>
    </row>
    <row r="48" spans="1:5" ht="15" customHeight="1">
      <c r="A48" s="21" t="s">
        <v>179</v>
      </c>
      <c r="B48" s="80">
        <v>390400</v>
      </c>
      <c r="C48" s="80">
        <v>326500</v>
      </c>
      <c r="D48" s="40">
        <f t="shared" si="0"/>
        <v>83.63217213114754</v>
      </c>
      <c r="E48" s="41">
        <f t="shared" si="1"/>
        <v>-63900</v>
      </c>
    </row>
    <row r="49" spans="1:5" ht="15" customHeight="1">
      <c r="A49" s="21" t="s">
        <v>298</v>
      </c>
      <c r="B49" s="80">
        <v>0</v>
      </c>
      <c r="C49" s="80">
        <v>0</v>
      </c>
      <c r="D49" s="40" t="str">
        <f t="shared" si="0"/>
        <v>   </v>
      </c>
      <c r="E49" s="41">
        <f t="shared" si="1"/>
        <v>0</v>
      </c>
    </row>
    <row r="50" spans="1:5" ht="15" customHeight="1">
      <c r="A50" s="21" t="s">
        <v>269</v>
      </c>
      <c r="B50" s="80">
        <v>2019820</v>
      </c>
      <c r="C50" s="80">
        <v>1981797.82</v>
      </c>
      <c r="D50" s="40">
        <f>IF(B50=0,"   ",C50/B50*100)</f>
        <v>98.11754611797092</v>
      </c>
      <c r="E50" s="41">
        <f>C50-B50</f>
        <v>-38022.179999999935</v>
      </c>
    </row>
    <row r="51" spans="1:5" s="6" customFormat="1" ht="16.5" customHeight="1">
      <c r="A51" s="21" t="s">
        <v>104</v>
      </c>
      <c r="B51" s="80">
        <v>429900</v>
      </c>
      <c r="C51" s="80">
        <v>429900</v>
      </c>
      <c r="D51" s="36">
        <f t="shared" si="0"/>
        <v>100</v>
      </c>
      <c r="E51" s="41">
        <f t="shared" si="1"/>
        <v>0</v>
      </c>
    </row>
    <row r="52" spans="1:5" s="6" customFormat="1" ht="19.5" customHeight="1">
      <c r="A52" s="21" t="s">
        <v>189</v>
      </c>
      <c r="B52" s="80">
        <v>0</v>
      </c>
      <c r="C52" s="80">
        <v>0</v>
      </c>
      <c r="D52" s="36" t="str">
        <f>IF(B52=0,"   ",C52/B52*100)</f>
        <v>   </v>
      </c>
      <c r="E52" s="41">
        <f>C52-B52</f>
        <v>0</v>
      </c>
    </row>
    <row r="53" spans="1:5" ht="21.75" customHeight="1">
      <c r="A53" s="44" t="s">
        <v>11</v>
      </c>
      <c r="B53" s="116">
        <f>B33+B34</f>
        <v>8009343.3100000005</v>
      </c>
      <c r="C53" s="116">
        <f>C33+C34</f>
        <v>7894395.42</v>
      </c>
      <c r="D53" s="46">
        <f t="shared" si="0"/>
        <v>98.56482753265823</v>
      </c>
      <c r="E53" s="47">
        <f t="shared" si="1"/>
        <v>-114947.8900000006</v>
      </c>
    </row>
    <row r="54" spans="1:5" ht="13.5">
      <c r="A54" s="44"/>
      <c r="B54" s="79"/>
      <c r="C54" s="80"/>
      <c r="D54" s="40" t="str">
        <f t="shared" si="0"/>
        <v>   </v>
      </c>
      <c r="E54" s="41"/>
    </row>
    <row r="55" spans="1:5" ht="15" thickBot="1">
      <c r="A55" s="87" t="s">
        <v>12</v>
      </c>
      <c r="B55" s="88"/>
      <c r="C55" s="89"/>
      <c r="D55" s="90" t="str">
        <f t="shared" si="0"/>
        <v>   </v>
      </c>
      <c r="E55" s="91"/>
    </row>
    <row r="56" spans="1:5" ht="14.25" thickBot="1">
      <c r="A56" s="92" t="s">
        <v>35</v>
      </c>
      <c r="B56" s="93">
        <f>SUM(B57,B61+B62)</f>
        <v>2199756.8</v>
      </c>
      <c r="C56" s="93">
        <f>SUM(C57,C61+C62)</f>
        <v>2168046.1</v>
      </c>
      <c r="D56" s="94">
        <f t="shared" si="0"/>
        <v>98.55844518812262</v>
      </c>
      <c r="E56" s="95">
        <f t="shared" si="1"/>
        <v>-31710.69999999972</v>
      </c>
    </row>
    <row r="57" spans="1:5" ht="14.25" thickBot="1">
      <c r="A57" s="68" t="s">
        <v>36</v>
      </c>
      <c r="B57" s="96">
        <v>2196256.8</v>
      </c>
      <c r="C57" s="93">
        <v>2164546.1</v>
      </c>
      <c r="D57" s="97">
        <f t="shared" si="0"/>
        <v>98.55614789673048</v>
      </c>
      <c r="E57" s="98">
        <f t="shared" si="1"/>
        <v>-31710.69999999972</v>
      </c>
    </row>
    <row r="58" spans="1:5" ht="13.5">
      <c r="A58" s="21" t="s">
        <v>115</v>
      </c>
      <c r="B58" s="36">
        <v>873473.97</v>
      </c>
      <c r="C58" s="99">
        <v>873473.91</v>
      </c>
      <c r="D58" s="40">
        <f t="shared" si="0"/>
        <v>99.99999313087716</v>
      </c>
      <c r="E58" s="41">
        <f t="shared" si="1"/>
        <v>-0.05999999993946403</v>
      </c>
    </row>
    <row r="59" spans="1:5" ht="13.5">
      <c r="A59" s="21" t="s">
        <v>333</v>
      </c>
      <c r="B59" s="36">
        <v>46800</v>
      </c>
      <c r="C59" s="99">
        <v>46800</v>
      </c>
      <c r="D59" s="40">
        <f>IF(B59=0,"   ",C59/B59*100)</f>
        <v>100</v>
      </c>
      <c r="E59" s="41">
        <f>C59-B59</f>
        <v>0</v>
      </c>
    </row>
    <row r="60" spans="1:5" ht="13.5">
      <c r="A60" s="21" t="s">
        <v>338</v>
      </c>
      <c r="B60" s="36">
        <v>750000</v>
      </c>
      <c r="C60" s="99">
        <v>750000</v>
      </c>
      <c r="D60" s="40">
        <f>IF(B60=0,"   ",C60/B60*100)</f>
        <v>100</v>
      </c>
      <c r="E60" s="41">
        <f>C60-B60</f>
        <v>0</v>
      </c>
    </row>
    <row r="61" spans="1:5" ht="13.5">
      <c r="A61" s="21" t="s">
        <v>91</v>
      </c>
      <c r="B61" s="36">
        <v>0</v>
      </c>
      <c r="C61" s="99">
        <v>0</v>
      </c>
      <c r="D61" s="40" t="str">
        <f t="shared" si="0"/>
        <v>   </v>
      </c>
      <c r="E61" s="41">
        <f t="shared" si="1"/>
        <v>0</v>
      </c>
    </row>
    <row r="62" spans="1:5" ht="13.5">
      <c r="A62" s="17" t="s">
        <v>53</v>
      </c>
      <c r="B62" s="36">
        <f>SUM(B63)</f>
        <v>3500</v>
      </c>
      <c r="C62" s="36">
        <f>SUM(C63)</f>
        <v>3500</v>
      </c>
      <c r="D62" s="90">
        <f t="shared" si="0"/>
        <v>100</v>
      </c>
      <c r="E62" s="91">
        <f t="shared" si="1"/>
        <v>0</v>
      </c>
    </row>
    <row r="63" spans="1:5" ht="29.25" customHeight="1" thickBot="1">
      <c r="A63" s="17" t="s">
        <v>234</v>
      </c>
      <c r="B63" s="100">
        <v>3500</v>
      </c>
      <c r="C63" s="101">
        <v>3500</v>
      </c>
      <c r="D63" s="90">
        <f t="shared" si="0"/>
        <v>100</v>
      </c>
      <c r="E63" s="91">
        <f t="shared" si="1"/>
        <v>0</v>
      </c>
    </row>
    <row r="64" spans="1:5" ht="14.25" thickBot="1">
      <c r="A64" s="92" t="s">
        <v>49</v>
      </c>
      <c r="B64" s="102">
        <f>SUM(B65)</f>
        <v>103600</v>
      </c>
      <c r="C64" s="102">
        <f>SUM(C65)</f>
        <v>103600</v>
      </c>
      <c r="D64" s="94">
        <f t="shared" si="0"/>
        <v>100</v>
      </c>
      <c r="E64" s="95">
        <f t="shared" si="1"/>
        <v>0</v>
      </c>
    </row>
    <row r="65" spans="1:5" ht="16.5" customHeight="1" thickBot="1">
      <c r="A65" s="60" t="s">
        <v>102</v>
      </c>
      <c r="B65" s="100">
        <v>103600</v>
      </c>
      <c r="C65" s="101">
        <v>103600</v>
      </c>
      <c r="D65" s="103">
        <f t="shared" si="0"/>
        <v>100</v>
      </c>
      <c r="E65" s="104">
        <f t="shared" si="1"/>
        <v>0</v>
      </c>
    </row>
    <row r="66" spans="1:5" ht="14.25" thickBot="1">
      <c r="A66" s="92" t="s">
        <v>37</v>
      </c>
      <c r="B66" s="93">
        <f>SUM(B67)</f>
        <v>5000</v>
      </c>
      <c r="C66" s="102">
        <f>SUM(C67)</f>
        <v>5000</v>
      </c>
      <c r="D66" s="94">
        <f t="shared" si="0"/>
        <v>100</v>
      </c>
      <c r="E66" s="95">
        <f t="shared" si="1"/>
        <v>0</v>
      </c>
    </row>
    <row r="67" spans="1:5" ht="14.25" thickBot="1">
      <c r="A67" s="60" t="s">
        <v>324</v>
      </c>
      <c r="B67" s="100">
        <v>5000</v>
      </c>
      <c r="C67" s="101">
        <v>5000</v>
      </c>
      <c r="D67" s="103">
        <f t="shared" si="0"/>
        <v>100</v>
      </c>
      <c r="E67" s="104">
        <f t="shared" si="1"/>
        <v>0</v>
      </c>
    </row>
    <row r="68" spans="1:5" ht="14.25" thickBot="1">
      <c r="A68" s="92" t="s">
        <v>38</v>
      </c>
      <c r="B68" s="93">
        <f>B69+B74+B76+B84</f>
        <v>1959756.09</v>
      </c>
      <c r="C68" s="93">
        <f>C69+C74+C76+C84</f>
        <v>1939400</v>
      </c>
      <c r="D68" s="94">
        <f t="shared" si="0"/>
        <v>98.96129471907904</v>
      </c>
      <c r="E68" s="95">
        <f t="shared" si="1"/>
        <v>-20356.090000000084</v>
      </c>
    </row>
    <row r="69" spans="1:5" ht="15.75" customHeight="1" thickBot="1">
      <c r="A69" s="60" t="s">
        <v>167</v>
      </c>
      <c r="B69" s="93">
        <f>SUM(B70:B73)</f>
        <v>997.2</v>
      </c>
      <c r="C69" s="93">
        <f>SUM(C70+C71)</f>
        <v>0</v>
      </c>
      <c r="D69" s="94">
        <f aca="true" t="shared" si="2" ref="D69:D75">IF(B69=0,"   ",C69/B69*100)</f>
        <v>0</v>
      </c>
      <c r="E69" s="95">
        <f aca="true" t="shared" si="3" ref="E69:E75">C69-B69</f>
        <v>-997.2</v>
      </c>
    </row>
    <row r="70" spans="1:5" ht="18" customHeight="1" thickBot="1">
      <c r="A70" s="60" t="s">
        <v>158</v>
      </c>
      <c r="B70" s="105">
        <v>0</v>
      </c>
      <c r="C70" s="93">
        <v>0</v>
      </c>
      <c r="D70" s="94" t="str">
        <f t="shared" si="2"/>
        <v>   </v>
      </c>
      <c r="E70" s="95">
        <f t="shared" si="3"/>
        <v>0</v>
      </c>
    </row>
    <row r="71" spans="1:5" ht="18" customHeight="1" thickBot="1">
      <c r="A71" s="60" t="s">
        <v>180</v>
      </c>
      <c r="B71" s="96">
        <v>997.2</v>
      </c>
      <c r="C71" s="96">
        <v>0</v>
      </c>
      <c r="D71" s="94">
        <f t="shared" si="2"/>
        <v>0</v>
      </c>
      <c r="E71" s="95">
        <f t="shared" si="3"/>
        <v>-997.2</v>
      </c>
    </row>
    <row r="72" spans="1:5" ht="18" customHeight="1" thickBot="1">
      <c r="A72" s="60" t="s">
        <v>299</v>
      </c>
      <c r="B72" s="36">
        <v>0</v>
      </c>
      <c r="C72" s="36">
        <v>0</v>
      </c>
      <c r="D72" s="94" t="str">
        <f t="shared" si="2"/>
        <v>   </v>
      </c>
      <c r="E72" s="95">
        <f t="shared" si="3"/>
        <v>0</v>
      </c>
    </row>
    <row r="73" spans="1:5" ht="18" customHeight="1" thickBot="1">
      <c r="A73" s="60" t="s">
        <v>300</v>
      </c>
      <c r="B73" s="36">
        <v>0</v>
      </c>
      <c r="C73" s="36">
        <v>0</v>
      </c>
      <c r="D73" s="94" t="str">
        <f t="shared" si="2"/>
        <v>   </v>
      </c>
      <c r="E73" s="95">
        <f t="shared" si="3"/>
        <v>0</v>
      </c>
    </row>
    <row r="74" spans="1:5" ht="18" customHeight="1" thickBot="1">
      <c r="A74" s="60" t="s">
        <v>220</v>
      </c>
      <c r="B74" s="106">
        <f>SUM(B75)</f>
        <v>0</v>
      </c>
      <c r="C74" s="106">
        <f>SUM(C75)</f>
        <v>0</v>
      </c>
      <c r="D74" s="94" t="str">
        <f t="shared" si="2"/>
        <v>   </v>
      </c>
      <c r="E74" s="95">
        <f t="shared" si="3"/>
        <v>0</v>
      </c>
    </row>
    <row r="75" spans="1:5" ht="18" customHeight="1" thickBot="1">
      <c r="A75" s="60" t="s">
        <v>221</v>
      </c>
      <c r="B75" s="96">
        <v>0</v>
      </c>
      <c r="C75" s="96">
        <v>0</v>
      </c>
      <c r="D75" s="94" t="str">
        <f t="shared" si="2"/>
        <v>   </v>
      </c>
      <c r="E75" s="95">
        <f t="shared" si="3"/>
        <v>0</v>
      </c>
    </row>
    <row r="76" spans="1:5" ht="13.5">
      <c r="A76" s="68" t="s">
        <v>124</v>
      </c>
      <c r="B76" s="96">
        <f>SUM(B77:B83)</f>
        <v>1958758.8900000001</v>
      </c>
      <c r="C76" s="96">
        <f>SUM(C77:C83)</f>
        <v>1939400</v>
      </c>
      <c r="D76" s="97">
        <f t="shared" si="0"/>
        <v>99.01167570450694</v>
      </c>
      <c r="E76" s="98">
        <f t="shared" si="1"/>
        <v>-19358.89000000013</v>
      </c>
    </row>
    <row r="77" spans="1:5" ht="19.5" customHeight="1">
      <c r="A77" s="60" t="s">
        <v>141</v>
      </c>
      <c r="B77" s="36">
        <v>0</v>
      </c>
      <c r="C77" s="36">
        <v>0</v>
      </c>
      <c r="D77" s="97" t="str">
        <f t="shared" si="0"/>
        <v>   </v>
      </c>
      <c r="E77" s="98">
        <f t="shared" si="1"/>
        <v>0</v>
      </c>
    </row>
    <row r="78" spans="1:5" ht="27">
      <c r="A78" s="17" t="s">
        <v>237</v>
      </c>
      <c r="B78" s="36">
        <v>484558.89</v>
      </c>
      <c r="C78" s="36">
        <v>484558.89</v>
      </c>
      <c r="D78" s="40">
        <f t="shared" si="0"/>
        <v>100</v>
      </c>
      <c r="E78" s="107">
        <f t="shared" si="1"/>
        <v>0</v>
      </c>
    </row>
    <row r="79" spans="1:5" ht="27">
      <c r="A79" s="17" t="s">
        <v>238</v>
      </c>
      <c r="B79" s="36">
        <v>150000</v>
      </c>
      <c r="C79" s="36">
        <v>130641.11</v>
      </c>
      <c r="D79" s="40">
        <f t="shared" si="0"/>
        <v>87.09407333333333</v>
      </c>
      <c r="E79" s="107">
        <f t="shared" si="1"/>
        <v>-19358.89</v>
      </c>
    </row>
    <row r="80" spans="1:5" ht="27">
      <c r="A80" s="17" t="s">
        <v>239</v>
      </c>
      <c r="B80" s="36">
        <v>761800</v>
      </c>
      <c r="C80" s="36">
        <v>761800</v>
      </c>
      <c r="D80" s="40">
        <f t="shared" si="0"/>
        <v>100</v>
      </c>
      <c r="E80" s="107">
        <f t="shared" si="1"/>
        <v>0</v>
      </c>
    </row>
    <row r="81" spans="1:5" ht="27">
      <c r="A81" s="17" t="s">
        <v>240</v>
      </c>
      <c r="B81" s="36">
        <v>84700</v>
      </c>
      <c r="C81" s="36">
        <v>84700</v>
      </c>
      <c r="D81" s="40">
        <f t="shared" si="0"/>
        <v>100</v>
      </c>
      <c r="E81" s="107">
        <f t="shared" si="1"/>
        <v>0</v>
      </c>
    </row>
    <row r="82" spans="1:5" ht="27">
      <c r="A82" s="17" t="s">
        <v>241</v>
      </c>
      <c r="B82" s="36">
        <v>429900</v>
      </c>
      <c r="C82" s="36">
        <v>429900</v>
      </c>
      <c r="D82" s="40">
        <f t="shared" si="0"/>
        <v>100</v>
      </c>
      <c r="E82" s="107">
        <f t="shared" si="1"/>
        <v>0</v>
      </c>
    </row>
    <row r="83" spans="1:5" ht="27.75" thickBot="1">
      <c r="A83" s="17" t="s">
        <v>242</v>
      </c>
      <c r="B83" s="108">
        <v>47800</v>
      </c>
      <c r="C83" s="108">
        <v>47800</v>
      </c>
      <c r="D83" s="90">
        <f t="shared" si="0"/>
        <v>100</v>
      </c>
      <c r="E83" s="91">
        <f t="shared" si="1"/>
        <v>0</v>
      </c>
    </row>
    <row r="84" spans="1:5" ht="13.5">
      <c r="A84" s="68" t="s">
        <v>168</v>
      </c>
      <c r="B84" s="109">
        <f>SUM(B85+B86)</f>
        <v>0</v>
      </c>
      <c r="C84" s="109">
        <f>SUM(C85+C86)</f>
        <v>0</v>
      </c>
      <c r="D84" s="90" t="str">
        <f>IF(B84=0,"   ",C84/B84*100)</f>
        <v>   </v>
      </c>
      <c r="E84" s="91">
        <f>C84-B84</f>
        <v>0</v>
      </c>
    </row>
    <row r="85" spans="1:5" ht="27">
      <c r="A85" s="62" t="s">
        <v>147</v>
      </c>
      <c r="B85" s="36">
        <v>0</v>
      </c>
      <c r="C85" s="36">
        <v>0</v>
      </c>
      <c r="D85" s="40" t="str">
        <f>IF(B85=0,"   ",C85/B85*100)</f>
        <v>   </v>
      </c>
      <c r="E85" s="107">
        <f>C85-B85</f>
        <v>0</v>
      </c>
    </row>
    <row r="86" spans="1:5" ht="27">
      <c r="A86" s="62" t="s">
        <v>169</v>
      </c>
      <c r="B86" s="36">
        <v>0</v>
      </c>
      <c r="C86" s="36">
        <v>0</v>
      </c>
      <c r="D86" s="40" t="str">
        <f>IF(B86=0,"   ",C86/B86*100)</f>
        <v>   </v>
      </c>
      <c r="E86" s="107">
        <f>C86-B86</f>
        <v>0</v>
      </c>
    </row>
    <row r="87" spans="1:5" ht="13.5" customHeight="1">
      <c r="A87" s="62" t="s">
        <v>13</v>
      </c>
      <c r="B87" s="36">
        <f>SUM(B98,B97,B88+B106)</f>
        <v>3265859.5999999996</v>
      </c>
      <c r="C87" s="36">
        <f>SUM(C98,C97,C88+C106)</f>
        <v>3013814.48</v>
      </c>
      <c r="D87" s="40">
        <f t="shared" si="0"/>
        <v>92.28242634802795</v>
      </c>
      <c r="E87" s="107">
        <f t="shared" si="1"/>
        <v>-252045.11999999965</v>
      </c>
    </row>
    <row r="88" spans="1:5" ht="13.5" customHeight="1" thickBot="1">
      <c r="A88" s="68" t="s">
        <v>142</v>
      </c>
      <c r="B88" s="96">
        <f>SUM(B89+B90+B91+B92+B93)</f>
        <v>2370785.3</v>
      </c>
      <c r="C88" s="96">
        <f>SUM(C89+C90+C91+C92+C93)</f>
        <v>2225240.18</v>
      </c>
      <c r="D88" s="110">
        <f t="shared" si="0"/>
        <v>93.86088989163213</v>
      </c>
      <c r="E88" s="104">
        <f t="shared" si="1"/>
        <v>-145545.11999999965</v>
      </c>
    </row>
    <row r="89" spans="1:5" ht="30.75" customHeight="1" thickBot="1">
      <c r="A89" s="21" t="s">
        <v>186</v>
      </c>
      <c r="B89" s="96">
        <v>5900</v>
      </c>
      <c r="C89" s="96">
        <v>5844.63</v>
      </c>
      <c r="D89" s="94">
        <f t="shared" si="0"/>
        <v>99.06152542372881</v>
      </c>
      <c r="E89" s="107">
        <f t="shared" si="1"/>
        <v>-55.36999999999989</v>
      </c>
    </row>
    <row r="90" spans="1:5" ht="18" customHeight="1" thickBot="1">
      <c r="A90" s="21" t="s">
        <v>272</v>
      </c>
      <c r="B90" s="96">
        <v>2019820</v>
      </c>
      <c r="C90" s="96">
        <v>1981797.82</v>
      </c>
      <c r="D90" s="94">
        <f aca="true" t="shared" si="4" ref="D90:D96">IF(B90=0,"   ",C90/B90*100)</f>
        <v>98.11754611797092</v>
      </c>
      <c r="E90" s="107">
        <f aca="true" t="shared" si="5" ref="E90:E96">C90-B90</f>
        <v>-38022.179999999935</v>
      </c>
    </row>
    <row r="91" spans="1:5" ht="18" customHeight="1" thickBot="1">
      <c r="A91" s="17" t="s">
        <v>311</v>
      </c>
      <c r="B91" s="96">
        <v>142320</v>
      </c>
      <c r="C91" s="96">
        <v>126497.73</v>
      </c>
      <c r="D91" s="94">
        <f t="shared" si="4"/>
        <v>88.88260961214165</v>
      </c>
      <c r="E91" s="107">
        <f t="shared" si="5"/>
        <v>-15822.270000000004</v>
      </c>
    </row>
    <row r="92" spans="1:5" ht="18" customHeight="1" thickBot="1">
      <c r="A92" s="21" t="s">
        <v>325</v>
      </c>
      <c r="B92" s="96">
        <v>202745.3</v>
      </c>
      <c r="C92" s="96">
        <v>111100</v>
      </c>
      <c r="D92" s="94">
        <f t="shared" si="4"/>
        <v>54.797817754591605</v>
      </c>
      <c r="E92" s="107">
        <f t="shared" si="5"/>
        <v>-91645.29999999999</v>
      </c>
    </row>
    <row r="93" spans="1:5" ht="19.5" customHeight="1" thickBot="1">
      <c r="A93" s="17" t="s">
        <v>196</v>
      </c>
      <c r="B93" s="96">
        <f>SUM(B94+B95+B96)</f>
        <v>0</v>
      </c>
      <c r="C93" s="96">
        <f>SUM(C94+C95+C96)</f>
        <v>0</v>
      </c>
      <c r="D93" s="94" t="str">
        <f t="shared" si="4"/>
        <v>   </v>
      </c>
      <c r="E93" s="107">
        <f t="shared" si="5"/>
        <v>0</v>
      </c>
    </row>
    <row r="94" spans="1:5" ht="30.75" customHeight="1" thickBot="1">
      <c r="A94" s="17" t="s">
        <v>206</v>
      </c>
      <c r="B94" s="96">
        <v>0</v>
      </c>
      <c r="C94" s="96">
        <v>0</v>
      </c>
      <c r="D94" s="94" t="str">
        <f t="shared" si="4"/>
        <v>   </v>
      </c>
      <c r="E94" s="107">
        <f t="shared" si="5"/>
        <v>0</v>
      </c>
    </row>
    <row r="95" spans="1:5" ht="30.75" customHeight="1" thickBot="1">
      <c r="A95" s="17" t="s">
        <v>197</v>
      </c>
      <c r="B95" s="96">
        <v>0</v>
      </c>
      <c r="C95" s="96">
        <v>0</v>
      </c>
      <c r="D95" s="94" t="str">
        <f t="shared" si="4"/>
        <v>   </v>
      </c>
      <c r="E95" s="107">
        <f t="shared" si="5"/>
        <v>0</v>
      </c>
    </row>
    <row r="96" spans="1:5" ht="30.75" customHeight="1" thickBot="1">
      <c r="A96" s="17" t="s">
        <v>207</v>
      </c>
      <c r="B96" s="96">
        <v>0</v>
      </c>
      <c r="C96" s="96">
        <v>0</v>
      </c>
      <c r="D96" s="94" t="str">
        <f t="shared" si="4"/>
        <v>   </v>
      </c>
      <c r="E96" s="107">
        <f t="shared" si="5"/>
        <v>0</v>
      </c>
    </row>
    <row r="97" spans="1:5" ht="13.5" customHeight="1" thickBot="1">
      <c r="A97" s="68" t="s">
        <v>84</v>
      </c>
      <c r="B97" s="96">
        <v>0</v>
      </c>
      <c r="C97" s="96">
        <v>0</v>
      </c>
      <c r="D97" s="94" t="str">
        <f t="shared" si="0"/>
        <v>   </v>
      </c>
      <c r="E97" s="107">
        <f t="shared" si="1"/>
        <v>0</v>
      </c>
    </row>
    <row r="98" spans="1:5" ht="13.5">
      <c r="A98" s="21" t="s">
        <v>58</v>
      </c>
      <c r="B98" s="36">
        <f>B99+B104+B100+B105</f>
        <v>894974.2999999999</v>
      </c>
      <c r="C98" s="36">
        <f>C99+C104+C100+C105</f>
        <v>788474.2999999999</v>
      </c>
      <c r="D98" s="40">
        <f t="shared" si="0"/>
        <v>88.10021695595059</v>
      </c>
      <c r="E98" s="41">
        <f t="shared" si="1"/>
        <v>-106500</v>
      </c>
    </row>
    <row r="99" spans="1:5" ht="13.5">
      <c r="A99" s="21" t="s">
        <v>56</v>
      </c>
      <c r="B99" s="36">
        <v>165200</v>
      </c>
      <c r="C99" s="107">
        <v>165200</v>
      </c>
      <c r="D99" s="40">
        <f t="shared" si="0"/>
        <v>100</v>
      </c>
      <c r="E99" s="41">
        <f t="shared" si="1"/>
        <v>0</v>
      </c>
    </row>
    <row r="100" spans="1:5" ht="13.5">
      <c r="A100" s="17" t="s">
        <v>196</v>
      </c>
      <c r="B100" s="36">
        <f>SUM(B101:B103)</f>
        <v>650647.2</v>
      </c>
      <c r="C100" s="36">
        <f>SUM(C101:C103)</f>
        <v>544147.2</v>
      </c>
      <c r="D100" s="90">
        <f t="shared" si="0"/>
        <v>83.63168242328561</v>
      </c>
      <c r="E100" s="91">
        <f t="shared" si="1"/>
        <v>-106500</v>
      </c>
    </row>
    <row r="101" spans="1:5" ht="27">
      <c r="A101" s="17" t="s">
        <v>203</v>
      </c>
      <c r="B101" s="36">
        <v>390400</v>
      </c>
      <c r="C101" s="107">
        <v>326500</v>
      </c>
      <c r="D101" s="90">
        <f t="shared" si="0"/>
        <v>83.63217213114754</v>
      </c>
      <c r="E101" s="91">
        <f t="shared" si="1"/>
        <v>-63900</v>
      </c>
    </row>
    <row r="102" spans="1:5" ht="27">
      <c r="A102" s="17" t="s">
        <v>204</v>
      </c>
      <c r="B102" s="36">
        <v>130123.6</v>
      </c>
      <c r="C102" s="107">
        <v>108823.6</v>
      </c>
      <c r="D102" s="90">
        <f t="shared" si="0"/>
        <v>83.63094780654701</v>
      </c>
      <c r="E102" s="91">
        <f t="shared" si="1"/>
        <v>-21300</v>
      </c>
    </row>
    <row r="103" spans="1:5" ht="27">
      <c r="A103" s="17" t="s">
        <v>205</v>
      </c>
      <c r="B103" s="36">
        <v>130123.6</v>
      </c>
      <c r="C103" s="107">
        <v>108823.6</v>
      </c>
      <c r="D103" s="90">
        <f t="shared" si="0"/>
        <v>83.63094780654701</v>
      </c>
      <c r="E103" s="91">
        <f t="shared" si="1"/>
        <v>-21300</v>
      </c>
    </row>
    <row r="104" spans="1:5" ht="13.5">
      <c r="A104" s="17" t="s">
        <v>59</v>
      </c>
      <c r="B104" s="36">
        <v>79127.1</v>
      </c>
      <c r="C104" s="107">
        <v>79127.1</v>
      </c>
      <c r="D104" s="40">
        <f t="shared" si="0"/>
        <v>100</v>
      </c>
      <c r="E104" s="107">
        <f t="shared" si="1"/>
        <v>0</v>
      </c>
    </row>
    <row r="105" spans="1:5" ht="27.75" thickBot="1">
      <c r="A105" s="17" t="s">
        <v>273</v>
      </c>
      <c r="B105" s="36">
        <v>0</v>
      </c>
      <c r="C105" s="107">
        <v>0</v>
      </c>
      <c r="D105" s="40" t="str">
        <f t="shared" si="0"/>
        <v>   </v>
      </c>
      <c r="E105" s="107">
        <f t="shared" si="1"/>
        <v>0</v>
      </c>
    </row>
    <row r="106" spans="1:5" ht="14.25" thickBot="1">
      <c r="A106" s="62" t="s">
        <v>310</v>
      </c>
      <c r="B106" s="111">
        <f>SUM(B107)</f>
        <v>100</v>
      </c>
      <c r="C106" s="111">
        <f>SUM(C107)</f>
        <v>100</v>
      </c>
      <c r="D106" s="40">
        <f>IF(B106=0,"   ",C106/B106*100)</f>
        <v>100</v>
      </c>
      <c r="E106" s="107">
        <f>C106-B106</f>
        <v>0</v>
      </c>
    </row>
    <row r="107" spans="1:5" ht="13.5">
      <c r="A107" s="62" t="s">
        <v>261</v>
      </c>
      <c r="B107" s="36">
        <v>100</v>
      </c>
      <c r="C107" s="99">
        <v>100</v>
      </c>
      <c r="D107" s="40">
        <f>IF(B107=0,"   ",C107/B107*100)</f>
        <v>100</v>
      </c>
      <c r="E107" s="107">
        <f>C107-B107</f>
        <v>0</v>
      </c>
    </row>
    <row r="108" spans="1:5" ht="14.25" thickBot="1">
      <c r="A108" s="112" t="s">
        <v>17</v>
      </c>
      <c r="B108" s="106">
        <v>0</v>
      </c>
      <c r="C108" s="106">
        <v>0</v>
      </c>
      <c r="D108" s="110" t="str">
        <f t="shared" si="0"/>
        <v>   </v>
      </c>
      <c r="E108" s="113">
        <f t="shared" si="1"/>
        <v>0</v>
      </c>
    </row>
    <row r="109" spans="1:5" ht="14.25" thickBot="1">
      <c r="A109" s="92" t="s">
        <v>41</v>
      </c>
      <c r="B109" s="111">
        <f>B110</f>
        <v>623500</v>
      </c>
      <c r="C109" s="111">
        <f>C110</f>
        <v>623500</v>
      </c>
      <c r="D109" s="94">
        <f t="shared" si="0"/>
        <v>100</v>
      </c>
      <c r="E109" s="95">
        <f t="shared" si="1"/>
        <v>0</v>
      </c>
    </row>
    <row r="110" spans="1:5" ht="13.5">
      <c r="A110" s="68" t="s">
        <v>42</v>
      </c>
      <c r="B110" s="96">
        <f>SUM(B111+B113+B112)</f>
        <v>623500</v>
      </c>
      <c r="C110" s="96">
        <f>SUM(C111+C113+C112)</f>
        <v>623500</v>
      </c>
      <c r="D110" s="97">
        <f t="shared" si="0"/>
        <v>100</v>
      </c>
      <c r="E110" s="98">
        <f t="shared" si="1"/>
        <v>0</v>
      </c>
    </row>
    <row r="111" spans="1:5" ht="13.5">
      <c r="A111" s="21" t="s">
        <v>135</v>
      </c>
      <c r="B111" s="100">
        <v>623500</v>
      </c>
      <c r="C111" s="101">
        <v>623500</v>
      </c>
      <c r="D111" s="103">
        <f t="shared" si="0"/>
        <v>100</v>
      </c>
      <c r="E111" s="104">
        <f t="shared" si="1"/>
        <v>0</v>
      </c>
    </row>
    <row r="112" spans="1:5" ht="13.5">
      <c r="A112" s="68" t="s">
        <v>279</v>
      </c>
      <c r="B112" s="100">
        <v>0</v>
      </c>
      <c r="C112" s="101">
        <v>0</v>
      </c>
      <c r="D112" s="103" t="str">
        <f t="shared" si="0"/>
        <v>   </v>
      </c>
      <c r="E112" s="114">
        <f t="shared" si="1"/>
        <v>0</v>
      </c>
    </row>
    <row r="113" spans="1:5" ht="21.75" customHeight="1" thickBot="1">
      <c r="A113" s="21" t="s">
        <v>243</v>
      </c>
      <c r="B113" s="36">
        <v>0</v>
      </c>
      <c r="C113" s="107">
        <v>0</v>
      </c>
      <c r="D113" s="40" t="str">
        <f t="shared" si="0"/>
        <v>   </v>
      </c>
      <c r="E113" s="107">
        <f t="shared" si="1"/>
        <v>0</v>
      </c>
    </row>
    <row r="114" spans="1:5" ht="14.25" thickBot="1">
      <c r="A114" s="92" t="s">
        <v>119</v>
      </c>
      <c r="B114" s="106">
        <f>SUM(B115,)</f>
        <v>0</v>
      </c>
      <c r="C114" s="106">
        <f>SUM(C115,)</f>
        <v>0</v>
      </c>
      <c r="D114" s="110" t="str">
        <f t="shared" si="0"/>
        <v>   </v>
      </c>
      <c r="E114" s="113">
        <f t="shared" si="1"/>
        <v>0</v>
      </c>
    </row>
    <row r="115" spans="1:5" ht="13.5">
      <c r="A115" s="60" t="s">
        <v>43</v>
      </c>
      <c r="B115" s="100">
        <v>0</v>
      </c>
      <c r="C115" s="115">
        <v>0</v>
      </c>
      <c r="D115" s="103" t="str">
        <f t="shared" si="0"/>
        <v>   </v>
      </c>
      <c r="E115" s="104">
        <f t="shared" si="1"/>
        <v>0</v>
      </c>
    </row>
    <row r="116" spans="1:5" ht="27" customHeight="1">
      <c r="A116" s="44" t="s">
        <v>15</v>
      </c>
      <c r="B116" s="116">
        <f>SUM(B56,B64,B66,B68,B87,B108,B109,B114,)</f>
        <v>8157472.489999999</v>
      </c>
      <c r="C116" s="116">
        <f>SUM(C56,C64,C66,C68,C87,C108,C109,C114,)</f>
        <v>7853360.58</v>
      </c>
      <c r="D116" s="46">
        <f>IF(B116=0,"   ",C116/B116*100)</f>
        <v>96.27198362761504</v>
      </c>
      <c r="E116" s="47">
        <f>C116-B116</f>
        <v>-304111.9099999992</v>
      </c>
    </row>
    <row r="117" spans="1:5" s="13" customFormat="1" ht="42.75" customHeight="1">
      <c r="A117" s="71" t="s">
        <v>290</v>
      </c>
      <c r="B117" s="71"/>
      <c r="C117" s="165"/>
      <c r="D117" s="165"/>
      <c r="E117" s="165"/>
    </row>
    <row r="118" spans="1:5" s="13" customFormat="1" ht="18.75" customHeight="1">
      <c r="A118" s="71" t="s">
        <v>146</v>
      </c>
      <c r="B118" s="71"/>
      <c r="C118" s="72" t="s">
        <v>291</v>
      </c>
      <c r="D118" s="73"/>
      <c r="E118" s="74"/>
    </row>
    <row r="119" spans="1:5" ht="13.5">
      <c r="A119" s="71"/>
      <c r="B119" s="71"/>
      <c r="C119" s="117"/>
      <c r="D119" s="71"/>
      <c r="E119" s="118"/>
    </row>
    <row r="120" spans="1:5" ht="13.5">
      <c r="A120" s="71"/>
      <c r="B120" s="71"/>
      <c r="C120" s="117"/>
      <c r="D120" s="71"/>
      <c r="E120" s="118"/>
    </row>
    <row r="121" spans="1:5" ht="13.5">
      <c r="A121" s="119"/>
      <c r="B121" s="119"/>
      <c r="C121" s="120"/>
      <c r="D121" s="119"/>
      <c r="E121" s="121"/>
    </row>
    <row r="122" spans="1:5" ht="13.5">
      <c r="A122" s="119"/>
      <c r="B122" s="119"/>
      <c r="C122" s="120"/>
      <c r="D122" s="119"/>
      <c r="E122" s="121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3.5">
      <c r="A131" s="122"/>
      <c r="B131" s="122"/>
      <c r="C131" s="122"/>
      <c r="D131" s="122"/>
      <c r="E131" s="122"/>
    </row>
    <row r="132" spans="1:5" ht="13.5">
      <c r="A132" s="122"/>
      <c r="B132" s="122"/>
      <c r="C132" s="122"/>
      <c r="D132" s="122"/>
      <c r="E132" s="122"/>
    </row>
    <row r="133" spans="1:5" ht="13.5">
      <c r="A133" s="122"/>
      <c r="B133" s="122"/>
      <c r="C133" s="122"/>
      <c r="D133" s="122"/>
      <c r="E133" s="122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</sheetData>
  <sheetProtection/>
  <mergeCells count="2">
    <mergeCell ref="A1:E1"/>
    <mergeCell ref="C117:E117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SheetLayoutView="100" zoomScalePageLayoutView="0" workbookViewId="0" topLeftCell="A34">
      <selection activeCell="C29" sqref="C29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6" t="s">
        <v>344</v>
      </c>
      <c r="B1" s="166"/>
      <c r="C1" s="166"/>
      <c r="D1" s="166"/>
      <c r="E1" s="166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292</v>
      </c>
      <c r="C3" s="26" t="s">
        <v>341</v>
      </c>
      <c r="D3" s="25" t="s">
        <v>293</v>
      </c>
      <c r="E3" s="27" t="s">
        <v>296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56900</v>
      </c>
      <c r="C6" s="143">
        <f>SUM(C7)</f>
        <v>98493.34</v>
      </c>
      <c r="D6" s="40">
        <f aca="true" t="shared" si="0" ref="D6:D103">IF(B6=0,"   ",C6/B6*100)</f>
        <v>173.0990158172232</v>
      </c>
      <c r="E6" s="41">
        <f aca="true" t="shared" si="1" ref="E6:E104">C6-B6</f>
        <v>41593.34</v>
      </c>
    </row>
    <row r="7" spans="1:5" ht="15" customHeight="1">
      <c r="A7" s="21" t="s">
        <v>44</v>
      </c>
      <c r="B7" s="36">
        <v>56900</v>
      </c>
      <c r="C7" s="144">
        <v>98493.34</v>
      </c>
      <c r="D7" s="40">
        <f t="shared" si="0"/>
        <v>173.0990158172232</v>
      </c>
      <c r="E7" s="41">
        <f t="shared" si="1"/>
        <v>41593.34</v>
      </c>
    </row>
    <row r="8" spans="1:5" ht="15.75" customHeight="1">
      <c r="A8" s="38" t="s">
        <v>129</v>
      </c>
      <c r="B8" s="143">
        <f>SUM(B9)</f>
        <v>398000</v>
      </c>
      <c r="C8" s="143">
        <f>SUM(C9)</f>
        <v>425014.02</v>
      </c>
      <c r="D8" s="40">
        <f t="shared" si="0"/>
        <v>106.78744221105528</v>
      </c>
      <c r="E8" s="41">
        <f t="shared" si="1"/>
        <v>27014.02000000002</v>
      </c>
    </row>
    <row r="9" spans="1:5" ht="15" customHeight="1">
      <c r="A9" s="21" t="s">
        <v>130</v>
      </c>
      <c r="B9" s="36">
        <v>398000</v>
      </c>
      <c r="C9" s="144">
        <v>425014.02</v>
      </c>
      <c r="D9" s="40">
        <f t="shared" si="0"/>
        <v>106.78744221105528</v>
      </c>
      <c r="E9" s="41">
        <f t="shared" si="1"/>
        <v>27014.02000000002</v>
      </c>
    </row>
    <row r="10" spans="1:5" ht="16.5" customHeight="1">
      <c r="A10" s="21" t="s">
        <v>7</v>
      </c>
      <c r="B10" s="36">
        <f>B11</f>
        <v>20800</v>
      </c>
      <c r="C10" s="36">
        <f>C11</f>
        <v>22186.4</v>
      </c>
      <c r="D10" s="40">
        <f t="shared" si="0"/>
        <v>106.66538461538462</v>
      </c>
      <c r="E10" s="41">
        <f t="shared" si="1"/>
        <v>1386.4000000000015</v>
      </c>
    </row>
    <row r="11" spans="1:5" ht="15" customHeight="1">
      <c r="A11" s="21" t="s">
        <v>26</v>
      </c>
      <c r="B11" s="36">
        <v>20800</v>
      </c>
      <c r="C11" s="144">
        <v>22186.4</v>
      </c>
      <c r="D11" s="40">
        <f t="shared" si="0"/>
        <v>106.66538461538462</v>
      </c>
      <c r="E11" s="41">
        <f t="shared" si="1"/>
        <v>1386.4000000000015</v>
      </c>
    </row>
    <row r="12" spans="1:5" ht="15" customHeight="1">
      <c r="A12" s="21" t="s">
        <v>9</v>
      </c>
      <c r="B12" s="36">
        <f>SUM(B13:B14)</f>
        <v>187800</v>
      </c>
      <c r="C12" s="36">
        <f>SUM(C13:C14)</f>
        <v>199337.93</v>
      </c>
      <c r="D12" s="40">
        <f t="shared" si="0"/>
        <v>106.14373269435569</v>
      </c>
      <c r="E12" s="41">
        <f t="shared" si="1"/>
        <v>11537.929999999993</v>
      </c>
    </row>
    <row r="13" spans="1:5" ht="12.75" customHeight="1">
      <c r="A13" s="21" t="s">
        <v>27</v>
      </c>
      <c r="B13" s="36">
        <v>92000</v>
      </c>
      <c r="C13" s="144">
        <v>109032.61</v>
      </c>
      <c r="D13" s="40">
        <f t="shared" si="0"/>
        <v>118.51370652173914</v>
      </c>
      <c r="E13" s="41">
        <f t="shared" si="1"/>
        <v>17032.61</v>
      </c>
    </row>
    <row r="14" spans="1:5" ht="15" customHeight="1">
      <c r="A14" s="21" t="s">
        <v>152</v>
      </c>
      <c r="B14" s="36">
        <f>SUM(B15:B16)</f>
        <v>95800</v>
      </c>
      <c r="C14" s="36">
        <f>SUM(C15:C16)</f>
        <v>90305.31999999999</v>
      </c>
      <c r="D14" s="40">
        <f t="shared" si="0"/>
        <v>94.26442588726512</v>
      </c>
      <c r="E14" s="41">
        <f t="shared" si="1"/>
        <v>-5494.680000000008</v>
      </c>
    </row>
    <row r="15" spans="1:5" ht="15" customHeight="1">
      <c r="A15" s="21" t="s">
        <v>153</v>
      </c>
      <c r="B15" s="36">
        <v>2500</v>
      </c>
      <c r="C15" s="144">
        <v>3464.93</v>
      </c>
      <c r="D15" s="40">
        <f t="shared" si="0"/>
        <v>138.5972</v>
      </c>
      <c r="E15" s="41">
        <f t="shared" si="1"/>
        <v>964.9299999999998</v>
      </c>
    </row>
    <row r="16" spans="1:5" ht="15" customHeight="1">
      <c r="A16" s="21" t="s">
        <v>154</v>
      </c>
      <c r="B16" s="36">
        <v>93300</v>
      </c>
      <c r="C16" s="144">
        <v>86840.39</v>
      </c>
      <c r="D16" s="40">
        <f t="shared" si="0"/>
        <v>93.0765166130761</v>
      </c>
      <c r="E16" s="41">
        <f t="shared" si="1"/>
        <v>-6459.610000000001</v>
      </c>
    </row>
    <row r="17" spans="1:5" ht="15" customHeight="1">
      <c r="A17" s="21" t="s">
        <v>187</v>
      </c>
      <c r="B17" s="36">
        <v>0</v>
      </c>
      <c r="C17" s="107">
        <v>0</v>
      </c>
      <c r="D17" s="40" t="str">
        <f t="shared" si="0"/>
        <v>   </v>
      </c>
      <c r="E17" s="41">
        <f t="shared" si="1"/>
        <v>0</v>
      </c>
    </row>
    <row r="18" spans="1:5" ht="27.75" customHeight="1">
      <c r="A18" s="21" t="s">
        <v>85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67000</v>
      </c>
      <c r="C19" s="36">
        <f>SUM(C20:C21)</f>
        <v>68500.52</v>
      </c>
      <c r="D19" s="40">
        <f t="shared" si="0"/>
        <v>102.23958208955224</v>
      </c>
      <c r="E19" s="41">
        <f t="shared" si="1"/>
        <v>1500.520000000004</v>
      </c>
    </row>
    <row r="20" spans="1:5" ht="12.75" customHeight="1">
      <c r="A20" s="21" t="s">
        <v>144</v>
      </c>
      <c r="B20" s="36">
        <v>60200</v>
      </c>
      <c r="C20" s="144">
        <v>65679.53</v>
      </c>
      <c r="D20" s="40">
        <f t="shared" si="0"/>
        <v>109.10220930232558</v>
      </c>
      <c r="E20" s="41">
        <f t="shared" si="1"/>
        <v>5479.529999999999</v>
      </c>
    </row>
    <row r="21" spans="1:5" ht="15.75" customHeight="1">
      <c r="A21" s="21" t="s">
        <v>30</v>
      </c>
      <c r="B21" s="36">
        <v>6800</v>
      </c>
      <c r="C21" s="144">
        <v>2820.99</v>
      </c>
      <c r="D21" s="40">
        <f t="shared" si="0"/>
        <v>41.48514705882352</v>
      </c>
      <c r="E21" s="41">
        <f t="shared" si="1"/>
        <v>-3979.01</v>
      </c>
    </row>
    <row r="22" spans="1:5" ht="15.75" customHeight="1">
      <c r="A22" s="21" t="s">
        <v>88</v>
      </c>
      <c r="B22" s="36">
        <v>6400</v>
      </c>
      <c r="C22" s="107">
        <v>6497.46</v>
      </c>
      <c r="D22" s="40">
        <f t="shared" si="0"/>
        <v>101.52281249999999</v>
      </c>
      <c r="E22" s="41">
        <f t="shared" si="1"/>
        <v>97.46000000000004</v>
      </c>
    </row>
    <row r="23" spans="1:5" ht="15.75" customHeight="1">
      <c r="A23" s="21" t="s">
        <v>78</v>
      </c>
      <c r="B23" s="143">
        <f>B24+B25</f>
        <v>777172</v>
      </c>
      <c r="C23" s="143">
        <f>C24+C25</f>
        <v>778006.28</v>
      </c>
      <c r="D23" s="40">
        <f t="shared" si="0"/>
        <v>100.10734818032559</v>
      </c>
      <c r="E23" s="41">
        <f t="shared" si="1"/>
        <v>834.2800000000279</v>
      </c>
    </row>
    <row r="24" spans="1:5" ht="27.75" customHeight="1">
      <c r="A24" s="21" t="s">
        <v>278</v>
      </c>
      <c r="B24" s="36">
        <v>269172</v>
      </c>
      <c r="C24" s="86">
        <v>269757</v>
      </c>
      <c r="D24" s="40">
        <f t="shared" si="0"/>
        <v>100.21733315500869</v>
      </c>
      <c r="E24" s="41">
        <f t="shared" si="1"/>
        <v>585</v>
      </c>
    </row>
    <row r="25" spans="1:5" ht="15" customHeight="1">
      <c r="A25" s="21" t="s">
        <v>127</v>
      </c>
      <c r="B25" s="36">
        <v>508000</v>
      </c>
      <c r="C25" s="144">
        <v>508249.28</v>
      </c>
      <c r="D25" s="40">
        <f t="shared" si="0"/>
        <v>100.04907086614175</v>
      </c>
      <c r="E25" s="41">
        <f t="shared" si="1"/>
        <v>249.28000000002794</v>
      </c>
    </row>
    <row r="26" spans="1:5" ht="15" customHeight="1">
      <c r="A26" s="21" t="s">
        <v>289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10491.4</v>
      </c>
      <c r="C27" s="36">
        <f>SUM(C28:C30)</f>
        <v>10488.609999999999</v>
      </c>
      <c r="D27" s="40">
        <f t="shared" si="0"/>
        <v>99.9734067903235</v>
      </c>
      <c r="E27" s="41">
        <f t="shared" si="1"/>
        <v>-2.790000000000873</v>
      </c>
    </row>
    <row r="28" spans="1:5" ht="13.5" customHeight="1">
      <c r="A28" s="21" t="s">
        <v>46</v>
      </c>
      <c r="B28" s="36">
        <v>0</v>
      </c>
      <c r="C28" s="36">
        <v>-2.79</v>
      </c>
      <c r="D28" s="40"/>
      <c r="E28" s="41">
        <f t="shared" si="1"/>
        <v>-2.79</v>
      </c>
    </row>
    <row r="29" spans="1:5" ht="13.5" customHeight="1">
      <c r="A29" s="21" t="s">
        <v>322</v>
      </c>
      <c r="B29" s="36">
        <v>10491.4</v>
      </c>
      <c r="C29" s="36">
        <v>10491.4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1524563.4</v>
      </c>
      <c r="C32" s="116">
        <f>SUM(C6,C8,C10,C12,C18,C19,C22,C23,C31,C27,C17,C26)</f>
        <v>1608524.56</v>
      </c>
      <c r="D32" s="46">
        <f t="shared" si="0"/>
        <v>105.5072265279358</v>
      </c>
      <c r="E32" s="47">
        <f t="shared" si="1"/>
        <v>83961.16000000015</v>
      </c>
    </row>
    <row r="33" spans="1:5" ht="16.5" customHeight="1">
      <c r="A33" s="62" t="s">
        <v>132</v>
      </c>
      <c r="B33" s="145">
        <f>SUM(B34:B37,B40:B43,B48)</f>
        <v>2722048.4</v>
      </c>
      <c r="C33" s="145">
        <f>SUM(C34:C37,C40:C43,C48)</f>
        <v>2722048.4</v>
      </c>
      <c r="D33" s="46">
        <f t="shared" si="0"/>
        <v>100</v>
      </c>
      <c r="E33" s="47">
        <f t="shared" si="1"/>
        <v>0</v>
      </c>
    </row>
    <row r="34" spans="1:5" ht="20.25" customHeight="1">
      <c r="A34" s="38" t="s">
        <v>34</v>
      </c>
      <c r="B34" s="143">
        <v>1923700</v>
      </c>
      <c r="C34" s="86">
        <v>1923700</v>
      </c>
      <c r="D34" s="40">
        <f t="shared" si="0"/>
        <v>100</v>
      </c>
      <c r="E34" s="41">
        <f t="shared" si="1"/>
        <v>0</v>
      </c>
    </row>
    <row r="35" spans="1:5" ht="20.25" customHeight="1">
      <c r="A35" s="38" t="s">
        <v>218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103700</v>
      </c>
      <c r="C36" s="86">
        <v>103700</v>
      </c>
      <c r="D36" s="54">
        <f t="shared" si="0"/>
        <v>100</v>
      </c>
      <c r="E36" s="55">
        <f t="shared" si="1"/>
        <v>0</v>
      </c>
    </row>
    <row r="37" spans="1:5" ht="26.25" customHeight="1">
      <c r="A37" s="52" t="s">
        <v>140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155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156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98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331</v>
      </c>
      <c r="B41" s="36">
        <v>57600</v>
      </c>
      <c r="C41" s="36">
        <v>57600</v>
      </c>
      <c r="D41" s="40">
        <f t="shared" si="0"/>
        <v>100</v>
      </c>
      <c r="E41" s="41">
        <f t="shared" si="1"/>
        <v>0</v>
      </c>
    </row>
    <row r="42" spans="1:5" ht="57" customHeight="1">
      <c r="A42" s="21" t="s">
        <v>226</v>
      </c>
      <c r="B42" s="36">
        <v>333300</v>
      </c>
      <c r="C42" s="36">
        <v>333300</v>
      </c>
      <c r="D42" s="40">
        <f t="shared" si="0"/>
        <v>100</v>
      </c>
      <c r="E42" s="41">
        <f t="shared" si="1"/>
        <v>0</v>
      </c>
    </row>
    <row r="43" spans="1:5" ht="15" customHeight="1">
      <c r="A43" s="21" t="s">
        <v>55</v>
      </c>
      <c r="B43" s="36">
        <f>SUM(B44:B47)</f>
        <v>303648.4</v>
      </c>
      <c r="C43" s="36">
        <f>SUM(C44:C47)</f>
        <v>303648.4</v>
      </c>
      <c r="D43" s="40">
        <f t="shared" si="0"/>
        <v>100</v>
      </c>
      <c r="E43" s="41">
        <f t="shared" si="1"/>
        <v>0</v>
      </c>
    </row>
    <row r="44" spans="1:5" ht="31.5" customHeight="1">
      <c r="A44" s="21" t="s">
        <v>179</v>
      </c>
      <c r="B44" s="36">
        <v>62948.4</v>
      </c>
      <c r="C44" s="36">
        <v>62948.4</v>
      </c>
      <c r="D44" s="36">
        <f t="shared" si="0"/>
        <v>100</v>
      </c>
      <c r="E44" s="41">
        <f t="shared" si="1"/>
        <v>0</v>
      </c>
    </row>
    <row r="45" spans="1:5" ht="15" customHeight="1">
      <c r="A45" s="21" t="s">
        <v>298</v>
      </c>
      <c r="B45" s="36">
        <v>0</v>
      </c>
      <c r="C45" s="36">
        <v>0</v>
      </c>
      <c r="D45" s="36" t="str">
        <f t="shared" si="0"/>
        <v>   </v>
      </c>
      <c r="E45" s="41">
        <f t="shared" si="1"/>
        <v>0</v>
      </c>
    </row>
    <row r="46" spans="1:5" ht="15" customHeight="1">
      <c r="A46" s="21" t="s">
        <v>269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104</v>
      </c>
      <c r="B47" s="36">
        <v>240700</v>
      </c>
      <c r="C47" s="107">
        <v>240700</v>
      </c>
      <c r="D47" s="36">
        <f t="shared" si="0"/>
        <v>100</v>
      </c>
      <c r="E47" s="41">
        <f t="shared" si="1"/>
        <v>0</v>
      </c>
    </row>
    <row r="48" spans="1:5" s="6" customFormat="1" ht="18" customHeight="1">
      <c r="A48" s="21" t="s">
        <v>189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4246611.8</v>
      </c>
      <c r="C49" s="116">
        <f>SUM(C32:C33,)</f>
        <v>4330572.96</v>
      </c>
      <c r="D49" s="46">
        <f t="shared" si="0"/>
        <v>101.97713292276916</v>
      </c>
      <c r="E49" s="47">
        <f t="shared" si="1"/>
        <v>83961.16000000015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1705745.49</v>
      </c>
      <c r="C51" s="93">
        <f>SUM(C52,C55:C56)</f>
        <v>1634518.44</v>
      </c>
      <c r="D51" s="94">
        <f t="shared" si="0"/>
        <v>95.82428618937753</v>
      </c>
      <c r="E51" s="95">
        <f t="shared" si="1"/>
        <v>-71227.05000000005</v>
      </c>
    </row>
    <row r="52" spans="1:5" ht="15.75" customHeight="1">
      <c r="A52" s="68" t="s">
        <v>36</v>
      </c>
      <c r="B52" s="96">
        <v>1607559.49</v>
      </c>
      <c r="C52" s="96">
        <v>1536332.44</v>
      </c>
      <c r="D52" s="97">
        <f t="shared" si="0"/>
        <v>95.56924328815974</v>
      </c>
      <c r="E52" s="98">
        <f t="shared" si="1"/>
        <v>-71227.05000000005</v>
      </c>
    </row>
    <row r="53" spans="1:5" ht="14.25" customHeight="1">
      <c r="A53" s="21" t="s">
        <v>115</v>
      </c>
      <c r="B53" s="36">
        <v>965247.57</v>
      </c>
      <c r="C53" s="99">
        <v>965247.53</v>
      </c>
      <c r="D53" s="40">
        <f t="shared" si="0"/>
        <v>99.99999585598543</v>
      </c>
      <c r="E53" s="41">
        <f t="shared" si="1"/>
        <v>-0.03999999992083758</v>
      </c>
    </row>
    <row r="54" spans="1:5" ht="14.25" customHeight="1">
      <c r="A54" s="21" t="s">
        <v>333</v>
      </c>
      <c r="B54" s="36">
        <v>57600</v>
      </c>
      <c r="C54" s="99">
        <v>57600</v>
      </c>
      <c r="D54" s="40">
        <f>IF(B54=0,"   ",C54/B54*100)</f>
        <v>100</v>
      </c>
      <c r="E54" s="41">
        <f>C54-B54</f>
        <v>0</v>
      </c>
    </row>
    <row r="55" spans="1:5" ht="12.75" customHeight="1">
      <c r="A55" s="21" t="s">
        <v>91</v>
      </c>
      <c r="B55" s="36">
        <v>0</v>
      </c>
      <c r="C55" s="107">
        <v>0</v>
      </c>
      <c r="D55" s="40" t="str">
        <f t="shared" si="0"/>
        <v>   </v>
      </c>
      <c r="E55" s="41">
        <f t="shared" si="1"/>
        <v>0</v>
      </c>
    </row>
    <row r="56" spans="1:5" ht="12.75" customHeight="1">
      <c r="A56" s="21" t="s">
        <v>52</v>
      </c>
      <c r="B56" s="36">
        <f>B58+B57</f>
        <v>98186</v>
      </c>
      <c r="C56" s="36">
        <f>C58+C57</f>
        <v>98186</v>
      </c>
      <c r="D56" s="40">
        <f t="shared" si="0"/>
        <v>100</v>
      </c>
      <c r="E56" s="41">
        <f t="shared" si="1"/>
        <v>0</v>
      </c>
    </row>
    <row r="57" spans="1:5" ht="30.75" customHeight="1">
      <c r="A57" s="17" t="s">
        <v>232</v>
      </c>
      <c r="B57" s="36">
        <v>3500</v>
      </c>
      <c r="C57" s="107">
        <v>3500</v>
      </c>
      <c r="D57" s="40">
        <f t="shared" si="0"/>
        <v>100</v>
      </c>
      <c r="E57" s="41">
        <f t="shared" si="1"/>
        <v>0</v>
      </c>
    </row>
    <row r="58" spans="1:5" ht="24" customHeight="1" thickBot="1">
      <c r="A58" s="17" t="s">
        <v>225</v>
      </c>
      <c r="B58" s="36">
        <v>94686</v>
      </c>
      <c r="C58" s="107">
        <v>94686</v>
      </c>
      <c r="D58" s="40">
        <f>IF(B58=0,"   ",C58/B58*100)</f>
        <v>100</v>
      </c>
      <c r="E58" s="41">
        <f>C58-B58</f>
        <v>0</v>
      </c>
    </row>
    <row r="59" spans="1:5" ht="14.25" customHeight="1" thickBot="1">
      <c r="A59" s="92" t="s">
        <v>49</v>
      </c>
      <c r="B59" s="146">
        <f>SUM(B60)</f>
        <v>103700</v>
      </c>
      <c r="C59" s="146">
        <f>SUM(C60)</f>
        <v>103700</v>
      </c>
      <c r="D59" s="94">
        <f t="shared" si="0"/>
        <v>100</v>
      </c>
      <c r="E59" s="95">
        <f t="shared" si="1"/>
        <v>0</v>
      </c>
    </row>
    <row r="60" spans="1:5" ht="22.5" customHeight="1" thickBot="1">
      <c r="A60" s="60" t="s">
        <v>102</v>
      </c>
      <c r="B60" s="100">
        <v>103700</v>
      </c>
      <c r="C60" s="101">
        <v>103700</v>
      </c>
      <c r="D60" s="94">
        <f t="shared" si="0"/>
        <v>100</v>
      </c>
      <c r="E60" s="104">
        <f t="shared" si="1"/>
        <v>0</v>
      </c>
    </row>
    <row r="61" spans="1:5" ht="17.25" customHeight="1" thickBot="1">
      <c r="A61" s="92" t="s">
        <v>37</v>
      </c>
      <c r="B61" s="93">
        <f>SUM(B62)</f>
        <v>1000</v>
      </c>
      <c r="C61" s="93">
        <f>SUM(C62)</f>
        <v>1000</v>
      </c>
      <c r="D61" s="94">
        <f t="shared" si="0"/>
        <v>100</v>
      </c>
      <c r="E61" s="95">
        <f t="shared" si="1"/>
        <v>0</v>
      </c>
    </row>
    <row r="62" spans="1:5" ht="30" customHeight="1">
      <c r="A62" s="60" t="s">
        <v>324</v>
      </c>
      <c r="B62" s="96">
        <v>1000</v>
      </c>
      <c r="C62" s="114">
        <v>1000</v>
      </c>
      <c r="D62" s="97">
        <f t="shared" si="0"/>
        <v>100</v>
      </c>
      <c r="E62" s="98">
        <f t="shared" si="1"/>
        <v>0</v>
      </c>
    </row>
    <row r="63" spans="1:5" ht="18.75" customHeight="1" thickBot="1">
      <c r="A63" s="62" t="s">
        <v>38</v>
      </c>
      <c r="B63" s="108">
        <f>B69+B64+B77</f>
        <v>1286339.49</v>
      </c>
      <c r="C63" s="108">
        <f>C69+C64+C77</f>
        <v>1246239.49</v>
      </c>
      <c r="D63" s="90">
        <f t="shared" si="0"/>
        <v>96.88262699608173</v>
      </c>
      <c r="E63" s="91">
        <f t="shared" si="1"/>
        <v>-40100</v>
      </c>
    </row>
    <row r="64" spans="1:5" ht="18.75" customHeight="1" thickBot="1">
      <c r="A64" s="60" t="s">
        <v>157</v>
      </c>
      <c r="B64" s="109">
        <f>SUM(B65:B68)</f>
        <v>0</v>
      </c>
      <c r="C64" s="93">
        <f>SUM(C65:C68)</f>
        <v>0</v>
      </c>
      <c r="D64" s="90" t="str">
        <f>IF(B64=0,"   ",C64/B64*100)</f>
        <v>   </v>
      </c>
      <c r="E64" s="91">
        <f>C64-B64</f>
        <v>0</v>
      </c>
    </row>
    <row r="65" spans="1:5" ht="18.75" customHeight="1">
      <c r="A65" s="62" t="s">
        <v>158</v>
      </c>
      <c r="B65" s="36">
        <v>0</v>
      </c>
      <c r="C65" s="108">
        <v>0</v>
      </c>
      <c r="D65" s="90" t="str">
        <f>IF(B65=0,"   ",C65/B65*100)</f>
        <v>   </v>
      </c>
      <c r="E65" s="91">
        <f>C65-B65</f>
        <v>0</v>
      </c>
    </row>
    <row r="66" spans="1:5" ht="18.75" customHeight="1">
      <c r="A66" s="62" t="s">
        <v>180</v>
      </c>
      <c r="B66" s="36">
        <v>0</v>
      </c>
      <c r="C66" s="108">
        <v>0</v>
      </c>
      <c r="D66" s="90" t="str">
        <f>IF(B66=0,"   ",C66/B66*100)</f>
        <v>   </v>
      </c>
      <c r="E66" s="91">
        <f>C66-B66</f>
        <v>0</v>
      </c>
    </row>
    <row r="67" spans="1:5" ht="18.75" customHeight="1">
      <c r="A67" s="62" t="s">
        <v>299</v>
      </c>
      <c r="B67" s="36">
        <v>0</v>
      </c>
      <c r="C67" s="108">
        <v>0</v>
      </c>
      <c r="D67" s="90" t="str">
        <f>IF(B67=0,"   ",C67/B67*100)</f>
        <v>   </v>
      </c>
      <c r="E67" s="91">
        <f>C67-B67</f>
        <v>0</v>
      </c>
    </row>
    <row r="68" spans="1:5" ht="18.75" customHeight="1">
      <c r="A68" s="62" t="s">
        <v>300</v>
      </c>
      <c r="B68" s="36">
        <v>0</v>
      </c>
      <c r="C68" s="108">
        <v>0</v>
      </c>
      <c r="D68" s="90" t="str">
        <f>IF(B68=0,"   ",C68/B68*100)</f>
        <v>   </v>
      </c>
      <c r="E68" s="91">
        <f>C68-B68</f>
        <v>0</v>
      </c>
    </row>
    <row r="69" spans="1:5" ht="15" customHeight="1">
      <c r="A69" s="62" t="s">
        <v>124</v>
      </c>
      <c r="B69" s="36">
        <f>SUM(B70:B76)</f>
        <v>1002390.53</v>
      </c>
      <c r="C69" s="36">
        <f>SUM(C70:C76)</f>
        <v>962290.53</v>
      </c>
      <c r="D69" s="90">
        <f t="shared" si="0"/>
        <v>95.99956316426892</v>
      </c>
      <c r="E69" s="91">
        <f t="shared" si="1"/>
        <v>-40100</v>
      </c>
    </row>
    <row r="70" spans="1:5" ht="18.75" customHeight="1">
      <c r="A70" s="60" t="s">
        <v>141</v>
      </c>
      <c r="B70" s="36">
        <v>0</v>
      </c>
      <c r="C70" s="36">
        <v>0</v>
      </c>
      <c r="D70" s="90" t="str">
        <f t="shared" si="0"/>
        <v>   </v>
      </c>
      <c r="E70" s="91">
        <f t="shared" si="1"/>
        <v>0</v>
      </c>
    </row>
    <row r="71" spans="1:5" ht="30.75" customHeight="1">
      <c r="A71" s="17" t="s">
        <v>237</v>
      </c>
      <c r="B71" s="36">
        <v>324390.53</v>
      </c>
      <c r="C71" s="36">
        <v>324390.53</v>
      </c>
      <c r="D71" s="90">
        <f>IF(B71=0,"   ",C71/B71*100)</f>
        <v>100</v>
      </c>
      <c r="E71" s="91">
        <f>C71-B71</f>
        <v>0</v>
      </c>
    </row>
    <row r="72" spans="1:5" ht="30" customHeight="1">
      <c r="A72" s="17" t="s">
        <v>238</v>
      </c>
      <c r="B72" s="36">
        <v>40100</v>
      </c>
      <c r="C72" s="36">
        <v>0</v>
      </c>
      <c r="D72" s="90">
        <f t="shared" si="0"/>
        <v>0</v>
      </c>
      <c r="E72" s="91">
        <f t="shared" si="1"/>
        <v>-40100</v>
      </c>
    </row>
    <row r="73" spans="1:5" ht="30" customHeight="1">
      <c r="A73" s="17" t="s">
        <v>239</v>
      </c>
      <c r="B73" s="36">
        <v>333300</v>
      </c>
      <c r="C73" s="36">
        <v>333300</v>
      </c>
      <c r="D73" s="90">
        <f t="shared" si="0"/>
        <v>100</v>
      </c>
      <c r="E73" s="91">
        <f t="shared" si="1"/>
        <v>0</v>
      </c>
    </row>
    <row r="74" spans="1:5" ht="30" customHeight="1">
      <c r="A74" s="17" t="s">
        <v>240</v>
      </c>
      <c r="B74" s="36">
        <v>37100</v>
      </c>
      <c r="C74" s="36">
        <v>37100</v>
      </c>
      <c r="D74" s="90">
        <f t="shared" si="0"/>
        <v>100</v>
      </c>
      <c r="E74" s="91">
        <f t="shared" si="1"/>
        <v>0</v>
      </c>
    </row>
    <row r="75" spans="1:5" ht="30" customHeight="1">
      <c r="A75" s="17" t="s">
        <v>241</v>
      </c>
      <c r="B75" s="36">
        <v>240700</v>
      </c>
      <c r="C75" s="36">
        <v>240700</v>
      </c>
      <c r="D75" s="90">
        <f t="shared" si="0"/>
        <v>100</v>
      </c>
      <c r="E75" s="91">
        <f t="shared" si="1"/>
        <v>0</v>
      </c>
    </row>
    <row r="76" spans="1:5" ht="30" customHeight="1" thickBot="1">
      <c r="A76" s="17" t="s">
        <v>242</v>
      </c>
      <c r="B76" s="36">
        <v>26800</v>
      </c>
      <c r="C76" s="36">
        <v>26800</v>
      </c>
      <c r="D76" s="90">
        <f t="shared" si="0"/>
        <v>100</v>
      </c>
      <c r="E76" s="91">
        <f t="shared" si="1"/>
        <v>0</v>
      </c>
    </row>
    <row r="77" spans="1:5" ht="18" customHeight="1">
      <c r="A77" s="60" t="s">
        <v>168</v>
      </c>
      <c r="B77" s="109">
        <f>SUM(B78)</f>
        <v>283948.96</v>
      </c>
      <c r="C77" s="109">
        <f>SUM(C78)</f>
        <v>283948.96</v>
      </c>
      <c r="D77" s="90">
        <f>IF(B77=0,"   ",C77/B77*100)</f>
        <v>100</v>
      </c>
      <c r="E77" s="91">
        <f>C77-B77</f>
        <v>0</v>
      </c>
    </row>
    <row r="78" spans="1:5" ht="31.5" customHeight="1">
      <c r="A78" s="62" t="s">
        <v>169</v>
      </c>
      <c r="B78" s="36">
        <v>283948.96</v>
      </c>
      <c r="C78" s="36">
        <v>283948.96</v>
      </c>
      <c r="D78" s="40">
        <f>IF(B78=0,"   ",C78/B78*100)</f>
        <v>100</v>
      </c>
      <c r="E78" s="107">
        <f>C78-B78</f>
        <v>0</v>
      </c>
    </row>
    <row r="79" spans="1:5" ht="20.25" customHeight="1">
      <c r="A79" s="62" t="s">
        <v>13</v>
      </c>
      <c r="B79" s="36">
        <f>SUM(B85,B80+B94)</f>
        <v>566528.8</v>
      </c>
      <c r="C79" s="36">
        <f>SUM(C85,C80+C94)</f>
        <v>566528.8</v>
      </c>
      <c r="D79" s="40">
        <f t="shared" si="0"/>
        <v>100</v>
      </c>
      <c r="E79" s="107">
        <f t="shared" si="1"/>
        <v>0</v>
      </c>
    </row>
    <row r="80" spans="1:5" ht="15" customHeight="1" thickBot="1">
      <c r="A80" s="68" t="s">
        <v>142</v>
      </c>
      <c r="B80" s="106">
        <f>SUM(B81+B82+B83+B84)</f>
        <v>341514.8</v>
      </c>
      <c r="C80" s="106">
        <f>SUM(C81+C82+C83+C84)</f>
        <v>341514.8</v>
      </c>
      <c r="D80" s="40">
        <f>IF(B80=0,"   ",C80/B80*100)</f>
        <v>100</v>
      </c>
      <c r="E80" s="107">
        <f>C80-B80</f>
        <v>0</v>
      </c>
    </row>
    <row r="81" spans="1:5" ht="15" customHeight="1">
      <c r="A81" s="21" t="s">
        <v>272</v>
      </c>
      <c r="B81" s="36">
        <v>0</v>
      </c>
      <c r="C81" s="36">
        <v>0</v>
      </c>
      <c r="D81" s="40" t="str">
        <f>IF(B81=0,"   ",C81/B81*100)</f>
        <v>   </v>
      </c>
      <c r="E81" s="107">
        <f>C81-B81</f>
        <v>0</v>
      </c>
    </row>
    <row r="82" spans="1:5" ht="15" customHeight="1">
      <c r="A82" s="21" t="s">
        <v>275</v>
      </c>
      <c r="B82" s="36">
        <v>0</v>
      </c>
      <c r="C82" s="36">
        <v>0</v>
      </c>
      <c r="D82" s="40" t="str">
        <f>IF(B82=0,"   ",C82/B82*100)</f>
        <v>   </v>
      </c>
      <c r="E82" s="107">
        <f>C82-B82</f>
        <v>0</v>
      </c>
    </row>
    <row r="83" spans="1:5" ht="15" customHeight="1">
      <c r="A83" s="21" t="s">
        <v>325</v>
      </c>
      <c r="B83" s="36">
        <v>321514.8</v>
      </c>
      <c r="C83" s="36">
        <v>321514.8</v>
      </c>
      <c r="D83" s="40">
        <f>IF(B83=0,"   ",C83/B83*100)</f>
        <v>100</v>
      </c>
      <c r="E83" s="147">
        <f>C83-B83</f>
        <v>0</v>
      </c>
    </row>
    <row r="84" spans="1:5" ht="15" customHeight="1">
      <c r="A84" s="38" t="s">
        <v>265</v>
      </c>
      <c r="B84" s="36">
        <v>20000</v>
      </c>
      <c r="C84" s="36">
        <v>20000</v>
      </c>
      <c r="D84" s="40">
        <f>IF(B84=0,"   ",C84/B84*100)</f>
        <v>100</v>
      </c>
      <c r="E84" s="147">
        <f>C84-B84</f>
        <v>0</v>
      </c>
    </row>
    <row r="85" spans="1:5" ht="15" customHeight="1">
      <c r="A85" s="21" t="s">
        <v>58</v>
      </c>
      <c r="B85" s="36">
        <f>B86+B87+B88+B89+B93</f>
        <v>224914</v>
      </c>
      <c r="C85" s="36">
        <f>C86+C87+C88+C89+C93</f>
        <v>224914</v>
      </c>
      <c r="D85" s="40">
        <f t="shared" si="0"/>
        <v>100</v>
      </c>
      <c r="E85" s="41">
        <f t="shared" si="1"/>
        <v>0</v>
      </c>
    </row>
    <row r="86" spans="1:5" ht="15" customHeight="1">
      <c r="A86" s="21" t="s">
        <v>60</v>
      </c>
      <c r="B86" s="36">
        <v>120000</v>
      </c>
      <c r="C86" s="107">
        <v>120000</v>
      </c>
      <c r="D86" s="40">
        <f t="shared" si="0"/>
        <v>100</v>
      </c>
      <c r="E86" s="41">
        <f t="shared" si="1"/>
        <v>0</v>
      </c>
    </row>
    <row r="87" spans="1:5" ht="15" customHeight="1">
      <c r="A87" s="17" t="s">
        <v>59</v>
      </c>
      <c r="B87" s="108">
        <v>0</v>
      </c>
      <c r="C87" s="139">
        <v>0</v>
      </c>
      <c r="D87" s="90" t="str">
        <f t="shared" si="0"/>
        <v>   </v>
      </c>
      <c r="E87" s="91">
        <f t="shared" si="1"/>
        <v>0</v>
      </c>
    </row>
    <row r="88" spans="1:5" ht="29.25" customHeight="1">
      <c r="A88" s="17" t="s">
        <v>159</v>
      </c>
      <c r="B88" s="36">
        <v>0</v>
      </c>
      <c r="C88" s="107">
        <v>0</v>
      </c>
      <c r="D88" s="40" t="str">
        <f t="shared" si="0"/>
        <v>   </v>
      </c>
      <c r="E88" s="107">
        <f t="shared" si="1"/>
        <v>0</v>
      </c>
    </row>
    <row r="89" spans="1:5" ht="21.75" customHeight="1">
      <c r="A89" s="17" t="s">
        <v>196</v>
      </c>
      <c r="B89" s="36">
        <f>SUM(B90+B91+B92)</f>
        <v>104914</v>
      </c>
      <c r="C89" s="36">
        <f>SUM(C90+C91+C92)</f>
        <v>104914</v>
      </c>
      <c r="D89" s="40">
        <f>IF(B89=0,"   ",C89/B89*100)</f>
        <v>100</v>
      </c>
      <c r="E89" s="107">
        <f>C89-B89</f>
        <v>0</v>
      </c>
    </row>
    <row r="90" spans="1:5" ht="29.25" customHeight="1">
      <c r="A90" s="17" t="s">
        <v>178</v>
      </c>
      <c r="B90" s="36">
        <v>62948.4</v>
      </c>
      <c r="C90" s="107">
        <v>62948.4</v>
      </c>
      <c r="D90" s="40">
        <f>IF(B90=0,"   ",C90/B90*100)</f>
        <v>100</v>
      </c>
      <c r="E90" s="107">
        <f>C90-B90</f>
        <v>0</v>
      </c>
    </row>
    <row r="91" spans="1:5" ht="29.25" customHeight="1">
      <c r="A91" s="17" t="s">
        <v>181</v>
      </c>
      <c r="B91" s="36">
        <v>31474.2</v>
      </c>
      <c r="C91" s="107">
        <v>31474.2</v>
      </c>
      <c r="D91" s="40">
        <f>IF(B91=0,"   ",C91/B91*100)</f>
        <v>100</v>
      </c>
      <c r="E91" s="107">
        <f>C91-B91</f>
        <v>0</v>
      </c>
    </row>
    <row r="92" spans="1:5" ht="29.25" customHeight="1">
      <c r="A92" s="17" t="s">
        <v>182</v>
      </c>
      <c r="B92" s="36">
        <v>10491.4</v>
      </c>
      <c r="C92" s="107">
        <v>10491.4</v>
      </c>
      <c r="D92" s="40">
        <f>IF(B92=0,"   ",C92/B92*100)</f>
        <v>100</v>
      </c>
      <c r="E92" s="107">
        <f>C92-B92</f>
        <v>0</v>
      </c>
    </row>
    <row r="93" spans="1:5" ht="28.5" customHeight="1" thickBot="1">
      <c r="A93" s="17" t="s">
        <v>273</v>
      </c>
      <c r="B93" s="108">
        <v>0</v>
      </c>
      <c r="C93" s="139">
        <v>0</v>
      </c>
      <c r="D93" s="90" t="str">
        <f t="shared" si="0"/>
        <v>   </v>
      </c>
      <c r="E93" s="139">
        <f t="shared" si="1"/>
        <v>0</v>
      </c>
    </row>
    <row r="94" spans="1:5" ht="21" customHeight="1" thickBot="1">
      <c r="A94" s="62" t="s">
        <v>310</v>
      </c>
      <c r="B94" s="111">
        <f>SUM(B95)</f>
        <v>100</v>
      </c>
      <c r="C94" s="111">
        <f>SUM(C95)</f>
        <v>100</v>
      </c>
      <c r="D94" s="40">
        <f t="shared" si="0"/>
        <v>100</v>
      </c>
      <c r="E94" s="107">
        <f t="shared" si="1"/>
        <v>0</v>
      </c>
    </row>
    <row r="95" spans="1:5" ht="14.25" customHeight="1">
      <c r="A95" s="62" t="s">
        <v>261</v>
      </c>
      <c r="B95" s="36">
        <v>100</v>
      </c>
      <c r="C95" s="99">
        <v>100</v>
      </c>
      <c r="D95" s="40">
        <f t="shared" si="0"/>
        <v>100</v>
      </c>
      <c r="E95" s="107">
        <f t="shared" si="1"/>
        <v>0</v>
      </c>
    </row>
    <row r="96" spans="1:5" ht="18.75" customHeight="1" thickBot="1">
      <c r="A96" s="112" t="s">
        <v>17</v>
      </c>
      <c r="B96" s="106">
        <v>0</v>
      </c>
      <c r="C96" s="106">
        <v>0</v>
      </c>
      <c r="D96" s="110" t="str">
        <f t="shared" si="0"/>
        <v>   </v>
      </c>
      <c r="E96" s="113">
        <f t="shared" si="1"/>
        <v>0</v>
      </c>
    </row>
    <row r="97" spans="1:5" ht="19.5" customHeight="1" thickBot="1">
      <c r="A97" s="92" t="s">
        <v>41</v>
      </c>
      <c r="B97" s="111">
        <f>B98</f>
        <v>725623.5700000001</v>
      </c>
      <c r="C97" s="111">
        <f>C98</f>
        <v>705416.97</v>
      </c>
      <c r="D97" s="94">
        <f t="shared" si="0"/>
        <v>97.21527788850628</v>
      </c>
      <c r="E97" s="95">
        <f t="shared" si="1"/>
        <v>-20206.600000000093</v>
      </c>
    </row>
    <row r="98" spans="1:5" ht="13.5">
      <c r="A98" s="68" t="s">
        <v>42</v>
      </c>
      <c r="B98" s="96">
        <f>SUM(B99:B101)</f>
        <v>725623.5700000001</v>
      </c>
      <c r="C98" s="96">
        <f>SUM(C99:C101)</f>
        <v>705416.97</v>
      </c>
      <c r="D98" s="97">
        <f t="shared" si="0"/>
        <v>97.21527788850628</v>
      </c>
      <c r="E98" s="98">
        <f t="shared" si="1"/>
        <v>-20206.600000000093</v>
      </c>
    </row>
    <row r="99" spans="1:5" ht="13.5">
      <c r="A99" s="21" t="s">
        <v>135</v>
      </c>
      <c r="B99" s="96">
        <v>463900</v>
      </c>
      <c r="C99" s="114">
        <v>463900</v>
      </c>
      <c r="D99" s="97">
        <f t="shared" si="0"/>
        <v>100</v>
      </c>
      <c r="E99" s="98">
        <f t="shared" si="1"/>
        <v>0</v>
      </c>
    </row>
    <row r="100" spans="1:5" ht="13.5">
      <c r="A100" s="21" t="s">
        <v>214</v>
      </c>
      <c r="B100" s="96">
        <v>0</v>
      </c>
      <c r="C100" s="114">
        <v>0</v>
      </c>
      <c r="D100" s="97" t="str">
        <f t="shared" si="0"/>
        <v>   </v>
      </c>
      <c r="E100" s="98">
        <f t="shared" si="1"/>
        <v>0</v>
      </c>
    </row>
    <row r="101" spans="1:5" ht="13.5">
      <c r="A101" s="68" t="s">
        <v>194</v>
      </c>
      <c r="B101" s="96">
        <v>261723.57</v>
      </c>
      <c r="C101" s="114">
        <v>241516.97</v>
      </c>
      <c r="D101" s="97">
        <f t="shared" si="0"/>
        <v>92.27941144162139</v>
      </c>
      <c r="E101" s="98">
        <f t="shared" si="1"/>
        <v>-20206.600000000006</v>
      </c>
    </row>
    <row r="102" spans="1:5" ht="18.75" customHeight="1">
      <c r="A102" s="21" t="s">
        <v>119</v>
      </c>
      <c r="B102" s="36">
        <f>SUM(B103,)</f>
        <v>0</v>
      </c>
      <c r="C102" s="36">
        <f>SUM(C103,)</f>
        <v>0</v>
      </c>
      <c r="D102" s="40" t="str">
        <f t="shared" si="0"/>
        <v>   </v>
      </c>
      <c r="E102" s="41">
        <f t="shared" si="1"/>
        <v>0</v>
      </c>
    </row>
    <row r="103" spans="1:5" ht="14.25" customHeight="1">
      <c r="A103" s="17" t="s">
        <v>43</v>
      </c>
      <c r="B103" s="108">
        <v>0</v>
      </c>
      <c r="C103" s="142">
        <v>0</v>
      </c>
      <c r="D103" s="90" t="str">
        <f t="shared" si="0"/>
        <v>   </v>
      </c>
      <c r="E103" s="91">
        <f t="shared" si="1"/>
        <v>0</v>
      </c>
    </row>
    <row r="104" spans="1:5" ht="22.5" customHeight="1">
      <c r="A104" s="44" t="s">
        <v>15</v>
      </c>
      <c r="B104" s="116">
        <f>SUM(B51,B59,B61,B63,B79,B96,B97,B102,)</f>
        <v>4388937.350000001</v>
      </c>
      <c r="C104" s="116">
        <f>SUM(C51,C59,C61,C63,C79,C96,C97,C102,)</f>
        <v>4257403.699999999</v>
      </c>
      <c r="D104" s="46">
        <f>IF(B104=0,"   ",C104/B104*100)</f>
        <v>97.00306385097976</v>
      </c>
      <c r="E104" s="47">
        <f t="shared" si="1"/>
        <v>-131533.6500000013</v>
      </c>
    </row>
    <row r="105" spans="1:5" ht="42.75" customHeight="1">
      <c r="A105" s="71" t="s">
        <v>290</v>
      </c>
      <c r="B105" s="71"/>
      <c r="C105" s="165"/>
      <c r="D105" s="165"/>
      <c r="E105" s="165"/>
    </row>
    <row r="106" spans="1:5" ht="18" customHeight="1">
      <c r="A106" s="71" t="s">
        <v>146</v>
      </c>
      <c r="B106" s="71"/>
      <c r="C106" s="72" t="s">
        <v>291</v>
      </c>
      <c r="D106" s="73"/>
      <c r="E106" s="74"/>
    </row>
    <row r="107" spans="1:5" s="13" customFormat="1" ht="23.25" customHeight="1">
      <c r="A107" s="71"/>
      <c r="B107" s="71"/>
      <c r="C107" s="117"/>
      <c r="D107" s="71"/>
      <c r="E107" s="118"/>
    </row>
    <row r="108" spans="1:5" s="13" customFormat="1" ht="12" customHeight="1">
      <c r="A108" s="71"/>
      <c r="B108" s="71"/>
      <c r="C108" s="117"/>
      <c r="D108" s="71"/>
      <c r="E108" s="118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3.5">
      <c r="A111" s="22"/>
      <c r="B111" s="22"/>
      <c r="C111" s="22"/>
      <c r="D111" s="22"/>
      <c r="E111" s="22"/>
    </row>
    <row r="112" spans="1:5" ht="13.5">
      <c r="A112" s="122"/>
      <c r="B112" s="122"/>
      <c r="C112" s="122"/>
      <c r="D112" s="122"/>
      <c r="E112" s="122"/>
    </row>
    <row r="113" spans="1:5" ht="13.5">
      <c r="A113" s="122"/>
      <c r="B113" s="122"/>
      <c r="C113" s="122"/>
      <c r="D113" s="122"/>
      <c r="E113" s="122"/>
    </row>
    <row r="114" spans="1:5" ht="13.5">
      <c r="A114" s="122"/>
      <c r="B114" s="122"/>
      <c r="C114" s="122"/>
      <c r="D114" s="122"/>
      <c r="E114" s="1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</sheetData>
  <sheetProtection/>
  <mergeCells count="2">
    <mergeCell ref="A1:E1"/>
    <mergeCell ref="C105:E105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zoomScalePageLayoutView="0" workbookViewId="0" topLeftCell="A37">
      <selection activeCell="C30" sqref="C30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6" t="s">
        <v>345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292</v>
      </c>
      <c r="C4" s="26" t="s">
        <v>341</v>
      </c>
      <c r="D4" s="25" t="s">
        <v>293</v>
      </c>
      <c r="E4" s="27" t="s">
        <v>294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49900</v>
      </c>
      <c r="C7" s="79">
        <f>SUM(C8)</f>
        <v>43599.55</v>
      </c>
      <c r="D7" s="40">
        <f aca="true" t="shared" si="0" ref="D7:D100">IF(B7=0,"   ",C7/B7*100)</f>
        <v>87.37384769539078</v>
      </c>
      <c r="E7" s="41">
        <f aca="true" t="shared" si="1" ref="E7:E102">C7-B7</f>
        <v>-6300.449999999997</v>
      </c>
    </row>
    <row r="8" spans="1:5" ht="12.75" customHeight="1">
      <c r="A8" s="21" t="s">
        <v>44</v>
      </c>
      <c r="B8" s="80">
        <v>49900</v>
      </c>
      <c r="C8" s="81">
        <v>43599.55</v>
      </c>
      <c r="D8" s="40">
        <f t="shared" si="0"/>
        <v>87.37384769539078</v>
      </c>
      <c r="E8" s="41">
        <f t="shared" si="1"/>
        <v>-6300.449999999997</v>
      </c>
    </row>
    <row r="9" spans="1:5" ht="12.75" customHeight="1">
      <c r="A9" s="38" t="s">
        <v>129</v>
      </c>
      <c r="B9" s="79">
        <f>SUM(B10)</f>
        <v>741400</v>
      </c>
      <c r="C9" s="79">
        <f>SUM(C10)</f>
        <v>791692.71</v>
      </c>
      <c r="D9" s="40">
        <f t="shared" si="0"/>
        <v>106.78347855408686</v>
      </c>
      <c r="E9" s="41">
        <f t="shared" si="1"/>
        <v>50292.70999999996</v>
      </c>
    </row>
    <row r="10" spans="1:5" ht="12.75" customHeight="1">
      <c r="A10" s="21" t="s">
        <v>130</v>
      </c>
      <c r="B10" s="80">
        <v>741400</v>
      </c>
      <c r="C10" s="81">
        <v>791692.71</v>
      </c>
      <c r="D10" s="40">
        <f t="shared" si="0"/>
        <v>106.78347855408686</v>
      </c>
      <c r="E10" s="41">
        <f t="shared" si="1"/>
        <v>50292.70999999996</v>
      </c>
    </row>
    <row r="11" spans="1:5" ht="16.5" customHeight="1">
      <c r="A11" s="21" t="s">
        <v>7</v>
      </c>
      <c r="B11" s="80">
        <f>SUM(B12:B12)</f>
        <v>24700</v>
      </c>
      <c r="C11" s="80">
        <f>SUM(C12:C12)</f>
        <v>24715.59</v>
      </c>
      <c r="D11" s="40">
        <f t="shared" si="0"/>
        <v>100.06311740890688</v>
      </c>
      <c r="E11" s="41">
        <f t="shared" si="1"/>
        <v>15.590000000000146</v>
      </c>
    </row>
    <row r="12" spans="1:5" ht="16.5" customHeight="1">
      <c r="A12" s="21" t="s">
        <v>26</v>
      </c>
      <c r="B12" s="80">
        <v>24700</v>
      </c>
      <c r="C12" s="81">
        <v>24715.59</v>
      </c>
      <c r="D12" s="40">
        <f t="shared" si="0"/>
        <v>100.06311740890688</v>
      </c>
      <c r="E12" s="41">
        <f t="shared" si="1"/>
        <v>15.590000000000146</v>
      </c>
    </row>
    <row r="13" spans="1:5" ht="15.75" customHeight="1">
      <c r="A13" s="21" t="s">
        <v>9</v>
      </c>
      <c r="B13" s="80">
        <f>SUM(B14:B15)</f>
        <v>479000</v>
      </c>
      <c r="C13" s="80">
        <f>SUM(C14:C15)</f>
        <v>466605.75</v>
      </c>
      <c r="D13" s="40">
        <f t="shared" si="0"/>
        <v>97.4124739039666</v>
      </c>
      <c r="E13" s="41">
        <f t="shared" si="1"/>
        <v>-12394.25</v>
      </c>
    </row>
    <row r="14" spans="1:5" ht="15.75" customHeight="1">
      <c r="A14" s="21" t="s">
        <v>27</v>
      </c>
      <c r="B14" s="80">
        <v>275000</v>
      </c>
      <c r="C14" s="81">
        <v>266680.85</v>
      </c>
      <c r="D14" s="40">
        <f t="shared" si="0"/>
        <v>96.97485454545453</v>
      </c>
      <c r="E14" s="41">
        <f t="shared" si="1"/>
        <v>-8319.150000000023</v>
      </c>
    </row>
    <row r="15" spans="1:5" ht="14.25" customHeight="1">
      <c r="A15" s="21" t="s">
        <v>152</v>
      </c>
      <c r="B15" s="80">
        <f>SUM(B16:B17)</f>
        <v>204000</v>
      </c>
      <c r="C15" s="80">
        <f>SUM(C16:C17)</f>
        <v>199924.9</v>
      </c>
      <c r="D15" s="40">
        <f t="shared" si="0"/>
        <v>98.00240196078431</v>
      </c>
      <c r="E15" s="41">
        <f t="shared" si="1"/>
        <v>-4075.100000000006</v>
      </c>
    </row>
    <row r="16" spans="1:5" ht="14.25" customHeight="1">
      <c r="A16" s="21" t="s">
        <v>153</v>
      </c>
      <c r="B16" s="80">
        <v>63200</v>
      </c>
      <c r="C16" s="81">
        <v>29753.57</v>
      </c>
      <c r="D16" s="40">
        <f t="shared" si="0"/>
        <v>47.0784335443038</v>
      </c>
      <c r="E16" s="41">
        <f t="shared" si="1"/>
        <v>-33446.43</v>
      </c>
    </row>
    <row r="17" spans="1:5" ht="14.25" customHeight="1">
      <c r="A17" s="21" t="s">
        <v>154</v>
      </c>
      <c r="B17" s="80">
        <v>140800</v>
      </c>
      <c r="C17" s="81">
        <v>170171.33</v>
      </c>
      <c r="D17" s="40">
        <f t="shared" si="0"/>
        <v>120.86031960227272</v>
      </c>
      <c r="E17" s="41">
        <f t="shared" si="1"/>
        <v>29371.329999999987</v>
      </c>
    </row>
    <row r="18" spans="1:5" ht="14.25" customHeight="1">
      <c r="A18" s="21" t="s">
        <v>187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SUM(B21:B23)</f>
        <v>240600</v>
      </c>
      <c r="C20" s="36">
        <f>SUM(C21:C23)</f>
        <v>129029.70000000001</v>
      </c>
      <c r="D20" s="40">
        <f t="shared" si="0"/>
        <v>53.6283042394015</v>
      </c>
      <c r="E20" s="41">
        <f t="shared" si="1"/>
        <v>-111570.29999999999</v>
      </c>
    </row>
    <row r="21" spans="1:5" ht="13.5" customHeight="1">
      <c r="A21" s="21" t="s">
        <v>144</v>
      </c>
      <c r="B21" s="80">
        <v>140600</v>
      </c>
      <c r="C21" s="81">
        <v>41776</v>
      </c>
      <c r="D21" s="40">
        <f t="shared" si="0"/>
        <v>29.7126600284495</v>
      </c>
      <c r="E21" s="41">
        <f t="shared" si="1"/>
        <v>-98824</v>
      </c>
    </row>
    <row r="22" spans="1:5" ht="15.75" customHeight="1">
      <c r="A22" s="21" t="s">
        <v>30</v>
      </c>
      <c r="B22" s="80">
        <v>100000</v>
      </c>
      <c r="C22" s="81">
        <v>65893.46</v>
      </c>
      <c r="D22" s="40">
        <f t="shared" si="0"/>
        <v>65.89346</v>
      </c>
      <c r="E22" s="41">
        <f t="shared" si="1"/>
        <v>-34106.53999999999</v>
      </c>
    </row>
    <row r="23" spans="1:5" ht="15.75" customHeight="1">
      <c r="A23" s="21" t="s">
        <v>250</v>
      </c>
      <c r="B23" s="80">
        <v>0</v>
      </c>
      <c r="C23" s="81">
        <v>21360.24</v>
      </c>
      <c r="D23" s="40" t="str">
        <f>IF(B23=0,"   ",C23/B23*100)</f>
        <v>   </v>
      </c>
      <c r="E23" s="41">
        <f>C23-B23</f>
        <v>21360.24</v>
      </c>
    </row>
    <row r="24" spans="1:5" ht="17.25" customHeight="1">
      <c r="A24" s="21" t="s">
        <v>88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8.75" customHeight="1">
      <c r="A25" s="21" t="s">
        <v>78</v>
      </c>
      <c r="B25" s="80">
        <f>SUM(B26+B27)</f>
        <v>4045165</v>
      </c>
      <c r="C25" s="80">
        <f>SUM(C26+C27)</f>
        <v>4045166.2</v>
      </c>
      <c r="D25" s="40">
        <f t="shared" si="0"/>
        <v>100.00002966504458</v>
      </c>
      <c r="E25" s="41">
        <f t="shared" si="1"/>
        <v>1.2000000001862645</v>
      </c>
    </row>
    <row r="26" spans="1:5" ht="18.75" customHeight="1">
      <c r="A26" s="21" t="s">
        <v>127</v>
      </c>
      <c r="B26" s="80">
        <v>354589</v>
      </c>
      <c r="C26" s="149">
        <v>354614.2</v>
      </c>
      <c r="D26" s="40">
        <f>IF(B26=0,"   ",C26/B26*100)</f>
        <v>100.00710681944449</v>
      </c>
      <c r="E26" s="41">
        <f>C26-B26</f>
        <v>25.20000000001164</v>
      </c>
    </row>
    <row r="27" spans="1:5" ht="22.5" customHeight="1">
      <c r="A27" s="21" t="s">
        <v>188</v>
      </c>
      <c r="B27" s="80">
        <v>3690576</v>
      </c>
      <c r="C27" s="150">
        <v>3690552</v>
      </c>
      <c r="D27" s="40">
        <f t="shared" si="0"/>
        <v>99.99934969500696</v>
      </c>
      <c r="E27" s="41">
        <f t="shared" si="1"/>
        <v>-24</v>
      </c>
    </row>
    <row r="28" spans="1:5" ht="16.5" customHeight="1">
      <c r="A28" s="21" t="s">
        <v>32</v>
      </c>
      <c r="B28" s="80">
        <f>B29+B31+B30</f>
        <v>67916.67</v>
      </c>
      <c r="C28" s="80">
        <f>C29+C31+C30</f>
        <v>67916.7</v>
      </c>
      <c r="D28" s="40">
        <f t="shared" si="0"/>
        <v>100.00004417177696</v>
      </c>
      <c r="E28" s="41">
        <f t="shared" si="1"/>
        <v>0.029999999998835847</v>
      </c>
    </row>
    <row r="29" spans="1:5" ht="13.5" customHeight="1">
      <c r="A29" s="21" t="s">
        <v>46</v>
      </c>
      <c r="B29" s="80">
        <v>0</v>
      </c>
      <c r="C29" s="82">
        <v>0</v>
      </c>
      <c r="D29" s="40" t="str">
        <f t="shared" si="0"/>
        <v>   </v>
      </c>
      <c r="E29" s="41">
        <f t="shared" si="1"/>
        <v>0</v>
      </c>
    </row>
    <row r="30" spans="1:5" ht="13.5" customHeight="1">
      <c r="A30" s="21" t="s">
        <v>322</v>
      </c>
      <c r="B30" s="80">
        <v>67916.67</v>
      </c>
      <c r="C30" s="82">
        <v>67916.7</v>
      </c>
      <c r="D30" s="40">
        <f t="shared" si="0"/>
        <v>100.00004417177696</v>
      </c>
      <c r="E30" s="41">
        <f t="shared" si="1"/>
        <v>0.029999999998835847</v>
      </c>
    </row>
    <row r="31" spans="1:5" ht="13.5" customHeight="1">
      <c r="A31" s="21" t="s">
        <v>20</v>
      </c>
      <c r="B31" s="80">
        <v>0</v>
      </c>
      <c r="C31" s="82">
        <v>0</v>
      </c>
      <c r="D31" s="40"/>
      <c r="E31" s="41">
        <f t="shared" si="1"/>
        <v>0</v>
      </c>
    </row>
    <row r="32" spans="1:5" ht="12" customHeight="1">
      <c r="A32" s="21" t="s">
        <v>31</v>
      </c>
      <c r="B32" s="80">
        <v>0</v>
      </c>
      <c r="C32" s="80">
        <v>0</v>
      </c>
      <c r="D32" s="40" t="str">
        <f t="shared" si="0"/>
        <v>   </v>
      </c>
      <c r="E32" s="41">
        <f t="shared" si="1"/>
        <v>0</v>
      </c>
    </row>
    <row r="33" spans="1:5" ht="21" customHeight="1">
      <c r="A33" s="44" t="s">
        <v>10</v>
      </c>
      <c r="B33" s="83">
        <f>SUM(B7,B9,B11,B13,B20,B24,B25,B28,B32,B18)</f>
        <v>5648681.67</v>
      </c>
      <c r="C33" s="83">
        <f>SUM(C7,C9,C11,C13,C20,C24,C25,C28,C32,C18)</f>
        <v>5568726.2</v>
      </c>
      <c r="D33" s="46">
        <f t="shared" si="0"/>
        <v>98.5845286622427</v>
      </c>
      <c r="E33" s="47">
        <f t="shared" si="1"/>
        <v>-79955.46999999974</v>
      </c>
    </row>
    <row r="34" spans="1:5" ht="21" customHeight="1">
      <c r="A34" s="64" t="s">
        <v>132</v>
      </c>
      <c r="B34" s="84">
        <f>SUM(B35:B38,B41:B45,B49)</f>
        <v>3742269.2</v>
      </c>
      <c r="C34" s="84">
        <f>SUM(C35:C38,C41:C45,C49)</f>
        <v>3742269.2</v>
      </c>
      <c r="D34" s="46">
        <f t="shared" si="0"/>
        <v>100</v>
      </c>
      <c r="E34" s="47">
        <f t="shared" si="1"/>
        <v>0</v>
      </c>
    </row>
    <row r="35" spans="1:5" ht="18" customHeight="1">
      <c r="A35" s="38" t="s">
        <v>34</v>
      </c>
      <c r="B35" s="79">
        <v>2136800</v>
      </c>
      <c r="C35" s="81">
        <v>2136800</v>
      </c>
      <c r="D35" s="40">
        <f t="shared" si="0"/>
        <v>100</v>
      </c>
      <c r="E35" s="41">
        <f t="shared" si="1"/>
        <v>0</v>
      </c>
    </row>
    <row r="36" spans="1:5" ht="18" customHeight="1">
      <c r="A36" s="38" t="s">
        <v>218</v>
      </c>
      <c r="B36" s="79">
        <v>0</v>
      </c>
      <c r="C36" s="81">
        <v>0</v>
      </c>
      <c r="D36" s="54" t="str">
        <f>IF(B36=0,"   ",C36/B36*100)</f>
        <v>   </v>
      </c>
      <c r="E36" s="55">
        <f>C36-B36</f>
        <v>0</v>
      </c>
    </row>
    <row r="37" spans="1:5" ht="28.5" customHeight="1">
      <c r="A37" s="52" t="s">
        <v>51</v>
      </c>
      <c r="B37" s="85">
        <v>103700</v>
      </c>
      <c r="C37" s="86">
        <v>103700</v>
      </c>
      <c r="D37" s="54">
        <f t="shared" si="0"/>
        <v>100</v>
      </c>
      <c r="E37" s="55">
        <f t="shared" si="1"/>
        <v>0</v>
      </c>
    </row>
    <row r="38" spans="1:5" ht="30.75" customHeight="1">
      <c r="A38" s="52" t="s">
        <v>140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6.5" customHeight="1">
      <c r="A39" s="52" t="s">
        <v>155</v>
      </c>
      <c r="B39" s="151">
        <v>100</v>
      </c>
      <c r="C39" s="152">
        <v>100</v>
      </c>
      <c r="D39" s="54">
        <f aca="true" t="shared" si="2" ref="D39:D44">IF(B39=0,"   ",C39/B39*100)</f>
        <v>100</v>
      </c>
      <c r="E39" s="55">
        <f aca="true" t="shared" si="3" ref="E39:E44">C39-B39</f>
        <v>0</v>
      </c>
    </row>
    <row r="40" spans="1:5" ht="30.75" customHeight="1">
      <c r="A40" s="52" t="s">
        <v>156</v>
      </c>
      <c r="B40" s="85">
        <v>0</v>
      </c>
      <c r="C40" s="153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274</v>
      </c>
      <c r="B41" s="85">
        <v>0</v>
      </c>
      <c r="C41" s="85">
        <v>0</v>
      </c>
      <c r="D41" s="54" t="str">
        <f t="shared" si="2"/>
        <v>   </v>
      </c>
      <c r="E41" s="55">
        <f t="shared" si="3"/>
        <v>0</v>
      </c>
    </row>
    <row r="42" spans="1:5" ht="25.5" customHeight="1">
      <c r="A42" s="21" t="s">
        <v>331</v>
      </c>
      <c r="B42" s="85">
        <v>59200</v>
      </c>
      <c r="C42" s="85">
        <v>59200</v>
      </c>
      <c r="D42" s="54">
        <f t="shared" si="2"/>
        <v>100</v>
      </c>
      <c r="E42" s="55">
        <f t="shared" si="3"/>
        <v>0</v>
      </c>
    </row>
    <row r="43" spans="1:5" ht="57.75" customHeight="1">
      <c r="A43" s="21" t="s">
        <v>226</v>
      </c>
      <c r="B43" s="85">
        <v>704900</v>
      </c>
      <c r="C43" s="85">
        <v>704900</v>
      </c>
      <c r="D43" s="54">
        <f t="shared" si="2"/>
        <v>100</v>
      </c>
      <c r="E43" s="55">
        <f t="shared" si="3"/>
        <v>0</v>
      </c>
    </row>
    <row r="44" spans="1:5" ht="30.75" customHeight="1">
      <c r="A44" s="21" t="s">
        <v>252</v>
      </c>
      <c r="B44" s="85">
        <v>0</v>
      </c>
      <c r="C44" s="85">
        <v>0</v>
      </c>
      <c r="D44" s="54" t="str">
        <f t="shared" si="2"/>
        <v>   </v>
      </c>
      <c r="E44" s="55">
        <f t="shared" si="3"/>
        <v>0</v>
      </c>
    </row>
    <row r="45" spans="1:5" ht="15" customHeight="1">
      <c r="A45" s="21" t="s">
        <v>81</v>
      </c>
      <c r="B45" s="80">
        <f>SUM(B46:B48)</f>
        <v>737569.2</v>
      </c>
      <c r="C45" s="80">
        <f>SUM(C46:C48)</f>
        <v>737569.2</v>
      </c>
      <c r="D45" s="40">
        <f t="shared" si="0"/>
        <v>100</v>
      </c>
      <c r="E45" s="41">
        <f t="shared" si="1"/>
        <v>0</v>
      </c>
    </row>
    <row r="46" spans="1:5" ht="15" customHeight="1">
      <c r="A46" s="21" t="s">
        <v>179</v>
      </c>
      <c r="B46" s="80">
        <v>290069.2</v>
      </c>
      <c r="C46" s="80">
        <v>290069.2</v>
      </c>
      <c r="D46" s="40">
        <f t="shared" si="0"/>
        <v>100</v>
      </c>
      <c r="E46" s="41">
        <f t="shared" si="1"/>
        <v>0</v>
      </c>
    </row>
    <row r="47" spans="1:5" ht="15" customHeight="1">
      <c r="A47" s="21" t="s">
        <v>298</v>
      </c>
      <c r="B47" s="80">
        <v>0</v>
      </c>
      <c r="C47" s="80">
        <v>0</v>
      </c>
      <c r="D47" s="40" t="str">
        <f t="shared" si="0"/>
        <v>   </v>
      </c>
      <c r="E47" s="41">
        <f t="shared" si="1"/>
        <v>0</v>
      </c>
    </row>
    <row r="48" spans="1:5" s="6" customFormat="1" ht="15" customHeight="1">
      <c r="A48" s="21" t="s">
        <v>104</v>
      </c>
      <c r="B48" s="80">
        <v>447500</v>
      </c>
      <c r="C48" s="80">
        <v>447500</v>
      </c>
      <c r="D48" s="54">
        <f>IF(B48=0,"   ",C48/B48*100)</f>
        <v>100</v>
      </c>
      <c r="E48" s="55">
        <f>C48-B48</f>
        <v>0</v>
      </c>
    </row>
    <row r="49" spans="1:5" s="6" customFormat="1" ht="15" customHeight="1">
      <c r="A49" s="21" t="s">
        <v>189</v>
      </c>
      <c r="B49" s="80">
        <v>0</v>
      </c>
      <c r="C49" s="80">
        <v>0</v>
      </c>
      <c r="D49" s="36" t="str">
        <f t="shared" si="0"/>
        <v>   </v>
      </c>
      <c r="E49" s="41">
        <f t="shared" si="1"/>
        <v>0</v>
      </c>
    </row>
    <row r="50" spans="1:5" ht="43.5" customHeight="1">
      <c r="A50" s="44" t="s">
        <v>11</v>
      </c>
      <c r="B50" s="116">
        <f>SUM(B33:B34,)</f>
        <v>9390950.870000001</v>
      </c>
      <c r="C50" s="116">
        <f>SUM(C33:C34,)</f>
        <v>9310995.4</v>
      </c>
      <c r="D50" s="40">
        <f t="shared" si="0"/>
        <v>99.14859026410815</v>
      </c>
      <c r="E50" s="41">
        <f t="shared" si="1"/>
        <v>-79955.47000000067</v>
      </c>
    </row>
    <row r="51" spans="1:5" ht="12.75" customHeight="1">
      <c r="A51" s="33" t="s">
        <v>12</v>
      </c>
      <c r="B51" s="154"/>
      <c r="C51" s="155"/>
      <c r="D51" s="40" t="str">
        <f t="shared" si="0"/>
        <v>   </v>
      </c>
      <c r="E51" s="41">
        <f t="shared" si="1"/>
        <v>0</v>
      </c>
    </row>
    <row r="52" spans="1:5" ht="21" customHeight="1">
      <c r="A52" s="21" t="s">
        <v>35</v>
      </c>
      <c r="B52" s="36">
        <f>SUM(B53,B56,B57)</f>
        <v>1974500</v>
      </c>
      <c r="C52" s="36">
        <f>SUM(C53,C56,C57)</f>
        <v>1919182.04</v>
      </c>
      <c r="D52" s="40">
        <f t="shared" si="0"/>
        <v>97.19838136237023</v>
      </c>
      <c r="E52" s="41">
        <f t="shared" si="1"/>
        <v>-55317.95999999996</v>
      </c>
    </row>
    <row r="53" spans="1:5" ht="15" customHeight="1">
      <c r="A53" s="21" t="s">
        <v>36</v>
      </c>
      <c r="B53" s="36">
        <v>1894000</v>
      </c>
      <c r="C53" s="36">
        <v>1856280.04</v>
      </c>
      <c r="D53" s="40">
        <f t="shared" si="0"/>
        <v>98.00844984160507</v>
      </c>
      <c r="E53" s="41">
        <f t="shared" si="1"/>
        <v>-37719.95999999996</v>
      </c>
    </row>
    <row r="54" spans="1:5" ht="15" customHeight="1">
      <c r="A54" s="21" t="s">
        <v>116</v>
      </c>
      <c r="B54" s="36">
        <v>990648.26</v>
      </c>
      <c r="C54" s="99">
        <v>987636.31</v>
      </c>
      <c r="D54" s="40">
        <f t="shared" si="0"/>
        <v>99.69596171298984</v>
      </c>
      <c r="E54" s="41">
        <f t="shared" si="1"/>
        <v>-3011.9499999999534</v>
      </c>
    </row>
    <row r="55" spans="1:5" ht="15" customHeight="1">
      <c r="A55" s="21" t="s">
        <v>333</v>
      </c>
      <c r="B55" s="36">
        <v>59200</v>
      </c>
      <c r="C55" s="99">
        <v>59200</v>
      </c>
      <c r="D55" s="40">
        <f>IF(B55=0,"   ",C55/B55*100)</f>
        <v>100</v>
      </c>
      <c r="E55" s="41">
        <f>C55-B55</f>
        <v>0</v>
      </c>
    </row>
    <row r="56" spans="1:5" ht="12.75" customHeight="1">
      <c r="A56" s="21" t="s">
        <v>91</v>
      </c>
      <c r="B56" s="36">
        <v>500</v>
      </c>
      <c r="C56" s="107">
        <v>0</v>
      </c>
      <c r="D56" s="40">
        <f t="shared" si="0"/>
        <v>0</v>
      </c>
      <c r="E56" s="41">
        <f t="shared" si="1"/>
        <v>-500</v>
      </c>
    </row>
    <row r="57" spans="1:5" ht="12.75" customHeight="1">
      <c r="A57" s="21" t="s">
        <v>52</v>
      </c>
      <c r="B57" s="107">
        <f>SUM(B59+B58)</f>
        <v>80000</v>
      </c>
      <c r="C57" s="107">
        <f>SUM(C59+C58)</f>
        <v>62902</v>
      </c>
      <c r="D57" s="40">
        <f t="shared" si="0"/>
        <v>78.6275</v>
      </c>
      <c r="E57" s="41">
        <f t="shared" si="1"/>
        <v>-17098</v>
      </c>
    </row>
    <row r="58" spans="1:5" ht="18.75" customHeight="1">
      <c r="A58" s="17" t="s">
        <v>337</v>
      </c>
      <c r="B58" s="107">
        <v>40000</v>
      </c>
      <c r="C58" s="107">
        <v>39402</v>
      </c>
      <c r="D58" s="40">
        <f>IF(B58=0,"   ",C58/B58*100)</f>
        <v>98.505</v>
      </c>
      <c r="E58" s="41">
        <f>C58-B58</f>
        <v>-598</v>
      </c>
    </row>
    <row r="59" spans="1:5" ht="23.25" customHeight="1">
      <c r="A59" s="17" t="s">
        <v>234</v>
      </c>
      <c r="B59" s="36">
        <v>40000</v>
      </c>
      <c r="C59" s="107">
        <v>23500</v>
      </c>
      <c r="D59" s="40">
        <f t="shared" si="0"/>
        <v>58.75</v>
      </c>
      <c r="E59" s="41">
        <f t="shared" si="1"/>
        <v>-16500</v>
      </c>
    </row>
    <row r="60" spans="1:5" ht="21.75" customHeight="1">
      <c r="A60" s="21" t="s">
        <v>49</v>
      </c>
      <c r="B60" s="107">
        <f>SUM(B61)</f>
        <v>103700</v>
      </c>
      <c r="C60" s="107">
        <f>SUM(C61)</f>
        <v>103700</v>
      </c>
      <c r="D60" s="40">
        <f t="shared" si="0"/>
        <v>100</v>
      </c>
      <c r="E60" s="41">
        <f t="shared" si="1"/>
        <v>0</v>
      </c>
    </row>
    <row r="61" spans="1:5" ht="13.5" customHeight="1">
      <c r="A61" s="21" t="s">
        <v>102</v>
      </c>
      <c r="B61" s="36">
        <v>103700</v>
      </c>
      <c r="C61" s="107">
        <v>103700</v>
      </c>
      <c r="D61" s="40">
        <f t="shared" si="0"/>
        <v>100</v>
      </c>
      <c r="E61" s="41">
        <f t="shared" si="1"/>
        <v>0</v>
      </c>
    </row>
    <row r="62" spans="1:5" ht="16.5" customHeight="1">
      <c r="A62" s="21" t="s">
        <v>37</v>
      </c>
      <c r="B62" s="36">
        <f>SUM(B63)</f>
        <v>1000</v>
      </c>
      <c r="C62" s="107">
        <f>SUM(C63)</f>
        <v>1000</v>
      </c>
      <c r="D62" s="40">
        <f t="shared" si="0"/>
        <v>100</v>
      </c>
      <c r="E62" s="41">
        <f t="shared" si="1"/>
        <v>0</v>
      </c>
    </row>
    <row r="63" spans="1:5" ht="15" customHeight="1">
      <c r="A63" s="60" t="s">
        <v>324</v>
      </c>
      <c r="B63" s="36">
        <v>1000</v>
      </c>
      <c r="C63" s="107">
        <v>1000</v>
      </c>
      <c r="D63" s="40">
        <f t="shared" si="0"/>
        <v>100</v>
      </c>
      <c r="E63" s="41">
        <f t="shared" si="1"/>
        <v>0</v>
      </c>
    </row>
    <row r="64" spans="1:5" ht="18.75" customHeight="1" thickBot="1">
      <c r="A64" s="21" t="s">
        <v>38</v>
      </c>
      <c r="B64" s="36">
        <f>SUM(B70,B65,B78)</f>
        <v>2288985.7</v>
      </c>
      <c r="C64" s="36">
        <f>SUM(C70,C65,C78)</f>
        <v>2150233.16</v>
      </c>
      <c r="D64" s="40">
        <f t="shared" si="0"/>
        <v>93.9382522136333</v>
      </c>
      <c r="E64" s="41">
        <f t="shared" si="1"/>
        <v>-138752.54000000004</v>
      </c>
    </row>
    <row r="65" spans="1:5" ht="18.75" customHeight="1" thickBot="1">
      <c r="A65" s="62" t="s">
        <v>157</v>
      </c>
      <c r="B65" s="93">
        <f>SUM(B66:B69)</f>
        <v>2000</v>
      </c>
      <c r="C65" s="36">
        <f>SUM(C66+C67)</f>
        <v>0</v>
      </c>
      <c r="D65" s="40">
        <f>IF(B65=0,"   ",C65/B65*100)</f>
        <v>0</v>
      </c>
      <c r="E65" s="41">
        <f>C65-B65</f>
        <v>-2000</v>
      </c>
    </row>
    <row r="66" spans="1:5" ht="15" customHeight="1">
      <c r="A66" s="62" t="s">
        <v>158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5" customHeight="1">
      <c r="A67" s="62" t="s">
        <v>180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" customHeight="1">
      <c r="A68" s="62" t="s">
        <v>299</v>
      </c>
      <c r="B68" s="36">
        <v>0</v>
      </c>
      <c r="C68" s="36"/>
      <c r="D68" s="40" t="str">
        <f>IF(B68=0,"   ",C68/B68*100)</f>
        <v>   </v>
      </c>
      <c r="E68" s="41">
        <f>C68-B68</f>
        <v>0</v>
      </c>
    </row>
    <row r="69" spans="1:5" ht="15" customHeight="1">
      <c r="A69" s="62" t="s">
        <v>300</v>
      </c>
      <c r="B69" s="36">
        <v>2000</v>
      </c>
      <c r="C69" s="36"/>
      <c r="D69" s="40">
        <f>IF(B69=0,"   ",C69/B69*100)</f>
        <v>0</v>
      </c>
      <c r="E69" s="41">
        <f>C69-B69</f>
        <v>-2000</v>
      </c>
    </row>
    <row r="70" spans="1:5" ht="13.5" customHeight="1">
      <c r="A70" s="21" t="s">
        <v>39</v>
      </c>
      <c r="B70" s="36">
        <f>SUM(B71:B77)</f>
        <v>2078752.54</v>
      </c>
      <c r="C70" s="36">
        <f>SUM(C71:C77)</f>
        <v>2002000</v>
      </c>
      <c r="D70" s="40">
        <f t="shared" si="0"/>
        <v>96.30775965281563</v>
      </c>
      <c r="E70" s="41">
        <f t="shared" si="1"/>
        <v>-76752.54000000004</v>
      </c>
    </row>
    <row r="71" spans="1:5" ht="17.25" customHeight="1">
      <c r="A71" s="60" t="s">
        <v>141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4" customHeight="1">
      <c r="A72" s="17" t="s">
        <v>237</v>
      </c>
      <c r="B72" s="36">
        <v>734952.54</v>
      </c>
      <c r="C72" s="36">
        <v>721400</v>
      </c>
      <c r="D72" s="40">
        <f t="shared" si="0"/>
        <v>98.15599793695522</v>
      </c>
      <c r="E72" s="41">
        <f t="shared" si="1"/>
        <v>-13552.540000000037</v>
      </c>
    </row>
    <row r="73" spans="1:5" ht="24" customHeight="1">
      <c r="A73" s="17" t="s">
        <v>238</v>
      </c>
      <c r="B73" s="36">
        <v>63200</v>
      </c>
      <c r="C73" s="36">
        <v>0</v>
      </c>
      <c r="D73" s="40">
        <f t="shared" si="0"/>
        <v>0</v>
      </c>
      <c r="E73" s="41">
        <f t="shared" si="1"/>
        <v>-63200</v>
      </c>
    </row>
    <row r="74" spans="1:5" ht="24" customHeight="1">
      <c r="A74" s="17" t="s">
        <v>239</v>
      </c>
      <c r="B74" s="36">
        <v>704900</v>
      </c>
      <c r="C74" s="36">
        <v>704900</v>
      </c>
      <c r="D74" s="40">
        <f t="shared" si="0"/>
        <v>100</v>
      </c>
      <c r="E74" s="41">
        <f t="shared" si="1"/>
        <v>0</v>
      </c>
    </row>
    <row r="75" spans="1:5" ht="24" customHeight="1">
      <c r="A75" s="17" t="s">
        <v>240</v>
      </c>
      <c r="B75" s="36">
        <v>78400</v>
      </c>
      <c r="C75" s="36">
        <v>78400</v>
      </c>
      <c r="D75" s="40">
        <f t="shared" si="0"/>
        <v>100</v>
      </c>
      <c r="E75" s="41">
        <f t="shared" si="1"/>
        <v>0</v>
      </c>
    </row>
    <row r="76" spans="1:5" ht="24" customHeight="1">
      <c r="A76" s="17" t="s">
        <v>241</v>
      </c>
      <c r="B76" s="36">
        <v>447500</v>
      </c>
      <c r="C76" s="36">
        <v>447500</v>
      </c>
      <c r="D76" s="40">
        <f t="shared" si="0"/>
        <v>100</v>
      </c>
      <c r="E76" s="41">
        <f t="shared" si="1"/>
        <v>0</v>
      </c>
    </row>
    <row r="77" spans="1:5" ht="26.25" customHeight="1">
      <c r="A77" s="62" t="s">
        <v>242</v>
      </c>
      <c r="B77" s="36">
        <v>49800</v>
      </c>
      <c r="C77" s="36">
        <v>49800</v>
      </c>
      <c r="D77" s="40">
        <f t="shared" si="0"/>
        <v>100</v>
      </c>
      <c r="E77" s="41">
        <f t="shared" si="1"/>
        <v>0</v>
      </c>
    </row>
    <row r="78" spans="1:5" ht="18.75" customHeight="1">
      <c r="A78" s="62" t="s">
        <v>168</v>
      </c>
      <c r="B78" s="36">
        <f>B79+B80</f>
        <v>208233.16</v>
      </c>
      <c r="C78" s="36">
        <f>C79+C80</f>
        <v>148233.16</v>
      </c>
      <c r="D78" s="40">
        <f>IF(B78=0,"   ",C78/B78*100)</f>
        <v>71.18614537665374</v>
      </c>
      <c r="E78" s="41">
        <f>C78-B78</f>
        <v>-60000</v>
      </c>
    </row>
    <row r="79" spans="1:5" ht="26.25" customHeight="1">
      <c r="A79" s="17" t="s">
        <v>147</v>
      </c>
      <c r="B79" s="36">
        <v>138233.16</v>
      </c>
      <c r="C79" s="36">
        <v>78233.16</v>
      </c>
      <c r="D79" s="40">
        <f>IF(B79=0,"   ",C79/B79*100)</f>
        <v>56.595074582683345</v>
      </c>
      <c r="E79" s="41">
        <f>C79-B79</f>
        <v>-60000</v>
      </c>
    </row>
    <row r="80" spans="1:5" ht="26.25" customHeight="1">
      <c r="A80" s="62" t="s">
        <v>169</v>
      </c>
      <c r="B80" s="36">
        <v>70000</v>
      </c>
      <c r="C80" s="36">
        <v>70000</v>
      </c>
      <c r="D80" s="40">
        <f>IF(B80=0,"   ",C80/B80*100)</f>
        <v>100</v>
      </c>
      <c r="E80" s="41">
        <f>C80-B80</f>
        <v>0</v>
      </c>
    </row>
    <row r="81" spans="1:5" ht="20.25" customHeight="1">
      <c r="A81" s="21" t="s">
        <v>13</v>
      </c>
      <c r="B81" s="36">
        <f>B84+B82+B92</f>
        <v>2306638.9400000004</v>
      </c>
      <c r="C81" s="36">
        <f>C84+C82+C92</f>
        <v>2238532.11</v>
      </c>
      <c r="D81" s="40">
        <f t="shared" si="0"/>
        <v>97.04735627154545</v>
      </c>
      <c r="E81" s="41">
        <f t="shared" si="1"/>
        <v>-68106.83000000054</v>
      </c>
    </row>
    <row r="82" spans="1:5" ht="20.25" customHeight="1">
      <c r="A82" s="21" t="s">
        <v>142</v>
      </c>
      <c r="B82" s="36">
        <f>B83</f>
        <v>130000</v>
      </c>
      <c r="C82" s="36">
        <f>C83</f>
        <v>124611.52</v>
      </c>
      <c r="D82" s="40">
        <f t="shared" si="0"/>
        <v>95.85501538461538</v>
      </c>
      <c r="E82" s="41">
        <f t="shared" si="1"/>
        <v>-5388.479999999996</v>
      </c>
    </row>
    <row r="83" spans="1:5" ht="20.25" customHeight="1">
      <c r="A83" s="38" t="s">
        <v>265</v>
      </c>
      <c r="B83" s="36">
        <v>130000</v>
      </c>
      <c r="C83" s="36">
        <v>124611.52</v>
      </c>
      <c r="D83" s="40">
        <f t="shared" si="0"/>
        <v>95.85501538461538</v>
      </c>
      <c r="E83" s="41">
        <f t="shared" si="1"/>
        <v>-5388.479999999996</v>
      </c>
    </row>
    <row r="84" spans="1:5" ht="12.75" customHeight="1">
      <c r="A84" s="21" t="s">
        <v>94</v>
      </c>
      <c r="B84" s="36">
        <f>B85+B86+B91+B87</f>
        <v>2176538.9400000004</v>
      </c>
      <c r="C84" s="36">
        <f>C85+C86+C91+C87</f>
        <v>2113820.59</v>
      </c>
      <c r="D84" s="40">
        <f t="shared" si="0"/>
        <v>97.11843657619099</v>
      </c>
      <c r="E84" s="41">
        <f t="shared" si="1"/>
        <v>-62718.35000000056</v>
      </c>
    </row>
    <row r="85" spans="1:5" ht="12.75" customHeight="1">
      <c r="A85" s="21" t="s">
        <v>95</v>
      </c>
      <c r="B85" s="36">
        <v>615692.64</v>
      </c>
      <c r="C85" s="36">
        <v>615692.64</v>
      </c>
      <c r="D85" s="40">
        <f t="shared" si="0"/>
        <v>100</v>
      </c>
      <c r="E85" s="41">
        <f t="shared" si="1"/>
        <v>0</v>
      </c>
    </row>
    <row r="86" spans="1:5" ht="12.75" customHeight="1">
      <c r="A86" s="21" t="s">
        <v>61</v>
      </c>
      <c r="B86" s="36">
        <v>1040870.54</v>
      </c>
      <c r="C86" s="107">
        <v>978190.39</v>
      </c>
      <c r="D86" s="40">
        <v>0</v>
      </c>
      <c r="E86" s="41">
        <f t="shared" si="1"/>
        <v>-62680.15000000002</v>
      </c>
    </row>
    <row r="87" spans="1:5" ht="12.75" customHeight="1">
      <c r="A87" s="17" t="s">
        <v>198</v>
      </c>
      <c r="B87" s="36">
        <f>SUM(B88:B90)</f>
        <v>519975.76</v>
      </c>
      <c r="C87" s="36">
        <f>SUM(C88:C90)</f>
        <v>519937.56</v>
      </c>
      <c r="D87" s="40">
        <v>0</v>
      </c>
      <c r="E87" s="41">
        <f>C87-B87</f>
        <v>-38.20000000001164</v>
      </c>
    </row>
    <row r="88" spans="1:5" ht="29.25" customHeight="1">
      <c r="A88" s="17" t="s">
        <v>199</v>
      </c>
      <c r="B88" s="36">
        <v>290069.2</v>
      </c>
      <c r="C88" s="107">
        <v>290069.2</v>
      </c>
      <c r="D88" s="40">
        <f t="shared" si="0"/>
        <v>100</v>
      </c>
      <c r="E88" s="107">
        <f t="shared" si="1"/>
        <v>0</v>
      </c>
    </row>
    <row r="89" spans="1:5" ht="25.5" customHeight="1">
      <c r="A89" s="17" t="s">
        <v>200</v>
      </c>
      <c r="B89" s="36">
        <v>161989.86</v>
      </c>
      <c r="C89" s="107">
        <v>161989.86</v>
      </c>
      <c r="D89" s="40">
        <f t="shared" si="0"/>
        <v>100</v>
      </c>
      <c r="E89" s="107">
        <f t="shared" si="1"/>
        <v>0</v>
      </c>
    </row>
    <row r="90" spans="1:5" ht="23.25" customHeight="1">
      <c r="A90" s="17" t="s">
        <v>201</v>
      </c>
      <c r="B90" s="36">
        <v>67916.7</v>
      </c>
      <c r="C90" s="107">
        <v>67878.5</v>
      </c>
      <c r="D90" s="40">
        <f t="shared" si="0"/>
        <v>99.9437546288321</v>
      </c>
      <c r="E90" s="107">
        <f t="shared" si="1"/>
        <v>-38.19999999999709</v>
      </c>
    </row>
    <row r="91" spans="1:5" ht="19.5" customHeight="1" thickBot="1">
      <c r="A91" s="17" t="s">
        <v>273</v>
      </c>
      <c r="B91" s="100">
        <v>0</v>
      </c>
      <c r="C91" s="101">
        <v>0</v>
      </c>
      <c r="D91" s="40" t="str">
        <f t="shared" si="0"/>
        <v>   </v>
      </c>
      <c r="E91" s="107">
        <f t="shared" si="1"/>
        <v>0</v>
      </c>
    </row>
    <row r="92" spans="1:5" ht="19.5" customHeight="1" thickBot="1">
      <c r="A92" s="62" t="s">
        <v>310</v>
      </c>
      <c r="B92" s="111">
        <f>SUM(B93)</f>
        <v>100</v>
      </c>
      <c r="C92" s="111">
        <f>SUM(C93)</f>
        <v>100</v>
      </c>
      <c r="D92" s="40">
        <f>IF(B92=0,"   ",C92/B92*100)</f>
        <v>100</v>
      </c>
      <c r="E92" s="107">
        <f>C92-B92</f>
        <v>0</v>
      </c>
    </row>
    <row r="93" spans="1:5" ht="19.5" customHeight="1">
      <c r="A93" s="62" t="s">
        <v>261</v>
      </c>
      <c r="B93" s="36">
        <v>100</v>
      </c>
      <c r="C93" s="99">
        <v>100</v>
      </c>
      <c r="D93" s="40">
        <f>IF(B93=0,"   ",C93/B93*100)</f>
        <v>100</v>
      </c>
      <c r="E93" s="107">
        <f>C93-B93</f>
        <v>0</v>
      </c>
    </row>
    <row r="94" spans="1:5" ht="20.25" customHeight="1">
      <c r="A94" s="21" t="s">
        <v>17</v>
      </c>
      <c r="B94" s="36">
        <v>8000</v>
      </c>
      <c r="C94" s="36">
        <v>0</v>
      </c>
      <c r="D94" s="40">
        <f t="shared" si="0"/>
        <v>0</v>
      </c>
      <c r="E94" s="41">
        <f t="shared" si="1"/>
        <v>-8000</v>
      </c>
    </row>
    <row r="95" spans="1:5" ht="18" customHeight="1">
      <c r="A95" s="21" t="s">
        <v>41</v>
      </c>
      <c r="B95" s="143">
        <f>B96</f>
        <v>2858119.8</v>
      </c>
      <c r="C95" s="143">
        <f>C96</f>
        <v>2151600</v>
      </c>
      <c r="D95" s="40">
        <f t="shared" si="0"/>
        <v>75.28025942089623</v>
      </c>
      <c r="E95" s="41">
        <f t="shared" si="1"/>
        <v>-706519.7999999998</v>
      </c>
    </row>
    <row r="96" spans="1:5" ht="12.75" customHeight="1">
      <c r="A96" s="21" t="s">
        <v>42</v>
      </c>
      <c r="B96" s="36">
        <f>SUM(B97:B99)</f>
        <v>2858119.8</v>
      </c>
      <c r="C96" s="36">
        <f>SUM(C97:C99)</f>
        <v>2151600</v>
      </c>
      <c r="D96" s="40">
        <f t="shared" si="0"/>
        <v>75.28025942089623</v>
      </c>
      <c r="E96" s="41">
        <f t="shared" si="1"/>
        <v>-706519.7999999998</v>
      </c>
    </row>
    <row r="97" spans="1:5" ht="12.75" customHeight="1">
      <c r="A97" s="21" t="s">
        <v>135</v>
      </c>
      <c r="B97" s="36">
        <v>2151600</v>
      </c>
      <c r="C97" s="107">
        <v>2151600</v>
      </c>
      <c r="D97" s="40">
        <f t="shared" si="0"/>
        <v>100</v>
      </c>
      <c r="E97" s="41">
        <f t="shared" si="1"/>
        <v>0</v>
      </c>
    </row>
    <row r="98" spans="1:5" ht="12.75" customHeight="1">
      <c r="A98" s="21" t="s">
        <v>243</v>
      </c>
      <c r="B98" s="36">
        <v>706519.8</v>
      </c>
      <c r="C98" s="107">
        <v>0</v>
      </c>
      <c r="D98" s="40">
        <f t="shared" si="0"/>
        <v>0</v>
      </c>
      <c r="E98" s="41">
        <f t="shared" si="1"/>
        <v>-706519.8</v>
      </c>
    </row>
    <row r="99" spans="1:5" ht="12.75" customHeight="1">
      <c r="A99" s="68" t="s">
        <v>194</v>
      </c>
      <c r="B99" s="36">
        <v>0</v>
      </c>
      <c r="C99" s="107">
        <v>0</v>
      </c>
      <c r="D99" s="40" t="str">
        <f t="shared" si="0"/>
        <v>   </v>
      </c>
      <c r="E99" s="41">
        <f t="shared" si="1"/>
        <v>0</v>
      </c>
    </row>
    <row r="100" spans="1:5" ht="16.5" customHeight="1">
      <c r="A100" s="21" t="s">
        <v>119</v>
      </c>
      <c r="B100" s="36">
        <f>SUM(B101:B101)</f>
        <v>12000</v>
      </c>
      <c r="C100" s="36">
        <f>SUM(C101:C101)</f>
        <v>7025</v>
      </c>
      <c r="D100" s="40">
        <f t="shared" si="0"/>
        <v>58.54166666666667</v>
      </c>
      <c r="E100" s="41">
        <f t="shared" si="1"/>
        <v>-4975</v>
      </c>
    </row>
    <row r="101" spans="1:5" ht="16.5" customHeight="1">
      <c r="A101" s="21" t="s">
        <v>43</v>
      </c>
      <c r="B101" s="36">
        <v>12000</v>
      </c>
      <c r="C101" s="36">
        <v>7025</v>
      </c>
      <c r="D101" s="40">
        <f>IF(B101=0,"   ",C101/B101*100)</f>
        <v>58.54166666666667</v>
      </c>
      <c r="E101" s="41">
        <f>C101-B101</f>
        <v>-4975</v>
      </c>
    </row>
    <row r="102" spans="1:5" ht="22.5" customHeight="1">
      <c r="A102" s="44" t="s">
        <v>15</v>
      </c>
      <c r="B102" s="116">
        <f>SUM(B52,B60,B62,B64,B81,B94,B95,B100,)</f>
        <v>9552944.440000001</v>
      </c>
      <c r="C102" s="116">
        <f>SUM(C52,C60,C62,C64,C81,C94,C95,C100,)</f>
        <v>8571272.31</v>
      </c>
      <c r="D102" s="46">
        <f>IF(B102=0,"   ",C102/B102*100)</f>
        <v>89.72387899703936</v>
      </c>
      <c r="E102" s="47">
        <f t="shared" si="1"/>
        <v>-981672.1300000008</v>
      </c>
    </row>
    <row r="103" spans="1:5" s="13" customFormat="1" ht="30" customHeight="1">
      <c r="A103" s="71" t="s">
        <v>290</v>
      </c>
      <c r="B103" s="71"/>
      <c r="C103" s="165"/>
      <c r="D103" s="165"/>
      <c r="E103" s="165"/>
    </row>
    <row r="104" spans="1:5" s="13" customFormat="1" ht="18" customHeight="1">
      <c r="A104" s="71" t="s">
        <v>146</v>
      </c>
      <c r="B104" s="71"/>
      <c r="C104" s="72" t="s">
        <v>291</v>
      </c>
      <c r="D104" s="73"/>
      <c r="E104" s="74"/>
    </row>
    <row r="105" spans="1:5" ht="13.5">
      <c r="A105" s="71"/>
      <c r="B105" s="71"/>
      <c r="C105" s="117"/>
      <c r="D105" s="71"/>
      <c r="E105" s="118"/>
    </row>
    <row r="106" spans="1:5" ht="13.5">
      <c r="A106" s="71"/>
      <c r="B106" s="71"/>
      <c r="C106" s="117"/>
      <c r="D106" s="71"/>
      <c r="E106" s="118"/>
    </row>
    <row r="107" spans="1:5" ht="13.5">
      <c r="A107" s="119"/>
      <c r="B107" s="119"/>
      <c r="C107" s="120"/>
      <c r="D107" s="119"/>
      <c r="E107" s="121"/>
    </row>
    <row r="108" spans="1:5" ht="13.5">
      <c r="A108" s="119"/>
      <c r="B108" s="119"/>
      <c r="C108" s="120"/>
      <c r="D108" s="119"/>
      <c r="E108" s="121"/>
    </row>
  </sheetData>
  <sheetProtection/>
  <mergeCells count="2">
    <mergeCell ref="A1:E1"/>
    <mergeCell ref="C103:E103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31">
      <selection activeCell="C27" sqref="C27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6" t="s">
        <v>346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292</v>
      </c>
      <c r="C4" s="26" t="s">
        <v>341</v>
      </c>
      <c r="D4" s="25" t="s">
        <v>295</v>
      </c>
      <c r="E4" s="27" t="s">
        <v>294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73200</v>
      </c>
      <c r="C7" s="143">
        <f>SUM(C8)</f>
        <v>76572.35</v>
      </c>
      <c r="D7" s="40">
        <f aca="true" t="shared" si="0" ref="D7:D107">IF(B7=0,"   ",C7/B7*100)</f>
        <v>104.60703551912569</v>
      </c>
      <c r="E7" s="41">
        <f aca="true" t="shared" si="1" ref="E7:E108">C7-B7</f>
        <v>3372.350000000006</v>
      </c>
    </row>
    <row r="8" spans="1:5" ht="12" customHeight="1">
      <c r="A8" s="21" t="s">
        <v>44</v>
      </c>
      <c r="B8" s="36">
        <v>73200</v>
      </c>
      <c r="C8" s="86">
        <v>76572.35</v>
      </c>
      <c r="D8" s="40">
        <f t="shared" si="0"/>
        <v>104.60703551912569</v>
      </c>
      <c r="E8" s="41">
        <f t="shared" si="1"/>
        <v>3372.350000000006</v>
      </c>
    </row>
    <row r="9" spans="1:5" ht="16.5" customHeight="1">
      <c r="A9" s="38" t="s">
        <v>129</v>
      </c>
      <c r="B9" s="143">
        <f>SUM(B10)</f>
        <v>1103100</v>
      </c>
      <c r="C9" s="143">
        <f>SUM(C10)</f>
        <v>1177816.48</v>
      </c>
      <c r="D9" s="40">
        <f t="shared" si="0"/>
        <v>106.77331882875532</v>
      </c>
      <c r="E9" s="41">
        <f t="shared" si="1"/>
        <v>74716.47999999998</v>
      </c>
    </row>
    <row r="10" spans="1:5" ht="15" customHeight="1">
      <c r="A10" s="21" t="s">
        <v>130</v>
      </c>
      <c r="B10" s="36">
        <v>1103100</v>
      </c>
      <c r="C10" s="86">
        <v>1177816.48</v>
      </c>
      <c r="D10" s="40">
        <f t="shared" si="0"/>
        <v>106.77331882875532</v>
      </c>
      <c r="E10" s="41">
        <f t="shared" si="1"/>
        <v>74716.47999999998</v>
      </c>
    </row>
    <row r="11" spans="1:5" ht="13.5">
      <c r="A11" s="21" t="s">
        <v>7</v>
      </c>
      <c r="B11" s="36">
        <f>SUM(B12:B12)</f>
        <v>54800</v>
      </c>
      <c r="C11" s="36">
        <f>SUM(C12:C12)</f>
        <v>62057.57</v>
      </c>
      <c r="D11" s="40">
        <f t="shared" si="0"/>
        <v>113.24374087591241</v>
      </c>
      <c r="E11" s="41">
        <f t="shared" si="1"/>
        <v>7257.57</v>
      </c>
    </row>
    <row r="12" spans="1:5" ht="16.5" customHeight="1">
      <c r="A12" s="21" t="s">
        <v>26</v>
      </c>
      <c r="B12" s="36">
        <v>54800</v>
      </c>
      <c r="C12" s="86">
        <v>62057.57</v>
      </c>
      <c r="D12" s="40">
        <f t="shared" si="0"/>
        <v>113.24374087591241</v>
      </c>
      <c r="E12" s="41">
        <f t="shared" si="1"/>
        <v>7257.57</v>
      </c>
    </row>
    <row r="13" spans="1:5" ht="16.5" customHeight="1">
      <c r="A13" s="21" t="s">
        <v>9</v>
      </c>
      <c r="B13" s="36">
        <f>SUM(B14:B15)</f>
        <v>409000</v>
      </c>
      <c r="C13" s="36">
        <f>SUM(C14:C15)</f>
        <v>386930.89</v>
      </c>
      <c r="D13" s="40">
        <f t="shared" si="0"/>
        <v>94.60412958435208</v>
      </c>
      <c r="E13" s="41">
        <f t="shared" si="1"/>
        <v>-22069.109999999986</v>
      </c>
    </row>
    <row r="14" spans="1:5" ht="15" customHeight="1">
      <c r="A14" s="21" t="s">
        <v>27</v>
      </c>
      <c r="B14" s="36">
        <v>221000</v>
      </c>
      <c r="C14" s="86">
        <v>179046.35</v>
      </c>
      <c r="D14" s="40">
        <f t="shared" si="0"/>
        <v>81.01644796380091</v>
      </c>
      <c r="E14" s="41">
        <f t="shared" si="1"/>
        <v>-41953.649999999994</v>
      </c>
    </row>
    <row r="15" spans="1:5" ht="15.75" customHeight="1">
      <c r="A15" s="21" t="s">
        <v>152</v>
      </c>
      <c r="B15" s="36">
        <f>SUM(B16:B17)</f>
        <v>188000</v>
      </c>
      <c r="C15" s="36">
        <f>SUM(C16:C17)</f>
        <v>207884.54</v>
      </c>
      <c r="D15" s="40">
        <f t="shared" si="0"/>
        <v>110.57688297872342</v>
      </c>
      <c r="E15" s="41">
        <f t="shared" si="1"/>
        <v>19884.540000000008</v>
      </c>
    </row>
    <row r="16" spans="1:5" ht="14.25" customHeight="1">
      <c r="A16" s="21" t="s">
        <v>153</v>
      </c>
      <c r="B16" s="36">
        <v>20100</v>
      </c>
      <c r="C16" s="86">
        <v>39180.16</v>
      </c>
      <c r="D16" s="40">
        <f t="shared" si="0"/>
        <v>194.92616915422886</v>
      </c>
      <c r="E16" s="41">
        <f t="shared" si="1"/>
        <v>19080.160000000003</v>
      </c>
    </row>
    <row r="17" spans="1:5" ht="12.75" customHeight="1">
      <c r="A17" s="21" t="s">
        <v>154</v>
      </c>
      <c r="B17" s="36">
        <v>167900</v>
      </c>
      <c r="C17" s="86">
        <v>168704.38</v>
      </c>
      <c r="D17" s="40">
        <f t="shared" si="0"/>
        <v>100.47908278737343</v>
      </c>
      <c r="E17" s="41">
        <f t="shared" si="1"/>
        <v>804.3800000000047</v>
      </c>
    </row>
    <row r="18" spans="1:5" ht="12.75" customHeight="1">
      <c r="A18" s="21" t="s">
        <v>187</v>
      </c>
      <c r="B18" s="36">
        <v>2600</v>
      </c>
      <c r="C18" s="86">
        <v>2600</v>
      </c>
      <c r="D18" s="40">
        <f t="shared" si="0"/>
        <v>100</v>
      </c>
      <c r="E18" s="41">
        <f t="shared" si="1"/>
        <v>0</v>
      </c>
    </row>
    <row r="19" spans="1:5" ht="13.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39600</v>
      </c>
      <c r="C20" s="36">
        <f>SUM(C21:C22)</f>
        <v>69036.81</v>
      </c>
      <c r="D20" s="40">
        <f t="shared" si="0"/>
        <v>174.3353787878788</v>
      </c>
      <c r="E20" s="41">
        <f t="shared" si="1"/>
        <v>29436.809999999998</v>
      </c>
    </row>
    <row r="21" spans="1:5" ht="14.25" customHeight="1">
      <c r="A21" s="21" t="s">
        <v>144</v>
      </c>
      <c r="B21" s="36">
        <v>39600</v>
      </c>
      <c r="C21" s="36">
        <v>69036.81</v>
      </c>
      <c r="D21" s="40">
        <f t="shared" si="0"/>
        <v>174.3353787878788</v>
      </c>
      <c r="E21" s="41">
        <f t="shared" si="1"/>
        <v>29436.809999999998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83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120</v>
      </c>
      <c r="B25" s="36">
        <v>0</v>
      </c>
      <c r="C25" s="36"/>
      <c r="D25" s="40" t="str">
        <f t="shared" si="0"/>
        <v>   </v>
      </c>
      <c r="E25" s="41"/>
    </row>
    <row r="26" spans="1:5" ht="13.5">
      <c r="A26" s="21" t="s">
        <v>32</v>
      </c>
      <c r="B26" s="36">
        <f>B27</f>
        <v>0</v>
      </c>
      <c r="C26" s="36">
        <f>C27</f>
        <v>196.72</v>
      </c>
      <c r="D26" s="40" t="str">
        <f t="shared" si="0"/>
        <v>   </v>
      </c>
      <c r="E26" s="41">
        <f t="shared" si="1"/>
        <v>196.72</v>
      </c>
    </row>
    <row r="27" spans="1:5" ht="13.5">
      <c r="A27" s="21" t="s">
        <v>46</v>
      </c>
      <c r="B27" s="36">
        <v>0</v>
      </c>
      <c r="C27" s="36">
        <v>196.72</v>
      </c>
      <c r="D27" s="40" t="str">
        <f t="shared" si="0"/>
        <v>   </v>
      </c>
      <c r="E27" s="41">
        <f t="shared" si="1"/>
        <v>196.72</v>
      </c>
    </row>
    <row r="28" spans="1:5" ht="13.5">
      <c r="A28" s="21" t="s">
        <v>31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8" customHeight="1">
      <c r="A29" s="44" t="s">
        <v>10</v>
      </c>
      <c r="B29" s="156">
        <f>B7+B9+B11+B13+B19+B20+B24+B26+B28+B18</f>
        <v>1682300</v>
      </c>
      <c r="C29" s="156">
        <f>C7+C9+C11+C13+C19+C20+C24+C26+C28+C18</f>
        <v>1775210.82</v>
      </c>
      <c r="D29" s="46">
        <f t="shared" si="0"/>
        <v>105.52284491470012</v>
      </c>
      <c r="E29" s="47">
        <f t="shared" si="1"/>
        <v>92910.82000000007</v>
      </c>
    </row>
    <row r="30" spans="1:5" ht="18" customHeight="1">
      <c r="A30" s="62" t="s">
        <v>132</v>
      </c>
      <c r="B30" s="145">
        <f>SUM(B31:B34,B37,B38,B43,B44,B45,B46)</f>
        <v>6658900</v>
      </c>
      <c r="C30" s="145">
        <f>SUM(C31:C34,C37,C38,C43,C44,C45,C46)</f>
        <v>6658900</v>
      </c>
      <c r="D30" s="46">
        <f t="shared" si="0"/>
        <v>100</v>
      </c>
      <c r="E30" s="47">
        <f t="shared" si="1"/>
        <v>0</v>
      </c>
    </row>
    <row r="31" spans="1:5" ht="16.5" customHeight="1">
      <c r="A31" s="38" t="s">
        <v>34</v>
      </c>
      <c r="B31" s="143">
        <v>4359000</v>
      </c>
      <c r="C31" s="86">
        <v>4359000</v>
      </c>
      <c r="D31" s="40">
        <f t="shared" si="0"/>
        <v>100</v>
      </c>
      <c r="E31" s="41">
        <f t="shared" si="1"/>
        <v>0</v>
      </c>
    </row>
    <row r="32" spans="1:5" ht="16.5" customHeight="1">
      <c r="A32" s="38" t="s">
        <v>218</v>
      </c>
      <c r="B32" s="143">
        <v>0</v>
      </c>
      <c r="C32" s="86">
        <v>0</v>
      </c>
      <c r="D32" s="40" t="str">
        <f>IF(B32=0,"   ",C32/B32*100)</f>
        <v>   </v>
      </c>
      <c r="E32" s="41">
        <f>C32-B32</f>
        <v>0</v>
      </c>
    </row>
    <row r="33" spans="1:5" ht="27" customHeight="1">
      <c r="A33" s="21" t="s">
        <v>51</v>
      </c>
      <c r="B33" s="36">
        <v>103700</v>
      </c>
      <c r="C33" s="86">
        <v>103700</v>
      </c>
      <c r="D33" s="40">
        <f t="shared" si="0"/>
        <v>100</v>
      </c>
      <c r="E33" s="41">
        <f t="shared" si="1"/>
        <v>0</v>
      </c>
    </row>
    <row r="34" spans="1:5" ht="27" customHeight="1">
      <c r="A34" s="21" t="s">
        <v>140</v>
      </c>
      <c r="B34" s="36">
        <f>SUM(B35:B36)</f>
        <v>100</v>
      </c>
      <c r="C34" s="36">
        <f>SUM(C35:C36)</f>
        <v>100</v>
      </c>
      <c r="D34" s="40">
        <f t="shared" si="0"/>
        <v>100</v>
      </c>
      <c r="E34" s="41">
        <f t="shared" si="1"/>
        <v>0</v>
      </c>
    </row>
    <row r="35" spans="1:5" ht="17.25" customHeight="1">
      <c r="A35" s="52" t="s">
        <v>155</v>
      </c>
      <c r="B35" s="36">
        <v>100</v>
      </c>
      <c r="C35" s="36">
        <v>100</v>
      </c>
      <c r="D35" s="40">
        <f t="shared" si="0"/>
        <v>100</v>
      </c>
      <c r="E35" s="41">
        <f t="shared" si="1"/>
        <v>0</v>
      </c>
    </row>
    <row r="36" spans="1:5" ht="27" customHeight="1">
      <c r="A36" s="52" t="s">
        <v>156</v>
      </c>
      <c r="B36" s="36">
        <v>0</v>
      </c>
      <c r="C36" s="36">
        <v>0</v>
      </c>
      <c r="D36" s="40" t="str">
        <f>IF(B36=0,"   ",C36/B36*100)</f>
        <v>   </v>
      </c>
      <c r="E36" s="41">
        <f>C36-B36</f>
        <v>0</v>
      </c>
    </row>
    <row r="37" spans="1:5" ht="54.75" customHeight="1">
      <c r="A37" s="21" t="s">
        <v>226</v>
      </c>
      <c r="B37" s="36">
        <v>978300</v>
      </c>
      <c r="C37" s="36">
        <v>978300</v>
      </c>
      <c r="D37" s="40">
        <f>IF(B37=0,"   ",C37/B37*100)</f>
        <v>100</v>
      </c>
      <c r="E37" s="41">
        <f>C37-B37</f>
        <v>0</v>
      </c>
    </row>
    <row r="38" spans="1:5" ht="17.25" customHeight="1">
      <c r="A38" s="21" t="s">
        <v>55</v>
      </c>
      <c r="B38" s="36">
        <f>B39+B42+B41+B40</f>
        <v>664700</v>
      </c>
      <c r="C38" s="36">
        <f>C39+C42+C41+C40</f>
        <v>664700</v>
      </c>
      <c r="D38" s="40">
        <f t="shared" si="0"/>
        <v>100</v>
      </c>
      <c r="E38" s="41">
        <f t="shared" si="1"/>
        <v>0</v>
      </c>
    </row>
    <row r="39" spans="1:5" s="6" customFormat="1" ht="14.25" customHeight="1">
      <c r="A39" s="21" t="s">
        <v>104</v>
      </c>
      <c r="B39" s="36">
        <v>664700</v>
      </c>
      <c r="C39" s="36">
        <v>664700</v>
      </c>
      <c r="D39" s="36">
        <f t="shared" si="0"/>
        <v>100</v>
      </c>
      <c r="E39" s="41">
        <f t="shared" si="1"/>
        <v>0</v>
      </c>
    </row>
    <row r="40" spans="1:5" s="6" customFormat="1" ht="14.25" customHeight="1">
      <c r="A40" s="21" t="s">
        <v>298</v>
      </c>
      <c r="B40" s="36">
        <v>0</v>
      </c>
      <c r="C40" s="36">
        <v>0</v>
      </c>
      <c r="D40" s="36" t="str">
        <f t="shared" si="0"/>
        <v>   </v>
      </c>
      <c r="E40" s="41">
        <f t="shared" si="1"/>
        <v>0</v>
      </c>
    </row>
    <row r="41" spans="1:5" s="6" customFormat="1" ht="14.25" customHeight="1">
      <c r="A41" s="21" t="s">
        <v>269</v>
      </c>
      <c r="B41" s="36">
        <v>0</v>
      </c>
      <c r="C41" s="36">
        <v>0</v>
      </c>
      <c r="D41" s="36" t="str">
        <f t="shared" si="0"/>
        <v>   </v>
      </c>
      <c r="E41" s="41">
        <f t="shared" si="1"/>
        <v>0</v>
      </c>
    </row>
    <row r="42" spans="1:5" s="6" customFormat="1" ht="25.5" customHeight="1">
      <c r="A42" s="21" t="s">
        <v>179</v>
      </c>
      <c r="B42" s="36">
        <v>0</v>
      </c>
      <c r="C42" s="36">
        <v>0</v>
      </c>
      <c r="D42" s="36" t="str">
        <f t="shared" si="0"/>
        <v>   </v>
      </c>
      <c r="E42" s="41">
        <f t="shared" si="1"/>
        <v>0</v>
      </c>
    </row>
    <row r="43" spans="1:5" ht="39" customHeight="1">
      <c r="A43" s="21" t="s">
        <v>98</v>
      </c>
      <c r="B43" s="36">
        <v>0</v>
      </c>
      <c r="C43" s="86">
        <v>0</v>
      </c>
      <c r="D43" s="40" t="str">
        <f t="shared" si="0"/>
        <v>   </v>
      </c>
      <c r="E43" s="41">
        <f t="shared" si="1"/>
        <v>0</v>
      </c>
    </row>
    <row r="44" spans="1:5" ht="29.25" customHeight="1">
      <c r="A44" s="21" t="s">
        <v>332</v>
      </c>
      <c r="B44" s="36">
        <v>53100</v>
      </c>
      <c r="C44" s="86">
        <v>53100</v>
      </c>
      <c r="D44" s="40">
        <f t="shared" si="0"/>
        <v>100</v>
      </c>
      <c r="E44" s="41">
        <f t="shared" si="1"/>
        <v>0</v>
      </c>
    </row>
    <row r="45" spans="1:5" ht="29.25" customHeight="1">
      <c r="A45" s="21" t="s">
        <v>339</v>
      </c>
      <c r="B45" s="36">
        <v>500000</v>
      </c>
      <c r="C45" s="86">
        <v>500000</v>
      </c>
      <c r="D45" s="40">
        <f t="shared" si="0"/>
        <v>100</v>
      </c>
      <c r="E45" s="41">
        <f t="shared" si="1"/>
        <v>0</v>
      </c>
    </row>
    <row r="46" spans="1:5" ht="15.75" customHeight="1">
      <c r="A46" s="21" t="s">
        <v>189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27" customHeight="1">
      <c r="A47" s="44" t="s">
        <v>11</v>
      </c>
      <c r="B47" s="116">
        <f>SUM(B29,B30,)</f>
        <v>8341200</v>
      </c>
      <c r="C47" s="116">
        <f>SUM(C29,C30,)</f>
        <v>8434110.82</v>
      </c>
      <c r="D47" s="46">
        <f t="shared" si="0"/>
        <v>101.11387833884812</v>
      </c>
      <c r="E47" s="47">
        <f t="shared" si="1"/>
        <v>92910.8200000003</v>
      </c>
    </row>
    <row r="48" spans="1:5" ht="20.25" customHeight="1">
      <c r="A48" s="44"/>
      <c r="B48" s="143"/>
      <c r="C48" s="36"/>
      <c r="D48" s="40" t="str">
        <f t="shared" si="0"/>
        <v>   </v>
      </c>
      <c r="E48" s="41">
        <f t="shared" si="1"/>
        <v>0</v>
      </c>
    </row>
    <row r="49" spans="1:5" ht="14.25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9.5" customHeight="1">
      <c r="A50" s="21" t="s">
        <v>35</v>
      </c>
      <c r="B50" s="36">
        <f>SUM(B51,B55,B56)</f>
        <v>1499271.65</v>
      </c>
      <c r="C50" s="36">
        <f>SUM(C51,C55,C56)</f>
        <v>1427504.98</v>
      </c>
      <c r="D50" s="40">
        <f t="shared" si="0"/>
        <v>95.2132310378843</v>
      </c>
      <c r="E50" s="41">
        <f t="shared" si="1"/>
        <v>-71766.66999999993</v>
      </c>
    </row>
    <row r="51" spans="1:5" ht="13.5" customHeight="1">
      <c r="A51" s="21" t="s">
        <v>36</v>
      </c>
      <c r="B51" s="36">
        <v>1488771.65</v>
      </c>
      <c r="C51" s="36">
        <v>1417504.98</v>
      </c>
      <c r="D51" s="40">
        <f t="shared" si="0"/>
        <v>95.21305567579824</v>
      </c>
      <c r="E51" s="41">
        <f t="shared" si="1"/>
        <v>-71266.66999999993</v>
      </c>
    </row>
    <row r="52" spans="1:5" ht="13.5">
      <c r="A52" s="21" t="s">
        <v>116</v>
      </c>
      <c r="B52" s="36">
        <v>889033.12</v>
      </c>
      <c r="C52" s="99">
        <v>888894.09</v>
      </c>
      <c r="D52" s="40">
        <f t="shared" si="0"/>
        <v>99.98436166247664</v>
      </c>
      <c r="E52" s="41">
        <f t="shared" si="1"/>
        <v>-139.03000000002794</v>
      </c>
    </row>
    <row r="53" spans="1:5" ht="13.5">
      <c r="A53" s="21" t="s">
        <v>333</v>
      </c>
      <c r="B53" s="36">
        <v>53100</v>
      </c>
      <c r="C53" s="99">
        <v>53100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338</v>
      </c>
      <c r="B54" s="36">
        <v>48519.74</v>
      </c>
      <c r="C54" s="99">
        <v>48519.74</v>
      </c>
      <c r="D54" s="40">
        <f>IF(B54=0,"   ",C54/B54*100)</f>
        <v>100</v>
      </c>
      <c r="E54" s="41">
        <f>C54-B54</f>
        <v>0</v>
      </c>
    </row>
    <row r="55" spans="1:5" ht="13.5">
      <c r="A55" s="21" t="s">
        <v>91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3.5">
      <c r="A56" s="21" t="s">
        <v>52</v>
      </c>
      <c r="B56" s="107">
        <f>SUM(B57+B58)</f>
        <v>10000</v>
      </c>
      <c r="C56" s="107">
        <f>SUM(C57+C58)</f>
        <v>10000</v>
      </c>
      <c r="D56" s="40">
        <f>IF(B56=0,"   ",C56/B56*100)</f>
        <v>100</v>
      </c>
      <c r="E56" s="41">
        <f>C56-B56</f>
        <v>0</v>
      </c>
    </row>
    <row r="57" spans="1:5" ht="27">
      <c r="A57" s="17" t="s">
        <v>234</v>
      </c>
      <c r="B57" s="36">
        <v>10000</v>
      </c>
      <c r="C57" s="107">
        <v>10000</v>
      </c>
      <c r="D57" s="40">
        <f>IF(B57=0,"   ",C57/B57*100)</f>
        <v>100</v>
      </c>
      <c r="E57" s="41">
        <f>C57-B57</f>
        <v>0</v>
      </c>
    </row>
    <row r="58" spans="1:5" ht="13.5">
      <c r="A58" s="17" t="s">
        <v>244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8.75" customHeight="1">
      <c r="A59" s="21" t="s">
        <v>49</v>
      </c>
      <c r="B59" s="107">
        <f>SUM(B60)</f>
        <v>103700</v>
      </c>
      <c r="C59" s="107">
        <f>SUM(C60)</f>
        <v>103700</v>
      </c>
      <c r="D59" s="40">
        <f t="shared" si="0"/>
        <v>100</v>
      </c>
      <c r="E59" s="41">
        <f t="shared" si="1"/>
        <v>0</v>
      </c>
    </row>
    <row r="60" spans="1:5" ht="13.5" customHeight="1">
      <c r="A60" s="21" t="s">
        <v>102</v>
      </c>
      <c r="B60" s="36">
        <v>103700</v>
      </c>
      <c r="C60" s="107">
        <v>103700</v>
      </c>
      <c r="D60" s="40">
        <f t="shared" si="0"/>
        <v>100</v>
      </c>
      <c r="E60" s="41">
        <f t="shared" si="1"/>
        <v>0</v>
      </c>
    </row>
    <row r="61" spans="1:5" ht="17.25" customHeight="1">
      <c r="A61" s="21" t="s">
        <v>37</v>
      </c>
      <c r="B61" s="36">
        <f>SUM(B62)</f>
        <v>1000</v>
      </c>
      <c r="C61" s="36">
        <f>SUM(C62)</f>
        <v>1000</v>
      </c>
      <c r="D61" s="40">
        <f t="shared" si="0"/>
        <v>100</v>
      </c>
      <c r="E61" s="41">
        <f t="shared" si="1"/>
        <v>0</v>
      </c>
    </row>
    <row r="62" spans="1:5" ht="15" customHeight="1">
      <c r="A62" s="60" t="s">
        <v>324</v>
      </c>
      <c r="B62" s="36">
        <v>1000</v>
      </c>
      <c r="C62" s="107">
        <v>1000</v>
      </c>
      <c r="D62" s="40">
        <f t="shared" si="0"/>
        <v>100</v>
      </c>
      <c r="E62" s="41">
        <f t="shared" si="1"/>
        <v>0</v>
      </c>
    </row>
    <row r="63" spans="1:5" ht="15.75" customHeight="1">
      <c r="A63" s="21" t="s">
        <v>38</v>
      </c>
      <c r="B63" s="36">
        <f>B69+B64+B77</f>
        <v>2993649.69</v>
      </c>
      <c r="C63" s="36">
        <f>C69+C64+C77</f>
        <v>2823555.29</v>
      </c>
      <c r="D63" s="40">
        <f t="shared" si="0"/>
        <v>94.31815951718787</v>
      </c>
      <c r="E63" s="41">
        <f t="shared" si="1"/>
        <v>-170094.3999999999</v>
      </c>
    </row>
    <row r="64" spans="1:5" ht="15.75" customHeight="1">
      <c r="A64" s="60" t="s">
        <v>157</v>
      </c>
      <c r="B64" s="36">
        <f>SUM(B65:B68)</f>
        <v>8094.4</v>
      </c>
      <c r="C64" s="36">
        <f>SUM(C65:C68)</f>
        <v>0</v>
      </c>
      <c r="D64" s="40">
        <f>IF(B64=0,"   ",C64/B64*100)</f>
        <v>0</v>
      </c>
      <c r="E64" s="41">
        <f>C64-B64</f>
        <v>-8094.4</v>
      </c>
    </row>
    <row r="65" spans="1:5" ht="15.75" customHeight="1">
      <c r="A65" s="60" t="s">
        <v>158</v>
      </c>
      <c r="B65" s="36">
        <v>0</v>
      </c>
      <c r="C65" s="36">
        <v>0</v>
      </c>
      <c r="D65" s="40" t="str">
        <f>IF(B65=0,"   ",C65/B65*100)</f>
        <v>   </v>
      </c>
      <c r="E65" s="41">
        <f>C65-B65</f>
        <v>0</v>
      </c>
    </row>
    <row r="66" spans="1:5" ht="15.75" customHeight="1">
      <c r="A66" s="60" t="s">
        <v>180</v>
      </c>
      <c r="B66" s="36">
        <v>194.4</v>
      </c>
      <c r="C66" s="36">
        <v>0</v>
      </c>
      <c r="D66" s="40">
        <f>IF(B66=0,"   ",C66/B66*100)</f>
        <v>0</v>
      </c>
      <c r="E66" s="41">
        <f>C66-B66</f>
        <v>-194.4</v>
      </c>
    </row>
    <row r="67" spans="1:5" ht="15.75" customHeight="1">
      <c r="A67" s="60" t="s">
        <v>299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.75" customHeight="1">
      <c r="A68" s="60" t="s">
        <v>300</v>
      </c>
      <c r="B68" s="36">
        <v>7900</v>
      </c>
      <c r="C68" s="36">
        <v>0</v>
      </c>
      <c r="D68" s="40">
        <f>IF(B68=0,"   ",C68/B68*100)</f>
        <v>0</v>
      </c>
      <c r="E68" s="41">
        <f>C68-B68</f>
        <v>-7900</v>
      </c>
    </row>
    <row r="69" spans="1:5" ht="13.5">
      <c r="A69" s="68" t="s">
        <v>124</v>
      </c>
      <c r="B69" s="36">
        <f>SUM(B70:B76)</f>
        <v>2832610</v>
      </c>
      <c r="C69" s="36">
        <f>SUM(C70:C76)</f>
        <v>2732610</v>
      </c>
      <c r="D69" s="40">
        <f t="shared" si="0"/>
        <v>96.46968696714337</v>
      </c>
      <c r="E69" s="41">
        <f t="shared" si="1"/>
        <v>-100000</v>
      </c>
    </row>
    <row r="70" spans="1:5" ht="21.75" customHeight="1">
      <c r="A70" s="60" t="s">
        <v>141</v>
      </c>
      <c r="B70" s="36">
        <v>100000</v>
      </c>
      <c r="C70" s="36">
        <v>0</v>
      </c>
      <c r="D70" s="40">
        <f t="shared" si="0"/>
        <v>0</v>
      </c>
      <c r="E70" s="41">
        <f t="shared" si="1"/>
        <v>-100000</v>
      </c>
    </row>
    <row r="71" spans="1:5" ht="30.75" customHeight="1">
      <c r="A71" s="17" t="s">
        <v>237</v>
      </c>
      <c r="B71" s="36">
        <v>525610</v>
      </c>
      <c r="C71" s="36">
        <v>525610</v>
      </c>
      <c r="D71" s="40">
        <f t="shared" si="0"/>
        <v>100</v>
      </c>
      <c r="E71" s="41">
        <f t="shared" si="1"/>
        <v>0</v>
      </c>
    </row>
    <row r="72" spans="1:5" ht="30" customHeight="1">
      <c r="A72" s="17" t="s">
        <v>238</v>
      </c>
      <c r="B72" s="36">
        <v>381400</v>
      </c>
      <c r="C72" s="36">
        <v>381400</v>
      </c>
      <c r="D72" s="40">
        <f t="shared" si="0"/>
        <v>100</v>
      </c>
      <c r="E72" s="41">
        <f t="shared" si="1"/>
        <v>0</v>
      </c>
    </row>
    <row r="73" spans="1:5" ht="26.25" customHeight="1">
      <c r="A73" s="17" t="s">
        <v>239</v>
      </c>
      <c r="B73" s="36">
        <v>978300</v>
      </c>
      <c r="C73" s="36">
        <v>978300</v>
      </c>
      <c r="D73" s="40">
        <f t="shared" si="0"/>
        <v>100</v>
      </c>
      <c r="E73" s="41">
        <f t="shared" si="1"/>
        <v>0</v>
      </c>
    </row>
    <row r="74" spans="1:5" ht="27" customHeight="1">
      <c r="A74" s="17" t="s">
        <v>240</v>
      </c>
      <c r="B74" s="36">
        <v>108700</v>
      </c>
      <c r="C74" s="36">
        <v>108700</v>
      </c>
      <c r="D74" s="40">
        <f t="shared" si="0"/>
        <v>100</v>
      </c>
      <c r="E74" s="41">
        <f t="shared" si="1"/>
        <v>0</v>
      </c>
    </row>
    <row r="75" spans="1:5" ht="24" customHeight="1">
      <c r="A75" s="17" t="s">
        <v>241</v>
      </c>
      <c r="B75" s="36">
        <v>664700</v>
      </c>
      <c r="C75" s="36">
        <v>664700</v>
      </c>
      <c r="D75" s="40">
        <f>IF(B75=0,"   ",C75/B75*100)</f>
        <v>100</v>
      </c>
      <c r="E75" s="41">
        <f>C75-B75</f>
        <v>0</v>
      </c>
    </row>
    <row r="76" spans="1:5" ht="31.5" customHeight="1">
      <c r="A76" s="17" t="s">
        <v>242</v>
      </c>
      <c r="B76" s="36">
        <v>73900</v>
      </c>
      <c r="C76" s="36">
        <v>73900</v>
      </c>
      <c r="D76" s="40">
        <f t="shared" si="0"/>
        <v>100</v>
      </c>
      <c r="E76" s="41">
        <f t="shared" si="1"/>
        <v>0</v>
      </c>
    </row>
    <row r="77" spans="1:5" ht="23.25" customHeight="1">
      <c r="A77" s="68" t="s">
        <v>168</v>
      </c>
      <c r="B77" s="36">
        <f>SUM(B79+B78)</f>
        <v>152945.28999999998</v>
      </c>
      <c r="C77" s="36">
        <f>SUM(C79+C78)</f>
        <v>90945.29</v>
      </c>
      <c r="D77" s="40">
        <f>IF(B77=0,"   ",C77/B77*100)</f>
        <v>59.46262876091183</v>
      </c>
      <c r="E77" s="41">
        <f>C77-B77</f>
        <v>-61999.999999999985</v>
      </c>
    </row>
    <row r="78" spans="1:5" ht="23.25" customHeight="1">
      <c r="A78" s="17" t="s">
        <v>147</v>
      </c>
      <c r="B78" s="36">
        <v>102945.29</v>
      </c>
      <c r="C78" s="36">
        <v>80945.29</v>
      </c>
      <c r="D78" s="40">
        <f>IF(B78=0,"   ",C78/B78*100)</f>
        <v>78.62942539673257</v>
      </c>
      <c r="E78" s="41">
        <f>C78-B78</f>
        <v>-22000</v>
      </c>
    </row>
    <row r="79" spans="1:5" ht="23.25" customHeight="1">
      <c r="A79" s="60" t="s">
        <v>169</v>
      </c>
      <c r="B79" s="36">
        <v>50000</v>
      </c>
      <c r="C79" s="36">
        <v>10000</v>
      </c>
      <c r="D79" s="40">
        <f>IF(B79=0,"   ",C79/B79*100)</f>
        <v>20</v>
      </c>
      <c r="E79" s="41">
        <f>C79-B79</f>
        <v>-40000</v>
      </c>
    </row>
    <row r="80" spans="1:5" ht="17.25" customHeight="1">
      <c r="A80" s="21" t="s">
        <v>13</v>
      </c>
      <c r="B80" s="36">
        <f>SUM(B92,B81+B101)</f>
        <v>1267957.6600000001</v>
      </c>
      <c r="C80" s="36">
        <f>SUM(C92,C81+C101)</f>
        <v>1051876.45</v>
      </c>
      <c r="D80" s="40">
        <f t="shared" si="0"/>
        <v>82.95832606902661</v>
      </c>
      <c r="E80" s="41">
        <f t="shared" si="1"/>
        <v>-216081.2100000002</v>
      </c>
    </row>
    <row r="81" spans="1:5" ht="15.75" customHeight="1">
      <c r="A81" s="21" t="s">
        <v>87</v>
      </c>
      <c r="B81" s="36">
        <f>SUM(B82+B83+B86+B87+B88)</f>
        <v>653537.66</v>
      </c>
      <c r="C81" s="36">
        <f>SUM(C82+C83+C86+C87+C88)</f>
        <v>437456.45</v>
      </c>
      <c r="D81" s="40">
        <f t="shared" si="0"/>
        <v>66.93668579099176</v>
      </c>
      <c r="E81" s="41">
        <f t="shared" si="1"/>
        <v>-216081.21000000002</v>
      </c>
    </row>
    <row r="82" spans="1:5" ht="15.75" customHeight="1">
      <c r="A82" s="38" t="s">
        <v>265</v>
      </c>
      <c r="B82" s="36">
        <v>135000</v>
      </c>
      <c r="C82" s="36">
        <v>35000</v>
      </c>
      <c r="D82" s="40">
        <f aca="true" t="shared" si="2" ref="D82:D88">IF(B82=0,"   ",C82/B82*100)</f>
        <v>25.925925925925924</v>
      </c>
      <c r="E82" s="41">
        <f aca="true" t="shared" si="3" ref="E82:E88">C82-B82</f>
        <v>-100000</v>
      </c>
    </row>
    <row r="83" spans="1:5" ht="36.75" customHeight="1">
      <c r="A83" s="21" t="s">
        <v>186</v>
      </c>
      <c r="B83" s="36">
        <v>28000</v>
      </c>
      <c r="C83" s="36">
        <v>0</v>
      </c>
      <c r="D83" s="40">
        <f t="shared" si="2"/>
        <v>0</v>
      </c>
      <c r="E83" s="41">
        <f t="shared" si="3"/>
        <v>-28000</v>
      </c>
    </row>
    <row r="84" spans="1:5" ht="15.75" customHeight="1">
      <c r="A84" s="21" t="s">
        <v>272</v>
      </c>
      <c r="B84" s="36">
        <v>0</v>
      </c>
      <c r="C84" s="36">
        <v>0</v>
      </c>
      <c r="D84" s="40" t="str">
        <f t="shared" si="2"/>
        <v>   </v>
      </c>
      <c r="E84" s="41">
        <f t="shared" si="3"/>
        <v>0</v>
      </c>
    </row>
    <row r="85" spans="1:5" ht="15.75" customHeight="1">
      <c r="A85" s="21" t="s">
        <v>280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5.75" customHeight="1">
      <c r="A86" s="21" t="s">
        <v>325</v>
      </c>
      <c r="B86" s="36">
        <v>270577.4</v>
      </c>
      <c r="C86" s="36">
        <v>182496.19</v>
      </c>
      <c r="D86" s="40">
        <f t="shared" si="2"/>
        <v>67.44694494070828</v>
      </c>
      <c r="E86" s="41">
        <f t="shared" si="3"/>
        <v>-88081.21000000002</v>
      </c>
    </row>
    <row r="87" spans="1:5" ht="15.75" customHeight="1">
      <c r="A87" s="21" t="s">
        <v>338</v>
      </c>
      <c r="B87" s="36">
        <v>219960.26</v>
      </c>
      <c r="C87" s="36">
        <v>219960.26</v>
      </c>
      <c r="D87" s="40">
        <f t="shared" si="2"/>
        <v>100</v>
      </c>
      <c r="E87" s="41">
        <f t="shared" si="3"/>
        <v>0</v>
      </c>
    </row>
    <row r="88" spans="1:5" ht="15.75" customHeight="1">
      <c r="A88" s="17" t="s">
        <v>196</v>
      </c>
      <c r="B88" s="36">
        <f>B90+B89+B91</f>
        <v>0</v>
      </c>
      <c r="C88" s="36">
        <f>C90+C89+C91</f>
        <v>0</v>
      </c>
      <c r="D88" s="40" t="str">
        <f t="shared" si="2"/>
        <v>   </v>
      </c>
      <c r="E88" s="41">
        <f t="shared" si="3"/>
        <v>0</v>
      </c>
    </row>
    <row r="89" spans="1:5" ht="27.75" customHeight="1">
      <c r="A89" s="17" t="s">
        <v>178</v>
      </c>
      <c r="B89" s="36">
        <v>0</v>
      </c>
      <c r="C89" s="36">
        <v>0</v>
      </c>
      <c r="D89" s="40" t="str">
        <f t="shared" si="0"/>
        <v>   </v>
      </c>
      <c r="E89" s="41">
        <f t="shared" si="1"/>
        <v>0</v>
      </c>
    </row>
    <row r="90" spans="1:5" ht="27.75" customHeight="1">
      <c r="A90" s="17" t="s">
        <v>190</v>
      </c>
      <c r="B90" s="36">
        <v>0</v>
      </c>
      <c r="C90" s="36">
        <v>0</v>
      </c>
      <c r="D90" s="40" t="str">
        <f t="shared" si="0"/>
        <v>   </v>
      </c>
      <c r="E90" s="41">
        <f t="shared" si="1"/>
        <v>0</v>
      </c>
    </row>
    <row r="91" spans="1:5" ht="27.75" customHeight="1">
      <c r="A91" s="17" t="s">
        <v>202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13.5">
      <c r="A92" s="21" t="s">
        <v>58</v>
      </c>
      <c r="B92" s="36">
        <f>B93+B94+B95+B96+B100</f>
        <v>614320</v>
      </c>
      <c r="C92" s="36">
        <f>C93+C94+C95+C96+C100</f>
        <v>614320</v>
      </c>
      <c r="D92" s="40">
        <f t="shared" si="0"/>
        <v>100</v>
      </c>
      <c r="E92" s="41">
        <f t="shared" si="1"/>
        <v>0</v>
      </c>
    </row>
    <row r="93" spans="1:5" ht="13.5">
      <c r="A93" s="21" t="s">
        <v>56</v>
      </c>
      <c r="B93" s="36">
        <v>382800</v>
      </c>
      <c r="C93" s="36">
        <v>382800</v>
      </c>
      <c r="D93" s="40">
        <f t="shared" si="0"/>
        <v>100</v>
      </c>
      <c r="E93" s="41">
        <f t="shared" si="1"/>
        <v>0</v>
      </c>
    </row>
    <row r="94" spans="1:5" ht="13.5">
      <c r="A94" s="21" t="s">
        <v>59</v>
      </c>
      <c r="B94" s="36">
        <v>0</v>
      </c>
      <c r="C94" s="107">
        <v>0</v>
      </c>
      <c r="D94" s="40" t="str">
        <f t="shared" si="0"/>
        <v>   </v>
      </c>
      <c r="E94" s="41">
        <f t="shared" si="1"/>
        <v>0</v>
      </c>
    </row>
    <row r="95" spans="1:5" ht="13.5">
      <c r="A95" s="21" t="s">
        <v>338</v>
      </c>
      <c r="B95" s="36">
        <v>231520</v>
      </c>
      <c r="C95" s="107">
        <v>231520</v>
      </c>
      <c r="D95" s="40">
        <f>IF(B95=0,"   ",C95/B95*100)</f>
        <v>100</v>
      </c>
      <c r="E95" s="41">
        <f>C95-B95</f>
        <v>0</v>
      </c>
    </row>
    <row r="96" spans="1:5" ht="13.5">
      <c r="A96" s="17" t="s">
        <v>196</v>
      </c>
      <c r="B96" s="36">
        <f>B98+B97+B99</f>
        <v>0</v>
      </c>
      <c r="C96" s="36">
        <f>C98+C97+C99</f>
        <v>0</v>
      </c>
      <c r="D96" s="40" t="str">
        <f>IF(B96=0,"   ",C96/B96*100)</f>
        <v>   </v>
      </c>
      <c r="E96" s="41">
        <f>C96-B96</f>
        <v>0</v>
      </c>
    </row>
    <row r="97" spans="1:5" ht="27">
      <c r="A97" s="17" t="s">
        <v>178</v>
      </c>
      <c r="B97" s="36">
        <v>0</v>
      </c>
      <c r="C97" s="107">
        <v>0</v>
      </c>
      <c r="D97" s="40" t="str">
        <f>IF(B97=0,"   ",C97/B97*100)</f>
        <v>   </v>
      </c>
      <c r="E97" s="41">
        <f>C97-B97</f>
        <v>0</v>
      </c>
    </row>
    <row r="98" spans="1:5" ht="27">
      <c r="A98" s="17" t="s">
        <v>190</v>
      </c>
      <c r="B98" s="36">
        <v>0</v>
      </c>
      <c r="C98" s="107">
        <v>0</v>
      </c>
      <c r="D98" s="40" t="str">
        <f>IF(B98=0,"   ",C98/B98*100)</f>
        <v>   </v>
      </c>
      <c r="E98" s="41">
        <f>C98-B98</f>
        <v>0</v>
      </c>
    </row>
    <row r="99" spans="1:5" ht="27">
      <c r="A99" s="17" t="s">
        <v>202</v>
      </c>
      <c r="B99" s="36">
        <v>0</v>
      </c>
      <c r="C99" s="107">
        <v>0</v>
      </c>
      <c r="D99" s="40" t="str">
        <f>IF(B99=0,"   ",C99/B99*100)</f>
        <v>   </v>
      </c>
      <c r="E99" s="41">
        <f>C99-B99</f>
        <v>0</v>
      </c>
    </row>
    <row r="100" spans="1:5" ht="27" customHeight="1" thickBot="1">
      <c r="A100" s="17" t="s">
        <v>273</v>
      </c>
      <c r="B100" s="36">
        <v>0</v>
      </c>
      <c r="C100" s="107">
        <v>0</v>
      </c>
      <c r="D100" s="40" t="str">
        <f t="shared" si="0"/>
        <v>   </v>
      </c>
      <c r="E100" s="41">
        <f t="shared" si="1"/>
        <v>0</v>
      </c>
    </row>
    <row r="101" spans="1:5" ht="15.75" customHeight="1" thickBot="1">
      <c r="A101" s="62" t="s">
        <v>310</v>
      </c>
      <c r="B101" s="111">
        <f>SUM(B102)</f>
        <v>100</v>
      </c>
      <c r="C101" s="111">
        <f>SUM(C102)</f>
        <v>100</v>
      </c>
      <c r="D101" s="40">
        <f>IF(B101=0,"   ",C101/B101*100)</f>
        <v>100</v>
      </c>
      <c r="E101" s="41">
        <f>C101-B101</f>
        <v>0</v>
      </c>
    </row>
    <row r="102" spans="1:5" ht="15" customHeight="1">
      <c r="A102" s="62" t="s">
        <v>261</v>
      </c>
      <c r="B102" s="36">
        <v>100</v>
      </c>
      <c r="C102" s="99">
        <v>100</v>
      </c>
      <c r="D102" s="40">
        <f>IF(B102=0,"   ",C102/B102*100)</f>
        <v>100</v>
      </c>
      <c r="E102" s="41">
        <f>C102-B102</f>
        <v>0</v>
      </c>
    </row>
    <row r="103" spans="1:5" ht="12.75" customHeight="1">
      <c r="A103" s="21" t="s">
        <v>17</v>
      </c>
      <c r="B103" s="36">
        <v>0</v>
      </c>
      <c r="C103" s="36">
        <v>0</v>
      </c>
      <c r="D103" s="40" t="str">
        <f t="shared" si="0"/>
        <v>   </v>
      </c>
      <c r="E103" s="41">
        <f t="shared" si="1"/>
        <v>0</v>
      </c>
    </row>
    <row r="104" spans="1:5" ht="19.5" customHeight="1">
      <c r="A104" s="21" t="s">
        <v>41</v>
      </c>
      <c r="B104" s="143">
        <f>B105</f>
        <v>2671600</v>
      </c>
      <c r="C104" s="143">
        <f>C105</f>
        <v>2671600</v>
      </c>
      <c r="D104" s="40">
        <f t="shared" si="0"/>
        <v>100</v>
      </c>
      <c r="E104" s="41">
        <f t="shared" si="1"/>
        <v>0</v>
      </c>
    </row>
    <row r="105" spans="1:5" ht="15" customHeight="1">
      <c r="A105" s="21" t="s">
        <v>42</v>
      </c>
      <c r="B105" s="36">
        <v>2671600</v>
      </c>
      <c r="C105" s="107">
        <v>2671600</v>
      </c>
      <c r="D105" s="40">
        <f t="shared" si="0"/>
        <v>100</v>
      </c>
      <c r="E105" s="41">
        <f t="shared" si="1"/>
        <v>0</v>
      </c>
    </row>
    <row r="106" spans="1:5" ht="14.25" customHeight="1">
      <c r="A106" s="21" t="s">
        <v>119</v>
      </c>
      <c r="B106" s="36">
        <f>SUM(B107,)</f>
        <v>20000</v>
      </c>
      <c r="C106" s="36">
        <f>SUM(C107,)</f>
        <v>0</v>
      </c>
      <c r="D106" s="40">
        <f t="shared" si="0"/>
        <v>0</v>
      </c>
      <c r="E106" s="41">
        <f t="shared" si="1"/>
        <v>-20000</v>
      </c>
    </row>
    <row r="107" spans="1:5" ht="13.5">
      <c r="A107" s="21" t="s">
        <v>43</v>
      </c>
      <c r="B107" s="36">
        <v>20000</v>
      </c>
      <c r="C107" s="99">
        <v>0</v>
      </c>
      <c r="D107" s="40">
        <f t="shared" si="0"/>
        <v>0</v>
      </c>
      <c r="E107" s="41">
        <f t="shared" si="1"/>
        <v>-20000</v>
      </c>
    </row>
    <row r="108" spans="1:5" ht="27.75" customHeight="1">
      <c r="A108" s="44" t="s">
        <v>15</v>
      </c>
      <c r="B108" s="116">
        <f>SUM(B50,B59,B61,B63,B80,B103,B104,B106,)</f>
        <v>8557179</v>
      </c>
      <c r="C108" s="116">
        <f>SUM(C50,C59,C61,C63,C80,C103,C104,C106,)</f>
        <v>8079236.72</v>
      </c>
      <c r="D108" s="46">
        <f>IF(B108=0,"   ",C108/B108*100)</f>
        <v>94.41472148706951</v>
      </c>
      <c r="E108" s="47">
        <f t="shared" si="1"/>
        <v>-477942.28000000026</v>
      </c>
    </row>
    <row r="109" spans="1:5" s="13" customFormat="1" ht="31.5" customHeight="1">
      <c r="A109" s="71" t="s">
        <v>290</v>
      </c>
      <c r="B109" s="71"/>
      <c r="C109" s="165"/>
      <c r="D109" s="165"/>
      <c r="E109" s="165"/>
    </row>
    <row r="110" spans="1:5" s="13" customFormat="1" ht="12" customHeight="1">
      <c r="A110" s="71" t="s">
        <v>146</v>
      </c>
      <c r="B110" s="71"/>
      <c r="C110" s="72" t="s">
        <v>291</v>
      </c>
      <c r="D110" s="73"/>
      <c r="E110" s="74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22"/>
      <c r="B113" s="22"/>
      <c r="C113" s="22"/>
      <c r="D113" s="22"/>
      <c r="E113" s="22"/>
    </row>
    <row r="114" spans="1:5" ht="13.5">
      <c r="A114" s="22"/>
      <c r="B114" s="22"/>
      <c r="C114" s="22"/>
      <c r="D114" s="22"/>
      <c r="E114" s="22"/>
    </row>
    <row r="115" spans="1:5" ht="15">
      <c r="A115" s="75"/>
      <c r="B115" s="75"/>
      <c r="C115" s="75"/>
      <c r="D115" s="75"/>
      <c r="E115" s="75"/>
    </row>
    <row r="116" spans="1:5" ht="15">
      <c r="A116" s="75"/>
      <c r="B116" s="75"/>
      <c r="C116" s="75"/>
      <c r="D116" s="75"/>
      <c r="E116" s="75"/>
    </row>
    <row r="117" spans="1:5" ht="15">
      <c r="A117" s="75"/>
      <c r="B117" s="75"/>
      <c r="C117" s="75"/>
      <c r="D117" s="75"/>
      <c r="E117" s="75"/>
    </row>
    <row r="118" spans="1:5" ht="12.75">
      <c r="A118" s="15"/>
      <c r="B118" s="15"/>
      <c r="C118" s="15"/>
      <c r="D118" s="15"/>
      <c r="E118" s="15"/>
    </row>
  </sheetData>
  <sheetProtection/>
  <mergeCells count="2">
    <mergeCell ref="A1:E1"/>
    <mergeCell ref="C109:E109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31">
      <selection activeCell="C21" sqref="C21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6" t="s">
        <v>347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292</v>
      </c>
      <c r="C4" s="26" t="s">
        <v>341</v>
      </c>
      <c r="D4" s="25" t="s">
        <v>293</v>
      </c>
      <c r="E4" s="27" t="s">
        <v>294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56400</v>
      </c>
      <c r="C7" s="143">
        <f>C8</f>
        <v>100810.22</v>
      </c>
      <c r="D7" s="40">
        <f aca="true" t="shared" si="0" ref="D7:D108">IF(B7=0,"   ",C7/B7*100)</f>
        <v>178.74152482269503</v>
      </c>
      <c r="E7" s="41">
        <f aca="true" t="shared" si="1" ref="E7:E109">C7-B7</f>
        <v>44410.22</v>
      </c>
    </row>
    <row r="8" spans="1:5" ht="13.5">
      <c r="A8" s="21" t="s">
        <v>44</v>
      </c>
      <c r="B8" s="36">
        <v>56400</v>
      </c>
      <c r="C8" s="86">
        <v>100810.22</v>
      </c>
      <c r="D8" s="40">
        <f t="shared" si="0"/>
        <v>178.74152482269503</v>
      </c>
      <c r="E8" s="41">
        <f t="shared" si="1"/>
        <v>44410.22</v>
      </c>
    </row>
    <row r="9" spans="1:5" ht="13.5">
      <c r="A9" s="38" t="s">
        <v>129</v>
      </c>
      <c r="B9" s="143">
        <f>SUM(B10)</f>
        <v>509900</v>
      </c>
      <c r="C9" s="143">
        <f>SUM(C10)</f>
        <v>544462.37</v>
      </c>
      <c r="D9" s="40">
        <f t="shared" si="0"/>
        <v>106.77826436556188</v>
      </c>
      <c r="E9" s="41">
        <f t="shared" si="1"/>
        <v>34562.369999999995</v>
      </c>
    </row>
    <row r="10" spans="1:5" ht="13.5">
      <c r="A10" s="21" t="s">
        <v>130</v>
      </c>
      <c r="B10" s="36">
        <v>509900</v>
      </c>
      <c r="C10" s="86">
        <v>544462.37</v>
      </c>
      <c r="D10" s="40">
        <f t="shared" si="0"/>
        <v>106.77826436556188</v>
      </c>
      <c r="E10" s="41">
        <f t="shared" si="1"/>
        <v>34562.369999999995</v>
      </c>
    </row>
    <row r="11" spans="1:5" ht="13.5" customHeight="1">
      <c r="A11" s="21" t="s">
        <v>7</v>
      </c>
      <c r="B11" s="36">
        <f>SUM(B12:B12)</f>
        <v>148000</v>
      </c>
      <c r="C11" s="36">
        <f>SUM(C12:C12)</f>
        <v>165051.9</v>
      </c>
      <c r="D11" s="40">
        <f t="shared" si="0"/>
        <v>111.52155405405404</v>
      </c>
      <c r="E11" s="41">
        <f t="shared" si="1"/>
        <v>17051.899999999994</v>
      </c>
    </row>
    <row r="12" spans="1:5" ht="13.5" customHeight="1">
      <c r="A12" s="21" t="s">
        <v>26</v>
      </c>
      <c r="B12" s="36">
        <v>148000</v>
      </c>
      <c r="C12" s="86">
        <v>165051.9</v>
      </c>
      <c r="D12" s="40">
        <f t="shared" si="0"/>
        <v>111.52155405405404</v>
      </c>
      <c r="E12" s="41">
        <f t="shared" si="1"/>
        <v>17051.899999999994</v>
      </c>
    </row>
    <row r="13" spans="1:5" ht="13.5">
      <c r="A13" s="21" t="s">
        <v>9</v>
      </c>
      <c r="B13" s="36">
        <f>SUM(B14:B15)</f>
        <v>381000</v>
      </c>
      <c r="C13" s="36">
        <f>SUM(C14:C15)</f>
        <v>351388.63</v>
      </c>
      <c r="D13" s="40">
        <f t="shared" si="0"/>
        <v>92.22798687664041</v>
      </c>
      <c r="E13" s="41">
        <f t="shared" si="1"/>
        <v>-29611.369999999995</v>
      </c>
    </row>
    <row r="14" spans="1:5" ht="19.5" customHeight="1">
      <c r="A14" s="21" t="s">
        <v>27</v>
      </c>
      <c r="B14" s="36">
        <v>122000</v>
      </c>
      <c r="C14" s="86">
        <v>139801</v>
      </c>
      <c r="D14" s="40">
        <f t="shared" si="0"/>
        <v>114.59098360655737</v>
      </c>
      <c r="E14" s="41">
        <f t="shared" si="1"/>
        <v>17801</v>
      </c>
    </row>
    <row r="15" spans="1:5" ht="18.75" customHeight="1">
      <c r="A15" s="21" t="s">
        <v>152</v>
      </c>
      <c r="B15" s="36">
        <f>SUM(B16:B17)</f>
        <v>259000</v>
      </c>
      <c r="C15" s="36">
        <f>SUM(C16:C17)</f>
        <v>211587.63</v>
      </c>
      <c r="D15" s="40">
        <f t="shared" si="0"/>
        <v>81.69406563706563</v>
      </c>
      <c r="E15" s="41">
        <f t="shared" si="1"/>
        <v>-47412.369999999995</v>
      </c>
    </row>
    <row r="16" spans="1:5" ht="18.75" customHeight="1">
      <c r="A16" s="21" t="s">
        <v>153</v>
      </c>
      <c r="B16" s="36">
        <v>27000</v>
      </c>
      <c r="C16" s="86">
        <v>-23704.58</v>
      </c>
      <c r="D16" s="40">
        <f t="shared" si="0"/>
        <v>-87.79474074074075</v>
      </c>
      <c r="E16" s="41">
        <f t="shared" si="1"/>
        <v>-50704.58</v>
      </c>
    </row>
    <row r="17" spans="1:5" ht="18" customHeight="1">
      <c r="A17" s="21" t="s">
        <v>154</v>
      </c>
      <c r="B17" s="36">
        <v>232000</v>
      </c>
      <c r="C17" s="86">
        <v>235292.21</v>
      </c>
      <c r="D17" s="40">
        <f t="shared" si="0"/>
        <v>101.41905603448276</v>
      </c>
      <c r="E17" s="41">
        <f t="shared" si="1"/>
        <v>3292.209999999992</v>
      </c>
    </row>
    <row r="18" spans="1:5" ht="18" customHeight="1">
      <c r="A18" s="21" t="s">
        <v>187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89549.9</v>
      </c>
      <c r="D20" s="40">
        <f t="shared" si="0"/>
        <v>100.84448198198197</v>
      </c>
      <c r="E20" s="41">
        <f t="shared" si="1"/>
        <v>749.8999999999942</v>
      </c>
    </row>
    <row r="21" spans="1:5" ht="15.75" customHeight="1">
      <c r="A21" s="21" t="s">
        <v>144</v>
      </c>
      <c r="B21" s="36">
        <v>88800</v>
      </c>
      <c r="C21" s="107">
        <v>89549.9</v>
      </c>
      <c r="D21" s="40">
        <f t="shared" si="0"/>
        <v>100.84448198198197</v>
      </c>
      <c r="E21" s="41">
        <f t="shared" si="1"/>
        <v>749.8999999999942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88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-0.74</v>
      </c>
      <c r="D27" s="40" t="str">
        <f t="shared" si="0"/>
        <v>   </v>
      </c>
      <c r="E27" s="41">
        <f t="shared" si="1"/>
        <v>-0.74</v>
      </c>
    </row>
    <row r="28" spans="1:5" ht="14.25" customHeight="1">
      <c r="A28" s="21" t="s">
        <v>128</v>
      </c>
      <c r="B28" s="36">
        <v>0</v>
      </c>
      <c r="C28" s="107">
        <v>-0.74</v>
      </c>
      <c r="D28" s="40" t="str">
        <f t="shared" si="0"/>
        <v>   </v>
      </c>
      <c r="E28" s="41">
        <f t="shared" si="1"/>
        <v>-0.74</v>
      </c>
    </row>
    <row r="29" spans="1:5" ht="14.25" customHeight="1">
      <c r="A29" s="21" t="s">
        <v>105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1184100</v>
      </c>
      <c r="C30" s="116">
        <f>SUM(C7,C9,C11,C13,C19,C20,C23,C24,C26,C28,C29,C18)</f>
        <v>1251262.28</v>
      </c>
      <c r="D30" s="46">
        <f t="shared" si="0"/>
        <v>105.67201080989781</v>
      </c>
      <c r="E30" s="47">
        <f t="shared" si="1"/>
        <v>67162.28000000003</v>
      </c>
    </row>
    <row r="31" spans="1:5" ht="18" customHeight="1">
      <c r="A31" s="62" t="s">
        <v>132</v>
      </c>
      <c r="B31" s="145">
        <f>SUM(B32:B35,B38,B39,B40,B45+B47)</f>
        <v>2462500</v>
      </c>
      <c r="C31" s="145">
        <f>SUM(C32:C35,C38,C39,C40,C45+C47)</f>
        <v>2462500</v>
      </c>
      <c r="D31" s="46">
        <f t="shared" si="0"/>
        <v>100</v>
      </c>
      <c r="E31" s="47">
        <f t="shared" si="1"/>
        <v>0</v>
      </c>
    </row>
    <row r="32" spans="1:5" ht="16.5" customHeight="1">
      <c r="A32" s="38" t="s">
        <v>34</v>
      </c>
      <c r="B32" s="143">
        <v>1570200</v>
      </c>
      <c r="C32" s="86">
        <v>1570200</v>
      </c>
      <c r="D32" s="40">
        <f t="shared" si="0"/>
        <v>100</v>
      </c>
      <c r="E32" s="41">
        <f t="shared" si="1"/>
        <v>0</v>
      </c>
    </row>
    <row r="33" spans="1:5" ht="16.5" customHeight="1">
      <c r="A33" s="38" t="s">
        <v>218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103700</v>
      </c>
      <c r="C34" s="86">
        <v>103700</v>
      </c>
      <c r="D34" s="40">
        <f t="shared" si="0"/>
        <v>100</v>
      </c>
      <c r="E34" s="41">
        <f t="shared" si="1"/>
        <v>0</v>
      </c>
    </row>
    <row r="35" spans="1:5" ht="15.75" customHeight="1">
      <c r="A35" s="21" t="s">
        <v>140</v>
      </c>
      <c r="B35" s="36">
        <f>SUM(B36:B37)</f>
        <v>100</v>
      </c>
      <c r="C35" s="36">
        <f>SUM(C36:C37)</f>
        <v>100</v>
      </c>
      <c r="D35" s="40">
        <f t="shared" si="0"/>
        <v>100</v>
      </c>
      <c r="E35" s="41">
        <f t="shared" si="1"/>
        <v>0</v>
      </c>
    </row>
    <row r="36" spans="1:5" ht="16.5" customHeight="1">
      <c r="A36" s="52" t="s">
        <v>155</v>
      </c>
      <c r="B36" s="36">
        <v>100</v>
      </c>
      <c r="C36" s="107">
        <v>100</v>
      </c>
      <c r="D36" s="40">
        <f>IF(B36=0,"   ",C36/B36*100)</f>
        <v>100</v>
      </c>
      <c r="E36" s="41">
        <f>C36-B36</f>
        <v>0</v>
      </c>
    </row>
    <row r="37" spans="1:5" ht="26.25" customHeight="1">
      <c r="A37" s="52" t="s">
        <v>156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226</v>
      </c>
      <c r="B38" s="36">
        <v>434000</v>
      </c>
      <c r="C38" s="107">
        <v>434000</v>
      </c>
      <c r="D38" s="40">
        <f>IF(B38=0,"   ",C38/B38*100)</f>
        <v>100</v>
      </c>
      <c r="E38" s="41">
        <f>C38-B38</f>
        <v>0</v>
      </c>
    </row>
    <row r="39" spans="1:5" ht="26.25" customHeight="1">
      <c r="A39" s="21" t="s">
        <v>282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80</v>
      </c>
      <c r="B40" s="36">
        <f>B41+B44+B43+B42</f>
        <v>308100</v>
      </c>
      <c r="C40" s="36">
        <f>C41+C44+C43+C42</f>
        <v>308100</v>
      </c>
      <c r="D40" s="40">
        <f t="shared" si="0"/>
        <v>100</v>
      </c>
      <c r="E40" s="41">
        <f t="shared" si="1"/>
        <v>0</v>
      </c>
    </row>
    <row r="41" spans="1:5" ht="16.5" customHeight="1">
      <c r="A41" s="21" t="s">
        <v>104</v>
      </c>
      <c r="B41" s="36">
        <v>308100</v>
      </c>
      <c r="C41" s="107">
        <v>308100</v>
      </c>
      <c r="D41" s="40">
        <f t="shared" si="0"/>
        <v>100</v>
      </c>
      <c r="E41" s="41">
        <f t="shared" si="1"/>
        <v>0</v>
      </c>
    </row>
    <row r="42" spans="1:5" ht="16.5" customHeight="1">
      <c r="A42" s="21" t="s">
        <v>298</v>
      </c>
      <c r="B42" s="36">
        <v>0</v>
      </c>
      <c r="C42" s="107">
        <v>0</v>
      </c>
      <c r="D42" s="40" t="str">
        <f t="shared" si="0"/>
        <v>   </v>
      </c>
      <c r="E42" s="41">
        <f t="shared" si="1"/>
        <v>0</v>
      </c>
    </row>
    <row r="43" spans="1:5" ht="16.5" customHeight="1">
      <c r="A43" s="21" t="s">
        <v>269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179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331</v>
      </c>
      <c r="B45" s="36">
        <v>46400</v>
      </c>
      <c r="C45" s="107">
        <v>46400</v>
      </c>
      <c r="D45" s="40">
        <f t="shared" si="0"/>
        <v>100</v>
      </c>
      <c r="E45" s="41">
        <f t="shared" si="1"/>
        <v>0</v>
      </c>
    </row>
    <row r="46" spans="1:5" ht="28.5" customHeight="1">
      <c r="A46" s="21" t="s">
        <v>98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189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3646600</v>
      </c>
      <c r="C48" s="116">
        <f>SUM(C30,C31,)</f>
        <v>3713762.2800000003</v>
      </c>
      <c r="D48" s="46">
        <f t="shared" si="0"/>
        <v>101.84177809466352</v>
      </c>
      <c r="E48" s="47">
        <f t="shared" si="1"/>
        <v>67162.28000000026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1280900</v>
      </c>
      <c r="C50" s="36">
        <f>SUM(C51,C54:C55)</f>
        <v>1230031.86</v>
      </c>
      <c r="D50" s="40">
        <f t="shared" si="0"/>
        <v>96.02871886954486</v>
      </c>
      <c r="E50" s="41">
        <f t="shared" si="1"/>
        <v>-50868.1399999999</v>
      </c>
    </row>
    <row r="51" spans="1:5" ht="13.5" customHeight="1">
      <c r="A51" s="21" t="s">
        <v>36</v>
      </c>
      <c r="B51" s="36">
        <v>1280400</v>
      </c>
      <c r="C51" s="36">
        <v>1230031.86</v>
      </c>
      <c r="D51" s="40">
        <f t="shared" si="0"/>
        <v>96.06621836925962</v>
      </c>
      <c r="E51" s="41">
        <f t="shared" si="1"/>
        <v>-50368.1399999999</v>
      </c>
    </row>
    <row r="52" spans="1:5" ht="13.5">
      <c r="A52" s="21" t="s">
        <v>117</v>
      </c>
      <c r="B52" s="36">
        <v>778580.41</v>
      </c>
      <c r="C52" s="99">
        <v>777301.21</v>
      </c>
      <c r="D52" s="40">
        <f t="shared" si="0"/>
        <v>99.83570097788615</v>
      </c>
      <c r="E52" s="41">
        <f t="shared" si="1"/>
        <v>-1279.2000000000698</v>
      </c>
    </row>
    <row r="53" spans="1:5" ht="13.5">
      <c r="A53" s="21" t="s">
        <v>333</v>
      </c>
      <c r="B53" s="36">
        <v>46400</v>
      </c>
      <c r="C53" s="99">
        <v>46400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91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0</v>
      </c>
      <c r="C55" s="107">
        <f>SUM(C56)</f>
        <v>0</v>
      </c>
      <c r="D55" s="40" t="str">
        <f t="shared" si="0"/>
        <v>   </v>
      </c>
      <c r="E55" s="41">
        <f t="shared" si="1"/>
        <v>0</v>
      </c>
    </row>
    <row r="56" spans="1:5" ht="27">
      <c r="A56" s="17" t="s">
        <v>234</v>
      </c>
      <c r="B56" s="36">
        <v>0</v>
      </c>
      <c r="C56" s="107">
        <v>0</v>
      </c>
      <c r="D56" s="40" t="str">
        <f t="shared" si="0"/>
        <v>   </v>
      </c>
      <c r="E56" s="41">
        <f t="shared" si="1"/>
        <v>0</v>
      </c>
    </row>
    <row r="57" spans="1:5" ht="16.5" customHeight="1">
      <c r="A57" s="21" t="s">
        <v>49</v>
      </c>
      <c r="B57" s="107">
        <f>SUM(B58)</f>
        <v>103700</v>
      </c>
      <c r="C57" s="107">
        <f>SUM(C58)</f>
        <v>103700</v>
      </c>
      <c r="D57" s="40">
        <f t="shared" si="0"/>
        <v>100</v>
      </c>
      <c r="E57" s="41">
        <f t="shared" si="1"/>
        <v>0</v>
      </c>
    </row>
    <row r="58" spans="1:5" ht="17.25" customHeight="1">
      <c r="A58" s="21" t="s">
        <v>102</v>
      </c>
      <c r="B58" s="36">
        <v>103700</v>
      </c>
      <c r="C58" s="107">
        <v>103700</v>
      </c>
      <c r="D58" s="40">
        <f t="shared" si="0"/>
        <v>100</v>
      </c>
      <c r="E58" s="41">
        <f t="shared" si="1"/>
        <v>0</v>
      </c>
    </row>
    <row r="59" spans="1:5" ht="22.5" customHeight="1">
      <c r="A59" s="21" t="s">
        <v>37</v>
      </c>
      <c r="B59" s="36">
        <f>SUM(B60)</f>
        <v>2000</v>
      </c>
      <c r="C59" s="107">
        <f>SUM(C60)</f>
        <v>2000</v>
      </c>
      <c r="D59" s="40">
        <f t="shared" si="0"/>
        <v>100</v>
      </c>
      <c r="E59" s="41">
        <f t="shared" si="1"/>
        <v>0</v>
      </c>
    </row>
    <row r="60" spans="1:5" ht="17.25" customHeight="1">
      <c r="A60" s="60" t="s">
        <v>324</v>
      </c>
      <c r="B60" s="36">
        <v>2000</v>
      </c>
      <c r="C60" s="107">
        <v>2000</v>
      </c>
      <c r="D60" s="40">
        <f t="shared" si="0"/>
        <v>100</v>
      </c>
      <c r="E60" s="41">
        <f t="shared" si="1"/>
        <v>0</v>
      </c>
    </row>
    <row r="61" spans="1:5" ht="18.75" customHeight="1">
      <c r="A61" s="21" t="s">
        <v>38</v>
      </c>
      <c r="B61" s="36">
        <f>B69+B62+B77+B67</f>
        <v>1333162.02</v>
      </c>
      <c r="C61" s="36">
        <f>C69+C62+C77+C67</f>
        <v>1226500</v>
      </c>
      <c r="D61" s="40">
        <f t="shared" si="0"/>
        <v>91.99932053269865</v>
      </c>
      <c r="E61" s="41">
        <f t="shared" si="1"/>
        <v>-106662.02000000002</v>
      </c>
    </row>
    <row r="62" spans="1:5" ht="18.75" customHeight="1">
      <c r="A62" s="60" t="s">
        <v>157</v>
      </c>
      <c r="B62" s="36">
        <f>SUM(B65,B66)</f>
        <v>2300</v>
      </c>
      <c r="C62" s="36">
        <f>SUM(C65,C66)</f>
        <v>0</v>
      </c>
      <c r="D62" s="40">
        <f aca="true" t="shared" si="2" ref="D62:D68">IF(B62=0,"   ",C62/B62*100)</f>
        <v>0</v>
      </c>
      <c r="E62" s="41">
        <f aca="true" t="shared" si="3" ref="E62:E68">C62-B62</f>
        <v>-2300</v>
      </c>
    </row>
    <row r="63" spans="1:5" ht="18.75" customHeight="1">
      <c r="A63" s="60" t="s">
        <v>158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180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0" t="s">
        <v>299</v>
      </c>
      <c r="B65" s="36">
        <v>0</v>
      </c>
      <c r="C65" s="36">
        <v>0</v>
      </c>
      <c r="D65" s="40" t="str">
        <f t="shared" si="2"/>
        <v>   </v>
      </c>
      <c r="E65" s="41">
        <f t="shared" si="3"/>
        <v>0</v>
      </c>
    </row>
    <row r="66" spans="1:5" ht="18.75" customHeight="1">
      <c r="A66" s="60" t="s">
        <v>300</v>
      </c>
      <c r="B66" s="36">
        <v>2300</v>
      </c>
      <c r="C66" s="36">
        <v>0</v>
      </c>
      <c r="D66" s="40">
        <f t="shared" si="2"/>
        <v>0</v>
      </c>
      <c r="E66" s="41">
        <f t="shared" si="3"/>
        <v>-2300</v>
      </c>
    </row>
    <row r="67" spans="1:5" ht="18.75" customHeight="1">
      <c r="A67" s="62" t="s">
        <v>220</v>
      </c>
      <c r="B67" s="36">
        <f>SUM(B68)</f>
        <v>0</v>
      </c>
      <c r="C67" s="36">
        <f>SUM(C68)</f>
        <v>0</v>
      </c>
      <c r="D67" s="40" t="str">
        <f t="shared" si="2"/>
        <v>   </v>
      </c>
      <c r="E67" s="41">
        <f t="shared" si="3"/>
        <v>0</v>
      </c>
    </row>
    <row r="68" spans="1:5" ht="18.75" customHeight="1">
      <c r="A68" s="62" t="s">
        <v>221</v>
      </c>
      <c r="B68" s="36">
        <v>0</v>
      </c>
      <c r="C68" s="36">
        <v>0</v>
      </c>
      <c r="D68" s="40" t="str">
        <f t="shared" si="2"/>
        <v>   </v>
      </c>
      <c r="E68" s="41">
        <f t="shared" si="3"/>
        <v>0</v>
      </c>
    </row>
    <row r="69" spans="1:5" ht="13.5">
      <c r="A69" s="62" t="s">
        <v>124</v>
      </c>
      <c r="B69" s="36">
        <f>SUM(B70:B76)</f>
        <v>1290862.02</v>
      </c>
      <c r="C69" s="36">
        <f>SUM(C70:C76)</f>
        <v>1226500</v>
      </c>
      <c r="D69" s="40">
        <f t="shared" si="0"/>
        <v>95.01402791291356</v>
      </c>
      <c r="E69" s="41">
        <f t="shared" si="1"/>
        <v>-64362.02000000002</v>
      </c>
    </row>
    <row r="70" spans="1:5" ht="16.5" customHeight="1">
      <c r="A70" s="60" t="s">
        <v>141</v>
      </c>
      <c r="B70" s="36">
        <v>40000</v>
      </c>
      <c r="C70" s="36">
        <v>0</v>
      </c>
      <c r="D70" s="40">
        <f t="shared" si="0"/>
        <v>0</v>
      </c>
      <c r="E70" s="41">
        <f t="shared" si="1"/>
        <v>-40000</v>
      </c>
    </row>
    <row r="71" spans="1:5" ht="27" customHeight="1">
      <c r="A71" s="17" t="s">
        <v>237</v>
      </c>
      <c r="B71" s="36">
        <v>408862.02</v>
      </c>
      <c r="C71" s="36">
        <v>384500</v>
      </c>
      <c r="D71" s="40">
        <f>IF(B71=0,"   ",C71/B71*100)</f>
        <v>94.04150573829283</v>
      </c>
      <c r="E71" s="41">
        <f>C71-B71</f>
        <v>-24362.02000000002</v>
      </c>
    </row>
    <row r="72" spans="1:5" ht="27">
      <c r="A72" s="17" t="s">
        <v>238</v>
      </c>
      <c r="B72" s="36">
        <v>17300</v>
      </c>
      <c r="C72" s="36">
        <v>17300</v>
      </c>
      <c r="D72" s="40">
        <f t="shared" si="0"/>
        <v>100</v>
      </c>
      <c r="E72" s="41">
        <f t="shared" si="1"/>
        <v>0</v>
      </c>
    </row>
    <row r="73" spans="1:5" ht="27">
      <c r="A73" s="17" t="s">
        <v>239</v>
      </c>
      <c r="B73" s="36">
        <v>434000</v>
      </c>
      <c r="C73" s="36">
        <v>434000</v>
      </c>
      <c r="D73" s="40">
        <f t="shared" si="0"/>
        <v>100</v>
      </c>
      <c r="E73" s="41">
        <f t="shared" si="1"/>
        <v>0</v>
      </c>
    </row>
    <row r="74" spans="1:5" ht="27">
      <c r="A74" s="17" t="s">
        <v>240</v>
      </c>
      <c r="B74" s="36">
        <v>48300</v>
      </c>
      <c r="C74" s="36">
        <v>48300</v>
      </c>
      <c r="D74" s="40">
        <f t="shared" si="0"/>
        <v>100</v>
      </c>
      <c r="E74" s="41">
        <f t="shared" si="1"/>
        <v>0</v>
      </c>
    </row>
    <row r="75" spans="1:5" ht="27">
      <c r="A75" s="17" t="s">
        <v>241</v>
      </c>
      <c r="B75" s="36">
        <v>308100</v>
      </c>
      <c r="C75" s="36">
        <v>308100</v>
      </c>
      <c r="D75" s="40">
        <f t="shared" si="0"/>
        <v>100</v>
      </c>
      <c r="E75" s="41">
        <f t="shared" si="1"/>
        <v>0</v>
      </c>
    </row>
    <row r="76" spans="1:5" ht="27.75" thickBot="1">
      <c r="A76" s="62" t="s">
        <v>242</v>
      </c>
      <c r="B76" s="36">
        <v>34300</v>
      </c>
      <c r="C76" s="36">
        <v>34300</v>
      </c>
      <c r="D76" s="40">
        <f t="shared" si="0"/>
        <v>100</v>
      </c>
      <c r="E76" s="41">
        <f t="shared" si="1"/>
        <v>0</v>
      </c>
    </row>
    <row r="77" spans="1:5" ht="14.25" thickBot="1">
      <c r="A77" s="62" t="s">
        <v>168</v>
      </c>
      <c r="B77" s="93">
        <f>SUM(B78)</f>
        <v>40000</v>
      </c>
      <c r="C77" s="93">
        <f>SUM(C78)</f>
        <v>0</v>
      </c>
      <c r="D77" s="40">
        <f>IF(B77=0,"   ",C77/B77*100)</f>
        <v>0</v>
      </c>
      <c r="E77" s="41">
        <f>C77-B77</f>
        <v>-40000</v>
      </c>
    </row>
    <row r="78" spans="1:5" ht="27">
      <c r="A78" s="17" t="s">
        <v>147</v>
      </c>
      <c r="B78" s="36">
        <v>40000</v>
      </c>
      <c r="C78" s="36">
        <v>0</v>
      </c>
      <c r="D78" s="40">
        <f>IF(B78=0,"   ",C78/B78*100)</f>
        <v>0</v>
      </c>
      <c r="E78" s="41">
        <f>C78-B78</f>
        <v>-40000</v>
      </c>
    </row>
    <row r="79" spans="1:5" ht="21.75" customHeight="1">
      <c r="A79" s="21" t="s">
        <v>13</v>
      </c>
      <c r="B79" s="36">
        <f>B90+B80+B98</f>
        <v>456893.51</v>
      </c>
      <c r="C79" s="36">
        <f>C90+C80+C98</f>
        <v>325503.69</v>
      </c>
      <c r="D79" s="40">
        <f t="shared" si="0"/>
        <v>71.24279134540564</v>
      </c>
      <c r="E79" s="41">
        <f t="shared" si="1"/>
        <v>-131389.82</v>
      </c>
    </row>
    <row r="80" spans="1:5" ht="17.25" customHeight="1">
      <c r="A80" s="21" t="s">
        <v>142</v>
      </c>
      <c r="B80" s="36">
        <f>B85+B81+B82+B83+B84</f>
        <v>196793.51</v>
      </c>
      <c r="C80" s="36">
        <f>C85+C81+C82+C83+C84</f>
        <v>195403.69</v>
      </c>
      <c r="D80" s="40">
        <f aca="true" t="shared" si="4" ref="D80:D89">IF(B80=0,"   ",C80/B80*100)</f>
        <v>99.29376736051914</v>
      </c>
      <c r="E80" s="41">
        <f aca="true" t="shared" si="5" ref="E80:E89">C80-B80</f>
        <v>-1389.820000000007</v>
      </c>
    </row>
    <row r="81" spans="1:5" ht="28.5" customHeight="1">
      <c r="A81" s="21" t="s">
        <v>186</v>
      </c>
      <c r="B81" s="36">
        <v>8000</v>
      </c>
      <c r="C81" s="36">
        <v>6610.18</v>
      </c>
      <c r="D81" s="40">
        <f t="shared" si="4"/>
        <v>82.62725</v>
      </c>
      <c r="E81" s="41">
        <f t="shared" si="5"/>
        <v>-1389.8199999999997</v>
      </c>
    </row>
    <row r="82" spans="1:5" ht="18" customHeight="1">
      <c r="A82" s="21" t="s">
        <v>325</v>
      </c>
      <c r="B82" s="36">
        <v>188793.51</v>
      </c>
      <c r="C82" s="36">
        <v>188793.51</v>
      </c>
      <c r="D82" s="40"/>
      <c r="E82" s="41"/>
    </row>
    <row r="83" spans="1:5" ht="17.25" customHeight="1">
      <c r="A83" s="17" t="s">
        <v>265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7.25" customHeight="1">
      <c r="A84" s="21" t="s">
        <v>272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275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5" customHeight="1">
      <c r="A86" s="17" t="s">
        <v>266</v>
      </c>
      <c r="B86" s="36">
        <f>SUM(B87:B89)</f>
        <v>0</v>
      </c>
      <c r="C86" s="36">
        <f>SUM(C87:C89)</f>
        <v>0</v>
      </c>
      <c r="D86" s="40" t="str">
        <f t="shared" si="4"/>
        <v>   </v>
      </c>
      <c r="E86" s="41">
        <f t="shared" si="5"/>
        <v>0</v>
      </c>
    </row>
    <row r="87" spans="1:5" ht="17.25" customHeight="1">
      <c r="A87" s="17" t="s">
        <v>178</v>
      </c>
      <c r="B87" s="107">
        <v>0</v>
      </c>
      <c r="C87" s="107">
        <v>0</v>
      </c>
      <c r="D87" s="40" t="str">
        <f t="shared" si="4"/>
        <v>   </v>
      </c>
      <c r="E87" s="41">
        <f t="shared" si="5"/>
        <v>0</v>
      </c>
    </row>
    <row r="88" spans="1:5" ht="18" customHeight="1">
      <c r="A88" s="17" t="s">
        <v>190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2.75" customHeight="1">
      <c r="A89" s="17" t="s">
        <v>202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63</v>
      </c>
      <c r="B90" s="36">
        <f>B91+B92+B93+B97</f>
        <v>260000</v>
      </c>
      <c r="C90" s="36">
        <f>C91+C92+C93+C97</f>
        <v>130000</v>
      </c>
      <c r="D90" s="40">
        <f t="shared" si="0"/>
        <v>50</v>
      </c>
      <c r="E90" s="41">
        <f t="shared" si="1"/>
        <v>-130000</v>
      </c>
    </row>
    <row r="91" spans="1:5" ht="13.5">
      <c r="A91" s="21" t="s">
        <v>62</v>
      </c>
      <c r="B91" s="36">
        <v>160000</v>
      </c>
      <c r="C91" s="107">
        <v>130000</v>
      </c>
      <c r="D91" s="40">
        <f t="shared" si="0"/>
        <v>81.25</v>
      </c>
      <c r="E91" s="41">
        <f t="shared" si="1"/>
        <v>-30000</v>
      </c>
    </row>
    <row r="92" spans="1:5" ht="13.5">
      <c r="A92" s="21" t="s">
        <v>123</v>
      </c>
      <c r="B92" s="36">
        <v>100000</v>
      </c>
      <c r="C92" s="36">
        <v>0</v>
      </c>
      <c r="D92" s="40">
        <f t="shared" si="0"/>
        <v>0</v>
      </c>
      <c r="E92" s="41">
        <f t="shared" si="1"/>
        <v>-100000</v>
      </c>
    </row>
    <row r="93" spans="1:5" ht="13.5">
      <c r="A93" s="17" t="s">
        <v>196</v>
      </c>
      <c r="B93" s="36">
        <f>SUM(B94:B96)</f>
        <v>0</v>
      </c>
      <c r="C93" s="36">
        <f>SUM(C94:C96)</f>
        <v>0</v>
      </c>
      <c r="D93" s="40" t="str">
        <f t="shared" si="0"/>
        <v>   </v>
      </c>
      <c r="E93" s="41">
        <f t="shared" si="1"/>
        <v>0</v>
      </c>
    </row>
    <row r="94" spans="1:5" ht="15" customHeight="1">
      <c r="A94" s="17" t="s">
        <v>178</v>
      </c>
      <c r="B94" s="36">
        <v>0</v>
      </c>
      <c r="C94" s="36">
        <v>0</v>
      </c>
      <c r="D94" s="40" t="str">
        <f t="shared" si="0"/>
        <v>   </v>
      </c>
      <c r="E94" s="41">
        <f t="shared" si="1"/>
        <v>0</v>
      </c>
    </row>
    <row r="95" spans="1:5" ht="15" customHeight="1">
      <c r="A95" s="17" t="s">
        <v>190</v>
      </c>
      <c r="B95" s="36">
        <v>0</v>
      </c>
      <c r="C95" s="36">
        <v>0</v>
      </c>
      <c r="D95" s="40" t="str">
        <f>IF(B95=0,"   ",C95/B95*100)</f>
        <v>   </v>
      </c>
      <c r="E95" s="41">
        <f>C95-B95</f>
        <v>0</v>
      </c>
    </row>
    <row r="96" spans="1:5" ht="14.25" customHeight="1">
      <c r="A96" s="17" t="s">
        <v>202</v>
      </c>
      <c r="B96" s="36">
        <v>0</v>
      </c>
      <c r="C96" s="36">
        <v>0</v>
      </c>
      <c r="D96" s="40" t="str">
        <f>IF(B96=0,"   ",C96/B96*100)</f>
        <v>   </v>
      </c>
      <c r="E96" s="41">
        <f>C96-B96</f>
        <v>0</v>
      </c>
    </row>
    <row r="97" spans="1:5" ht="13.5" customHeight="1" thickBot="1">
      <c r="A97" s="17" t="s">
        <v>273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4.25" thickBot="1">
      <c r="A98" s="62" t="s">
        <v>310</v>
      </c>
      <c r="B98" s="111">
        <f>SUM(B99)</f>
        <v>100</v>
      </c>
      <c r="C98" s="111">
        <f>SUM(C99)</f>
        <v>100</v>
      </c>
      <c r="D98" s="40"/>
      <c r="E98" s="41"/>
    </row>
    <row r="99" spans="1:5" ht="13.5">
      <c r="A99" s="62" t="s">
        <v>261</v>
      </c>
      <c r="B99" s="36">
        <v>100</v>
      </c>
      <c r="C99" s="99">
        <v>100</v>
      </c>
      <c r="D99" s="40"/>
      <c r="E99" s="41"/>
    </row>
    <row r="100" spans="1:5" ht="21.75" customHeight="1">
      <c r="A100" s="21" t="s">
        <v>17</v>
      </c>
      <c r="B100" s="36">
        <v>8000</v>
      </c>
      <c r="C100" s="36">
        <v>0</v>
      </c>
      <c r="D100" s="40">
        <f t="shared" si="0"/>
        <v>0</v>
      </c>
      <c r="E100" s="41">
        <f t="shared" si="1"/>
        <v>-8000</v>
      </c>
    </row>
    <row r="101" spans="1:5" ht="22.5" customHeight="1">
      <c r="A101" s="21" t="s">
        <v>41</v>
      </c>
      <c r="B101" s="143">
        <f>B102</f>
        <v>699800</v>
      </c>
      <c r="C101" s="143">
        <f>C102</f>
        <v>535456.25</v>
      </c>
      <c r="D101" s="40">
        <f t="shared" si="0"/>
        <v>76.51561160331524</v>
      </c>
      <c r="E101" s="41">
        <f t="shared" si="1"/>
        <v>-164343.75</v>
      </c>
    </row>
    <row r="102" spans="1:5" ht="13.5">
      <c r="A102" s="21" t="s">
        <v>42</v>
      </c>
      <c r="B102" s="36">
        <f>SUM(B103:B106)</f>
        <v>699800</v>
      </c>
      <c r="C102" s="36">
        <f>SUM(C103:C106)</f>
        <v>535456.25</v>
      </c>
      <c r="D102" s="40">
        <f t="shared" si="0"/>
        <v>76.51561160331524</v>
      </c>
      <c r="E102" s="41">
        <f t="shared" si="1"/>
        <v>-164343.75</v>
      </c>
    </row>
    <row r="103" spans="1:5" ht="13.5">
      <c r="A103" s="21" t="s">
        <v>135</v>
      </c>
      <c r="B103" s="36">
        <v>501800</v>
      </c>
      <c r="C103" s="107">
        <v>501800</v>
      </c>
      <c r="D103" s="40">
        <f t="shared" si="0"/>
        <v>100</v>
      </c>
      <c r="E103" s="41">
        <f t="shared" si="1"/>
        <v>0</v>
      </c>
    </row>
    <row r="104" spans="1:5" ht="13.5">
      <c r="A104" s="68" t="s">
        <v>285</v>
      </c>
      <c r="B104" s="36">
        <v>0</v>
      </c>
      <c r="C104" s="107">
        <v>0</v>
      </c>
      <c r="D104" s="40" t="str">
        <f t="shared" si="0"/>
        <v>   </v>
      </c>
      <c r="E104" s="41">
        <f t="shared" si="1"/>
        <v>0</v>
      </c>
    </row>
    <row r="105" spans="1:5" ht="13.5">
      <c r="A105" s="68" t="s">
        <v>286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68" t="s">
        <v>287</v>
      </c>
      <c r="B106" s="36">
        <v>198000</v>
      </c>
      <c r="C106" s="107">
        <v>33656.25</v>
      </c>
      <c r="D106" s="40">
        <f t="shared" si="0"/>
        <v>16.998106060606062</v>
      </c>
      <c r="E106" s="41">
        <f t="shared" si="1"/>
        <v>-164343.75</v>
      </c>
    </row>
    <row r="107" spans="1:5" ht="16.5" customHeight="1">
      <c r="A107" s="21" t="s">
        <v>119</v>
      </c>
      <c r="B107" s="36">
        <f>SUM(B108,)</f>
        <v>20000</v>
      </c>
      <c r="C107" s="36">
        <f>SUM(C108,)</f>
        <v>0</v>
      </c>
      <c r="D107" s="40">
        <f t="shared" si="0"/>
        <v>0</v>
      </c>
      <c r="E107" s="41">
        <f t="shared" si="1"/>
        <v>-20000</v>
      </c>
    </row>
    <row r="108" spans="1:5" ht="13.5">
      <c r="A108" s="21" t="s">
        <v>43</v>
      </c>
      <c r="B108" s="36">
        <v>20000</v>
      </c>
      <c r="C108" s="99">
        <v>0</v>
      </c>
      <c r="D108" s="40">
        <f t="shared" si="0"/>
        <v>0</v>
      </c>
      <c r="E108" s="41">
        <f t="shared" si="1"/>
        <v>-20000</v>
      </c>
    </row>
    <row r="109" spans="1:5" ht="28.5" customHeight="1">
      <c r="A109" s="44" t="s">
        <v>15</v>
      </c>
      <c r="B109" s="116">
        <f>SUM(B50,B57,B59,B61,B79,B100,B101,B107,)</f>
        <v>3904455.5300000003</v>
      </c>
      <c r="C109" s="116">
        <f>SUM(C50,C57,C59,C61,C79,C100,C101,C107,)</f>
        <v>3423191.8000000003</v>
      </c>
      <c r="D109" s="46">
        <f>IF(B109=0,"   ",C109/B109*100)</f>
        <v>87.67398613450209</v>
      </c>
      <c r="E109" s="47">
        <f t="shared" si="1"/>
        <v>-481263.73</v>
      </c>
    </row>
    <row r="110" spans="1:5" s="13" customFormat="1" ht="33" customHeight="1">
      <c r="A110" s="71" t="s">
        <v>290</v>
      </c>
      <c r="B110" s="71"/>
      <c r="C110" s="165"/>
      <c r="D110" s="165"/>
      <c r="E110" s="165"/>
    </row>
    <row r="111" spans="1:5" s="13" customFormat="1" ht="12" customHeight="1">
      <c r="A111" s="71" t="s">
        <v>146</v>
      </c>
      <c r="B111" s="71"/>
      <c r="C111" s="72" t="s">
        <v>291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2.75">
      <c r="A114" s="6"/>
      <c r="B114" s="6"/>
      <c r="C114" s="5"/>
      <c r="D114" s="6"/>
      <c r="E114" s="2"/>
    </row>
    <row r="115" spans="1:5" ht="12.75">
      <c r="A115" s="6"/>
      <c r="B115" s="6"/>
      <c r="C115" s="5"/>
      <c r="D115" s="6"/>
      <c r="E115" s="2"/>
    </row>
  </sheetData>
  <sheetProtection/>
  <mergeCells count="2">
    <mergeCell ref="A1:E1"/>
    <mergeCell ref="C110:E110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22">
      <selection activeCell="C32" sqref="C32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17.00390625" style="0" customWidth="1"/>
    <col min="5" max="5" width="15.00390625" style="0" customWidth="1"/>
  </cols>
  <sheetData>
    <row r="1" spans="1:5" ht="13.5">
      <c r="A1" s="166" t="s">
        <v>348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292</v>
      </c>
      <c r="C4" s="26" t="s">
        <v>343</v>
      </c>
      <c r="D4" s="25" t="s">
        <v>295</v>
      </c>
      <c r="E4" s="27" t="s">
        <v>317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10740600</v>
      </c>
      <c r="C7" s="143">
        <f>SUM(C8)</f>
        <v>10762723.23</v>
      </c>
      <c r="D7" s="40">
        <f aca="true" t="shared" si="0" ref="D7:D126">IF(B7=0,"   ",C7/B7*100)</f>
        <v>100.20597759901682</v>
      </c>
      <c r="E7" s="41">
        <f aca="true" t="shared" si="1" ref="E7:E163">C7-B7</f>
        <v>22123.230000000447</v>
      </c>
    </row>
    <row r="8" spans="1:5" ht="13.5">
      <c r="A8" s="21" t="s">
        <v>44</v>
      </c>
      <c r="B8" s="36">
        <v>10740600</v>
      </c>
      <c r="C8" s="86">
        <v>10762723.23</v>
      </c>
      <c r="D8" s="40">
        <f t="shared" si="0"/>
        <v>100.20597759901682</v>
      </c>
      <c r="E8" s="41">
        <f t="shared" si="1"/>
        <v>22123.230000000447</v>
      </c>
    </row>
    <row r="9" spans="1:5" ht="18.75" customHeight="1">
      <c r="A9" s="38" t="s">
        <v>129</v>
      </c>
      <c r="B9" s="143">
        <f>SUM(B10)</f>
        <v>1438700</v>
      </c>
      <c r="C9" s="143">
        <f>SUM(C10)</f>
        <v>1536161.63</v>
      </c>
      <c r="D9" s="40">
        <f t="shared" si="0"/>
        <v>106.77428442343782</v>
      </c>
      <c r="E9" s="41">
        <f t="shared" si="1"/>
        <v>97461.62999999989</v>
      </c>
    </row>
    <row r="10" spans="1:5" ht="13.5">
      <c r="A10" s="21" t="s">
        <v>130</v>
      </c>
      <c r="B10" s="36">
        <v>1438700</v>
      </c>
      <c r="C10" s="86">
        <v>1536161.63</v>
      </c>
      <c r="D10" s="40">
        <f t="shared" si="0"/>
        <v>106.77428442343782</v>
      </c>
      <c r="E10" s="41">
        <f t="shared" si="1"/>
        <v>97461.62999999989</v>
      </c>
    </row>
    <row r="11" spans="1:5" ht="17.25" customHeight="1">
      <c r="A11" s="21" t="s">
        <v>7</v>
      </c>
      <c r="B11" s="36">
        <f>SUM(B12:B12)</f>
        <v>7000</v>
      </c>
      <c r="C11" s="143">
        <f>SUM(C12)</f>
        <v>7013.7</v>
      </c>
      <c r="D11" s="40">
        <f t="shared" si="0"/>
        <v>100.19571428571427</v>
      </c>
      <c r="E11" s="41">
        <f t="shared" si="1"/>
        <v>13.699999999999818</v>
      </c>
    </row>
    <row r="12" spans="1:5" ht="13.5">
      <c r="A12" s="21" t="s">
        <v>26</v>
      </c>
      <c r="B12" s="36">
        <v>7000</v>
      </c>
      <c r="C12" s="86">
        <v>7013.7</v>
      </c>
      <c r="D12" s="40">
        <f t="shared" si="0"/>
        <v>100.19571428571427</v>
      </c>
      <c r="E12" s="41">
        <f t="shared" si="1"/>
        <v>13.699999999999818</v>
      </c>
    </row>
    <row r="13" spans="1:5" ht="16.5" customHeight="1">
      <c r="A13" s="21" t="s">
        <v>9</v>
      </c>
      <c r="B13" s="36">
        <f>SUM(B14:B15)</f>
        <v>6577267.32</v>
      </c>
      <c r="C13" s="36">
        <f>SUM(C14:C15)</f>
        <v>6489689.83</v>
      </c>
      <c r="D13" s="40">
        <f t="shared" si="0"/>
        <v>98.66848212579566</v>
      </c>
      <c r="E13" s="41">
        <f t="shared" si="1"/>
        <v>-87577.49000000022</v>
      </c>
    </row>
    <row r="14" spans="1:5" ht="13.5">
      <c r="A14" s="21" t="s">
        <v>27</v>
      </c>
      <c r="B14" s="36">
        <v>4165000</v>
      </c>
      <c r="C14" s="86">
        <v>4158941.37</v>
      </c>
      <c r="D14" s="40">
        <f t="shared" si="0"/>
        <v>99.85453469387755</v>
      </c>
      <c r="E14" s="41">
        <f t="shared" si="1"/>
        <v>-6058.629999999888</v>
      </c>
    </row>
    <row r="15" spans="1:5" ht="13.5">
      <c r="A15" s="21" t="s">
        <v>152</v>
      </c>
      <c r="B15" s="36">
        <f>SUM(B16:B17)</f>
        <v>2412267.32</v>
      </c>
      <c r="C15" s="36">
        <f>SUM(C16:C17)</f>
        <v>2330748.46</v>
      </c>
      <c r="D15" s="40">
        <f t="shared" si="0"/>
        <v>96.62065396632742</v>
      </c>
      <c r="E15" s="41">
        <f t="shared" si="1"/>
        <v>-81518.85999999987</v>
      </c>
    </row>
    <row r="16" spans="1:5" ht="13.5">
      <c r="A16" s="21" t="s">
        <v>153</v>
      </c>
      <c r="B16" s="36">
        <v>922267.32</v>
      </c>
      <c r="C16" s="86">
        <v>900942.54</v>
      </c>
      <c r="D16" s="40">
        <f t="shared" si="0"/>
        <v>97.68778752780702</v>
      </c>
      <c r="E16" s="41">
        <f t="shared" si="1"/>
        <v>-21324.77999999991</v>
      </c>
    </row>
    <row r="17" spans="1:5" ht="13.5">
      <c r="A17" s="21" t="s">
        <v>154</v>
      </c>
      <c r="B17" s="36">
        <v>1490000</v>
      </c>
      <c r="C17" s="86">
        <v>1429805.92</v>
      </c>
      <c r="D17" s="40">
        <f t="shared" si="0"/>
        <v>95.9601288590604</v>
      </c>
      <c r="E17" s="41">
        <f t="shared" si="1"/>
        <v>-60194.080000000075</v>
      </c>
    </row>
    <row r="18" spans="1:5" ht="27">
      <c r="A18" s="21" t="s">
        <v>86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1916100</v>
      </c>
      <c r="C19" s="36">
        <f>SUM(C20:C24)</f>
        <v>2035346.6099999999</v>
      </c>
      <c r="D19" s="40">
        <f t="shared" si="0"/>
        <v>106.223402223266</v>
      </c>
      <c r="E19" s="41">
        <f t="shared" si="1"/>
        <v>119246.60999999987</v>
      </c>
    </row>
    <row r="20" spans="1:5" ht="13.5">
      <c r="A20" s="128" t="s">
        <v>145</v>
      </c>
      <c r="B20" s="36">
        <v>1042000</v>
      </c>
      <c r="C20" s="86">
        <v>1158169.19</v>
      </c>
      <c r="D20" s="40">
        <f t="shared" si="0"/>
        <v>111.14867466410747</v>
      </c>
      <c r="E20" s="41">
        <f t="shared" si="1"/>
        <v>116169.18999999994</v>
      </c>
    </row>
    <row r="21" spans="1:5" ht="13.5">
      <c r="A21" s="21" t="s">
        <v>144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0</v>
      </c>
      <c r="C22" s="86">
        <v>0</v>
      </c>
      <c r="D22" s="40" t="str">
        <f t="shared" si="0"/>
        <v>   </v>
      </c>
      <c r="E22" s="41">
        <f t="shared" si="1"/>
        <v>0</v>
      </c>
    </row>
    <row r="23" spans="1:5" ht="31.5" customHeight="1">
      <c r="A23" s="21" t="s">
        <v>316</v>
      </c>
      <c r="B23" s="36">
        <v>92000</v>
      </c>
      <c r="C23" s="86">
        <v>94492.88</v>
      </c>
      <c r="D23" s="40">
        <f>IF(B23=0,"   ",C23/B23*100)</f>
        <v>102.70965217391306</v>
      </c>
      <c r="E23" s="41">
        <f>C23-B23</f>
        <v>2492.8800000000047</v>
      </c>
    </row>
    <row r="24" spans="1:5" ht="42" customHeight="1">
      <c r="A24" s="21" t="s">
        <v>191</v>
      </c>
      <c r="B24" s="36">
        <v>782100</v>
      </c>
      <c r="C24" s="86">
        <v>782684.54</v>
      </c>
      <c r="D24" s="40">
        <f t="shared" si="0"/>
        <v>100.07473980309425</v>
      </c>
      <c r="E24" s="41">
        <f t="shared" si="1"/>
        <v>584.5400000000373</v>
      </c>
    </row>
    <row r="25" spans="1:5" ht="19.5" customHeight="1">
      <c r="A25" s="21" t="s">
        <v>88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SUM(B27:B28)</f>
        <v>41600</v>
      </c>
      <c r="C26" s="36">
        <f>SUM(C27:C28)</f>
        <v>41653.22</v>
      </c>
      <c r="D26" s="40">
        <f t="shared" si="0"/>
        <v>100.12793269230768</v>
      </c>
      <c r="E26" s="41">
        <f t="shared" si="1"/>
        <v>53.220000000001164</v>
      </c>
    </row>
    <row r="27" spans="1:5" ht="15.75" customHeight="1">
      <c r="A27" s="21" t="s">
        <v>192</v>
      </c>
      <c r="B27" s="36">
        <v>0</v>
      </c>
      <c r="C27" s="36">
        <v>0</v>
      </c>
      <c r="D27" s="40" t="str">
        <f t="shared" si="0"/>
        <v>   </v>
      </c>
      <c r="E27" s="41">
        <f t="shared" si="1"/>
        <v>0</v>
      </c>
    </row>
    <row r="28" spans="1:5" ht="19.5" customHeight="1">
      <c r="A28" s="21" t="s">
        <v>219</v>
      </c>
      <c r="B28" s="36">
        <v>41600</v>
      </c>
      <c r="C28" s="86">
        <v>41653.22</v>
      </c>
      <c r="D28" s="40">
        <f t="shared" si="0"/>
        <v>100.12793269230768</v>
      </c>
      <c r="E28" s="41">
        <f t="shared" si="1"/>
        <v>53.220000000001164</v>
      </c>
    </row>
    <row r="29" spans="1:5" ht="15" customHeight="1">
      <c r="A29" s="21" t="s">
        <v>31</v>
      </c>
      <c r="B29" s="36">
        <v>17000</v>
      </c>
      <c r="C29" s="36">
        <v>20915.18</v>
      </c>
      <c r="D29" s="40">
        <f t="shared" si="0"/>
        <v>123.03047058823529</v>
      </c>
      <c r="E29" s="41">
        <f t="shared" si="1"/>
        <v>3915.1800000000003</v>
      </c>
    </row>
    <row r="30" spans="1:5" ht="13.5">
      <c r="A30" s="21" t="s">
        <v>32</v>
      </c>
      <c r="B30" s="36">
        <f>B31+B33+B32</f>
        <v>728713.81</v>
      </c>
      <c r="C30" s="36">
        <f>C31+C33+C32</f>
        <v>759741.14</v>
      </c>
      <c r="D30" s="40">
        <f t="shared" si="0"/>
        <v>104.25782105048893</v>
      </c>
      <c r="E30" s="41">
        <f t="shared" si="1"/>
        <v>31027.329999999958</v>
      </c>
    </row>
    <row r="31" spans="1:5" ht="13.5" customHeight="1">
      <c r="A31" s="21" t="s">
        <v>46</v>
      </c>
      <c r="B31" s="36">
        <v>0</v>
      </c>
      <c r="C31" s="36">
        <v>-1.2</v>
      </c>
      <c r="D31" s="40" t="str">
        <f t="shared" si="0"/>
        <v>   </v>
      </c>
      <c r="E31" s="41">
        <f t="shared" si="1"/>
        <v>-1.2</v>
      </c>
    </row>
    <row r="32" spans="1:5" ht="13.5" customHeight="1">
      <c r="A32" s="21" t="s">
        <v>318</v>
      </c>
      <c r="B32" s="36">
        <v>728713.81</v>
      </c>
      <c r="C32" s="36">
        <v>759742.34</v>
      </c>
      <c r="D32" s="40">
        <f t="shared" si="0"/>
        <v>104.25798572418985</v>
      </c>
      <c r="E32" s="41">
        <f t="shared" si="1"/>
        <v>31028.52999999991</v>
      </c>
    </row>
    <row r="33" spans="1:5" ht="15.75" customHeight="1">
      <c r="A33" s="21" t="s">
        <v>105</v>
      </c>
      <c r="B33" s="36">
        <v>0</v>
      </c>
      <c r="C33" s="107">
        <v>0</v>
      </c>
      <c r="D33" s="40" t="str">
        <f t="shared" si="0"/>
        <v>   </v>
      </c>
      <c r="E33" s="41">
        <f t="shared" si="1"/>
        <v>0</v>
      </c>
    </row>
    <row r="34" spans="1:5" ht="15" customHeight="1">
      <c r="A34" s="44" t="s">
        <v>10</v>
      </c>
      <c r="B34" s="116">
        <f>SUM(B7,B9,B11,B13,B18,B19,B25,B26,B29,B30,)</f>
        <v>21466981.13</v>
      </c>
      <c r="C34" s="116">
        <f>SUM(C7,C9,C11,C13,C18,C19,C25,C26,C29,C30,)</f>
        <v>21653244.54</v>
      </c>
      <c r="D34" s="46">
        <f t="shared" si="0"/>
        <v>100.86767398206587</v>
      </c>
      <c r="E34" s="47">
        <f t="shared" si="1"/>
        <v>186263.41000000015</v>
      </c>
    </row>
    <row r="35" spans="1:5" ht="18" customHeight="1">
      <c r="A35" s="62" t="s">
        <v>132</v>
      </c>
      <c r="B35" s="145">
        <f>B36+B38+B39+B42+B45+B46+B47+B48+B58+B43+B44</f>
        <v>73831642.19</v>
      </c>
      <c r="C35" s="145">
        <f>C36+C38+C39+C42+C45+C46+C47+C48+C58+C43+C44</f>
        <v>56986643.120000005</v>
      </c>
      <c r="D35" s="46">
        <f t="shared" si="0"/>
        <v>77.1845802553725</v>
      </c>
      <c r="E35" s="47">
        <f t="shared" si="1"/>
        <v>-16844999.069999993</v>
      </c>
    </row>
    <row r="36" spans="1:5" ht="15" customHeight="1">
      <c r="A36" s="38" t="s">
        <v>34</v>
      </c>
      <c r="B36" s="143">
        <v>8298000</v>
      </c>
      <c r="C36" s="86">
        <v>8298000</v>
      </c>
      <c r="D36" s="40">
        <f t="shared" si="0"/>
        <v>100</v>
      </c>
      <c r="E36" s="41">
        <f t="shared" si="1"/>
        <v>0</v>
      </c>
    </row>
    <row r="37" spans="1:5" ht="15" customHeight="1">
      <c r="A37" s="38" t="s">
        <v>218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33" customHeight="1">
      <c r="A38" s="21" t="s">
        <v>51</v>
      </c>
      <c r="B38" s="36">
        <v>414700</v>
      </c>
      <c r="C38" s="86">
        <v>414700</v>
      </c>
      <c r="D38" s="40">
        <f t="shared" si="0"/>
        <v>100</v>
      </c>
      <c r="E38" s="41">
        <f t="shared" si="1"/>
        <v>0</v>
      </c>
    </row>
    <row r="39" spans="1:5" ht="33" customHeight="1">
      <c r="A39" s="21" t="s">
        <v>140</v>
      </c>
      <c r="B39" s="36">
        <f>SUM(B40:B41)</f>
        <v>31300</v>
      </c>
      <c r="C39" s="36">
        <f>SUM(C40:C41)</f>
        <v>3897.4</v>
      </c>
      <c r="D39" s="40">
        <f t="shared" si="0"/>
        <v>12.451757188498402</v>
      </c>
      <c r="E39" s="41">
        <f t="shared" si="1"/>
        <v>-27402.6</v>
      </c>
    </row>
    <row r="40" spans="1:5" ht="13.5" customHeight="1">
      <c r="A40" s="52" t="s">
        <v>155</v>
      </c>
      <c r="B40" s="36">
        <v>800</v>
      </c>
      <c r="C40" s="107">
        <v>800</v>
      </c>
      <c r="D40" s="40">
        <f>IF(B40=0,"   ",C40/B40*100)</f>
        <v>100</v>
      </c>
      <c r="E40" s="41">
        <f>C40-B40</f>
        <v>0</v>
      </c>
    </row>
    <row r="41" spans="1:5" ht="31.5" customHeight="1">
      <c r="A41" s="52" t="s">
        <v>156</v>
      </c>
      <c r="B41" s="36">
        <v>30500</v>
      </c>
      <c r="C41" s="107">
        <v>3097.4</v>
      </c>
      <c r="D41" s="40">
        <f>IF(B41=0,"   ",C41/B41*100)</f>
        <v>10.155409836065573</v>
      </c>
      <c r="E41" s="41">
        <f>C41-B41</f>
        <v>-27402.6</v>
      </c>
    </row>
    <row r="42" spans="1:5" ht="47.25" customHeight="1">
      <c r="A42" s="21" t="s">
        <v>118</v>
      </c>
      <c r="B42" s="36">
        <v>0</v>
      </c>
      <c r="C42" s="107">
        <v>0</v>
      </c>
      <c r="D42" s="40" t="str">
        <f t="shared" si="0"/>
        <v>   </v>
      </c>
      <c r="E42" s="41">
        <f t="shared" si="1"/>
        <v>0</v>
      </c>
    </row>
    <row r="43" spans="1:5" ht="33" customHeight="1">
      <c r="A43" s="21" t="s">
        <v>331</v>
      </c>
      <c r="B43" s="36">
        <v>96300</v>
      </c>
      <c r="C43" s="107">
        <v>96300</v>
      </c>
      <c r="D43" s="40">
        <f t="shared" si="0"/>
        <v>100</v>
      </c>
      <c r="E43" s="41">
        <f t="shared" si="1"/>
        <v>0</v>
      </c>
    </row>
    <row r="44" spans="1:5" ht="33" customHeight="1">
      <c r="A44" s="21" t="s">
        <v>270</v>
      </c>
      <c r="B44" s="36">
        <v>140000</v>
      </c>
      <c r="C44" s="107">
        <v>140000</v>
      </c>
      <c r="D44" s="40">
        <f t="shared" si="0"/>
        <v>100</v>
      </c>
      <c r="E44" s="41">
        <f t="shared" si="1"/>
        <v>0</v>
      </c>
    </row>
    <row r="45" spans="1:5" ht="47.25" customHeight="1">
      <c r="A45" s="21" t="s">
        <v>209</v>
      </c>
      <c r="B45" s="157">
        <v>5885076.76</v>
      </c>
      <c r="C45" s="43">
        <v>5885076.76</v>
      </c>
      <c r="D45" s="50">
        <f>IF(B45=0,"   ",C45/B45)</f>
        <v>1</v>
      </c>
      <c r="E45" s="51">
        <f>C45-B45</f>
        <v>0</v>
      </c>
    </row>
    <row r="46" spans="1:5" ht="57" customHeight="1">
      <c r="A46" s="21" t="s">
        <v>245</v>
      </c>
      <c r="B46" s="157">
        <v>1239600</v>
      </c>
      <c r="C46" s="43">
        <v>1239600</v>
      </c>
      <c r="D46" s="50">
        <f>IF(B46=0,"   ",C46/B46)</f>
        <v>1</v>
      </c>
      <c r="E46" s="51">
        <f>C46-B46</f>
        <v>0</v>
      </c>
    </row>
    <row r="47" spans="1:5" ht="58.5" customHeight="1">
      <c r="A47" s="21" t="s">
        <v>228</v>
      </c>
      <c r="B47" s="36">
        <v>1567100</v>
      </c>
      <c r="C47" s="107">
        <v>1567100</v>
      </c>
      <c r="D47" s="40">
        <f t="shared" si="0"/>
        <v>100</v>
      </c>
      <c r="E47" s="41">
        <f t="shared" si="1"/>
        <v>0</v>
      </c>
    </row>
    <row r="48" spans="1:5" ht="15" customHeight="1">
      <c r="A48" s="21" t="s">
        <v>55</v>
      </c>
      <c r="B48" s="36">
        <f>SUM(B49:B57)</f>
        <v>56159565.43</v>
      </c>
      <c r="C48" s="36">
        <f>SUM(C49:C57)</f>
        <v>39341968.96000001</v>
      </c>
      <c r="D48" s="40">
        <f t="shared" si="0"/>
        <v>70.053905614775</v>
      </c>
      <c r="E48" s="41">
        <f t="shared" si="1"/>
        <v>-16817596.46999999</v>
      </c>
    </row>
    <row r="49" spans="1:5" ht="30" customHeight="1">
      <c r="A49" s="21" t="s">
        <v>179</v>
      </c>
      <c r="B49" s="36">
        <v>1304563.69</v>
      </c>
      <c r="C49" s="36">
        <v>1304563.69</v>
      </c>
      <c r="D49" s="40">
        <f t="shared" si="0"/>
        <v>100</v>
      </c>
      <c r="E49" s="41">
        <f t="shared" si="1"/>
        <v>0</v>
      </c>
    </row>
    <row r="50" spans="1:5" ht="30" customHeight="1">
      <c r="A50" s="21" t="s">
        <v>260</v>
      </c>
      <c r="B50" s="36">
        <v>1580700</v>
      </c>
      <c r="C50" s="36">
        <v>1580700</v>
      </c>
      <c r="D50" s="40"/>
      <c r="E50" s="41"/>
    </row>
    <row r="51" spans="1:5" ht="15.75" customHeight="1">
      <c r="A51" s="21" t="s">
        <v>253</v>
      </c>
      <c r="B51" s="36">
        <v>0</v>
      </c>
      <c r="C51" s="36">
        <v>0</v>
      </c>
      <c r="D51" s="40" t="str">
        <f>IF(B51=0,"   ",C51/B51*100)</f>
        <v>   </v>
      </c>
      <c r="E51" s="41">
        <f>C51-B51</f>
        <v>0</v>
      </c>
    </row>
    <row r="52" spans="1:5" ht="18" customHeight="1">
      <c r="A52" s="21" t="s">
        <v>283</v>
      </c>
      <c r="B52" s="36">
        <v>42392061.74</v>
      </c>
      <c r="C52" s="36">
        <v>26191000</v>
      </c>
      <c r="D52" s="40">
        <f>IF(B52=0,"   ",C52/B52*100)</f>
        <v>61.78279358205143</v>
      </c>
      <c r="E52" s="41">
        <f>C52-B52</f>
        <v>-16201061.740000002</v>
      </c>
    </row>
    <row r="53" spans="1:5" ht="24" customHeight="1">
      <c r="A53" s="21" t="s">
        <v>301</v>
      </c>
      <c r="B53" s="36">
        <v>8969440</v>
      </c>
      <c r="C53" s="36">
        <v>8367438.07</v>
      </c>
      <c r="D53" s="40">
        <f>IF(B53=0,"   ",C53/B53*100)</f>
        <v>93.28829971547835</v>
      </c>
      <c r="E53" s="41">
        <f>C53-B53</f>
        <v>-602001.9299999997</v>
      </c>
    </row>
    <row r="54" spans="1:5" ht="18" customHeight="1">
      <c r="A54" s="21" t="s">
        <v>302</v>
      </c>
      <c r="B54" s="36">
        <v>0</v>
      </c>
      <c r="C54" s="36">
        <v>0</v>
      </c>
      <c r="D54" s="40"/>
      <c r="E54" s="41"/>
    </row>
    <row r="55" spans="1:5" ht="15" customHeight="1">
      <c r="A55" s="21" t="s">
        <v>269</v>
      </c>
      <c r="B55" s="36">
        <v>1045600</v>
      </c>
      <c r="C55" s="36">
        <v>1031067.2</v>
      </c>
      <c r="D55" s="40">
        <f>IF(B55=0,"   ",C55/B55*100)</f>
        <v>98.61009946442235</v>
      </c>
      <c r="E55" s="41">
        <f>C55-B55</f>
        <v>-14532.800000000047</v>
      </c>
    </row>
    <row r="56" spans="1:5" ht="15" customHeight="1">
      <c r="A56" s="21" t="s">
        <v>298</v>
      </c>
      <c r="B56" s="36">
        <v>0</v>
      </c>
      <c r="C56" s="36">
        <v>0</v>
      </c>
      <c r="D56" s="40"/>
      <c r="E56" s="41"/>
    </row>
    <row r="57" spans="1:5" ht="18" customHeight="1">
      <c r="A57" s="21" t="s">
        <v>104</v>
      </c>
      <c r="B57" s="36">
        <v>867200</v>
      </c>
      <c r="C57" s="107">
        <v>867200</v>
      </c>
      <c r="D57" s="40">
        <f t="shared" si="0"/>
        <v>100</v>
      </c>
      <c r="E57" s="41">
        <f t="shared" si="1"/>
        <v>0</v>
      </c>
    </row>
    <row r="58" spans="1:5" ht="18" customHeight="1">
      <c r="A58" s="21" t="s">
        <v>176</v>
      </c>
      <c r="B58" s="36">
        <v>0</v>
      </c>
      <c r="C58" s="107">
        <v>0</v>
      </c>
      <c r="D58" s="40" t="str">
        <f t="shared" si="0"/>
        <v>   </v>
      </c>
      <c r="E58" s="41">
        <f t="shared" si="1"/>
        <v>0</v>
      </c>
    </row>
    <row r="59" spans="1:5" ht="29.25" customHeight="1">
      <c r="A59" s="44" t="s">
        <v>11</v>
      </c>
      <c r="B59" s="116">
        <f>SUM(B34,B35,)</f>
        <v>95298623.32</v>
      </c>
      <c r="C59" s="116">
        <f>SUM(C34,C35,)</f>
        <v>78639887.66</v>
      </c>
      <c r="D59" s="46">
        <f t="shared" si="0"/>
        <v>82.51943723881278</v>
      </c>
      <c r="E59" s="47">
        <f t="shared" si="1"/>
        <v>-16658735.659999996</v>
      </c>
    </row>
    <row r="60" spans="1:5" ht="16.5" customHeight="1">
      <c r="A60" s="44"/>
      <c r="B60" s="143"/>
      <c r="C60" s="36"/>
      <c r="D60" s="40" t="str">
        <f t="shared" si="0"/>
        <v>   </v>
      </c>
      <c r="E60" s="41"/>
    </row>
    <row r="61" spans="1:5" ht="14.25">
      <c r="A61" s="56" t="s">
        <v>12</v>
      </c>
      <c r="B61" s="116"/>
      <c r="C61" s="99"/>
      <c r="D61" s="40" t="str">
        <f t="shared" si="0"/>
        <v>   </v>
      </c>
      <c r="E61" s="41"/>
    </row>
    <row r="62" spans="1:5" ht="18" customHeight="1">
      <c r="A62" s="21" t="s">
        <v>35</v>
      </c>
      <c r="B62" s="36">
        <f>SUM(B63,B66,B67)</f>
        <v>3760445</v>
      </c>
      <c r="C62" s="36">
        <f>SUM(C63,C66,C67)</f>
        <v>3590712.2</v>
      </c>
      <c r="D62" s="40">
        <f t="shared" si="0"/>
        <v>95.48636398085866</v>
      </c>
      <c r="E62" s="41">
        <f t="shared" si="1"/>
        <v>-169732.7999999998</v>
      </c>
    </row>
    <row r="63" spans="1:5" ht="16.5" customHeight="1">
      <c r="A63" s="21" t="s">
        <v>36</v>
      </c>
      <c r="B63" s="36">
        <v>3718445</v>
      </c>
      <c r="C63" s="107">
        <v>3550712.2</v>
      </c>
      <c r="D63" s="40">
        <f t="shared" si="0"/>
        <v>95.48916818723956</v>
      </c>
      <c r="E63" s="41">
        <f t="shared" si="1"/>
        <v>-167732.7999999998</v>
      </c>
    </row>
    <row r="64" spans="1:5" ht="13.5">
      <c r="A64" s="21" t="s">
        <v>116</v>
      </c>
      <c r="B64" s="36">
        <v>1943286.3</v>
      </c>
      <c r="C64" s="99">
        <v>1941631.53</v>
      </c>
      <c r="D64" s="40">
        <f t="shared" si="0"/>
        <v>99.91484682416585</v>
      </c>
      <c r="E64" s="41">
        <f t="shared" si="1"/>
        <v>-1654.7700000000186</v>
      </c>
    </row>
    <row r="65" spans="1:5" ht="13.5">
      <c r="A65" s="21" t="s">
        <v>333</v>
      </c>
      <c r="B65" s="36">
        <v>96300</v>
      </c>
      <c r="C65" s="99">
        <v>96300</v>
      </c>
      <c r="D65" s="40">
        <f>IF(B65=0,"   ",C65/B65*100)</f>
        <v>100</v>
      </c>
      <c r="E65" s="41">
        <f>C65-B65</f>
        <v>0</v>
      </c>
    </row>
    <row r="66" spans="1:5" ht="13.5">
      <c r="A66" s="21" t="s">
        <v>91</v>
      </c>
      <c r="B66" s="36">
        <v>0</v>
      </c>
      <c r="C66" s="99">
        <v>0</v>
      </c>
      <c r="D66" s="40" t="str">
        <f t="shared" si="0"/>
        <v>   </v>
      </c>
      <c r="E66" s="41">
        <f t="shared" si="1"/>
        <v>0</v>
      </c>
    </row>
    <row r="67" spans="1:5" ht="13.5">
      <c r="A67" s="21" t="s">
        <v>52</v>
      </c>
      <c r="B67" s="107">
        <f>SUM(B68+B70+B71+B69)</f>
        <v>42000</v>
      </c>
      <c r="C67" s="107">
        <f>SUM(C68+C70+C71+C69)</f>
        <v>40000</v>
      </c>
      <c r="D67" s="40">
        <f t="shared" si="0"/>
        <v>95.23809523809523</v>
      </c>
      <c r="E67" s="41">
        <f t="shared" si="1"/>
        <v>-2000</v>
      </c>
    </row>
    <row r="68" spans="1:5" ht="26.25" customHeight="1">
      <c r="A68" s="17" t="s">
        <v>232</v>
      </c>
      <c r="B68" s="36">
        <v>40000</v>
      </c>
      <c r="C68" s="36">
        <v>40000</v>
      </c>
      <c r="D68" s="40">
        <f t="shared" si="0"/>
        <v>100</v>
      </c>
      <c r="E68" s="41">
        <f t="shared" si="1"/>
        <v>0</v>
      </c>
    </row>
    <row r="69" spans="1:5" ht="12.75" customHeight="1">
      <c r="A69" s="17" t="s">
        <v>231</v>
      </c>
      <c r="B69" s="36">
        <v>2000</v>
      </c>
      <c r="C69" s="36">
        <v>0</v>
      </c>
      <c r="D69" s="40">
        <f t="shared" si="0"/>
        <v>0</v>
      </c>
      <c r="E69" s="41">
        <f t="shared" si="1"/>
        <v>-2000</v>
      </c>
    </row>
    <row r="70" spans="1:5" ht="26.25" customHeight="1">
      <c r="A70" s="17" t="s">
        <v>235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13.5">
      <c r="A71" s="17" t="s">
        <v>212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1" customHeight="1">
      <c r="A72" s="21" t="s">
        <v>49</v>
      </c>
      <c r="B72" s="107">
        <f>SUM(B73)</f>
        <v>414700</v>
      </c>
      <c r="C72" s="107">
        <f>SUM(C73)</f>
        <v>414700</v>
      </c>
      <c r="D72" s="40">
        <f t="shared" si="0"/>
        <v>100</v>
      </c>
      <c r="E72" s="41">
        <f t="shared" si="1"/>
        <v>0</v>
      </c>
    </row>
    <row r="73" spans="1:5" ht="17.25" customHeight="1">
      <c r="A73" s="21" t="s">
        <v>102</v>
      </c>
      <c r="B73" s="36">
        <v>414700</v>
      </c>
      <c r="C73" s="107">
        <v>414700</v>
      </c>
      <c r="D73" s="40">
        <f t="shared" si="0"/>
        <v>100</v>
      </c>
      <c r="E73" s="41">
        <f t="shared" si="1"/>
        <v>0</v>
      </c>
    </row>
    <row r="74" spans="1:5" ht="15.75" customHeight="1">
      <c r="A74" s="21" t="s">
        <v>37</v>
      </c>
      <c r="B74" s="107">
        <f>SUM(B75+B78)</f>
        <v>635000</v>
      </c>
      <c r="C74" s="107">
        <f>SUM(C75+C78)</f>
        <v>540742.57</v>
      </c>
      <c r="D74" s="40">
        <f t="shared" si="0"/>
        <v>85.15631023622046</v>
      </c>
      <c r="E74" s="41">
        <f t="shared" si="1"/>
        <v>-94257.43000000005</v>
      </c>
    </row>
    <row r="75" spans="1:5" ht="27" customHeight="1">
      <c r="A75" s="60" t="s">
        <v>324</v>
      </c>
      <c r="B75" s="36">
        <f>B76</f>
        <v>635000</v>
      </c>
      <c r="C75" s="36">
        <f>C76</f>
        <v>540742.57</v>
      </c>
      <c r="D75" s="40">
        <f t="shared" si="0"/>
        <v>85.15631023622046</v>
      </c>
      <c r="E75" s="41">
        <f t="shared" si="1"/>
        <v>-94257.43000000005</v>
      </c>
    </row>
    <row r="76" spans="1:5" ht="16.5" customHeight="1">
      <c r="A76" s="21" t="s">
        <v>92</v>
      </c>
      <c r="B76" s="36">
        <v>635000</v>
      </c>
      <c r="C76" s="36">
        <v>540742.57</v>
      </c>
      <c r="D76" s="40">
        <f t="shared" si="0"/>
        <v>85.15631023622046</v>
      </c>
      <c r="E76" s="41">
        <f t="shared" si="1"/>
        <v>-94257.43000000005</v>
      </c>
    </row>
    <row r="77" spans="1:5" ht="14.25" customHeight="1">
      <c r="A77" s="21" t="s">
        <v>116</v>
      </c>
      <c r="B77" s="36">
        <v>487711</v>
      </c>
      <c r="C77" s="107">
        <v>417120.98</v>
      </c>
      <c r="D77" s="40">
        <f t="shared" si="0"/>
        <v>85.52626042881953</v>
      </c>
      <c r="E77" s="41">
        <f t="shared" si="1"/>
        <v>-70590.02000000002</v>
      </c>
    </row>
    <row r="78" spans="1:5" ht="16.5" customHeight="1">
      <c r="A78" s="21" t="s">
        <v>326</v>
      </c>
      <c r="B78" s="36">
        <v>0</v>
      </c>
      <c r="C78" s="107">
        <v>0</v>
      </c>
      <c r="D78" s="40" t="str">
        <f t="shared" si="0"/>
        <v>   </v>
      </c>
      <c r="E78" s="41">
        <f t="shared" si="1"/>
        <v>0</v>
      </c>
    </row>
    <row r="79" spans="1:5" ht="18" customHeight="1">
      <c r="A79" s="21" t="s">
        <v>38</v>
      </c>
      <c r="B79" s="36">
        <f>B89+B82+B87+B104+B80</f>
        <v>8167568.220000001</v>
      </c>
      <c r="C79" s="36">
        <f>C89+C82+C87+C104+C80</f>
        <v>7825408.640000001</v>
      </c>
      <c r="D79" s="40">
        <f t="shared" si="0"/>
        <v>95.81075332603712</v>
      </c>
      <c r="E79" s="41">
        <f t="shared" si="1"/>
        <v>-342159.5800000001</v>
      </c>
    </row>
    <row r="80" spans="1:5" ht="18" customHeight="1">
      <c r="A80" s="62" t="s">
        <v>229</v>
      </c>
      <c r="B80" s="36">
        <f>SUM(B81)</f>
        <v>0</v>
      </c>
      <c r="C80" s="36">
        <f>SUM(C81)</f>
        <v>0</v>
      </c>
      <c r="D80" s="40" t="str">
        <f t="shared" si="0"/>
        <v>   </v>
      </c>
      <c r="E80" s="41">
        <f t="shared" si="1"/>
        <v>0</v>
      </c>
    </row>
    <row r="81" spans="1:5" ht="16.5" customHeight="1">
      <c r="A81" s="62" t="s">
        <v>230</v>
      </c>
      <c r="B81" s="36">
        <v>0</v>
      </c>
      <c r="C81" s="36">
        <v>0</v>
      </c>
      <c r="D81" s="40" t="str">
        <f t="shared" si="0"/>
        <v>   </v>
      </c>
      <c r="E81" s="41">
        <f t="shared" si="1"/>
        <v>0</v>
      </c>
    </row>
    <row r="82" spans="1:5" ht="18" customHeight="1">
      <c r="A82" s="62" t="s">
        <v>157</v>
      </c>
      <c r="B82" s="36">
        <f>SUM(B83:B86)</f>
        <v>103500</v>
      </c>
      <c r="C82" s="36">
        <f>SUM(C83:C86)</f>
        <v>19995.420000000002</v>
      </c>
      <c r="D82" s="40">
        <f aca="true" t="shared" si="2" ref="D82:D88">IF(B82=0,"   ",C82/B82*100)</f>
        <v>19.3192463768116</v>
      </c>
      <c r="E82" s="41">
        <f aca="true" t="shared" si="3" ref="E82:E88">C82-B82</f>
        <v>-83504.58</v>
      </c>
    </row>
    <row r="83" spans="1:5" ht="18" customHeight="1">
      <c r="A83" s="62" t="s">
        <v>161</v>
      </c>
      <c r="B83" s="36">
        <v>60000</v>
      </c>
      <c r="C83" s="36">
        <v>16898.02</v>
      </c>
      <c r="D83" s="40">
        <f t="shared" si="2"/>
        <v>28.16336666666667</v>
      </c>
      <c r="E83" s="41">
        <f t="shared" si="3"/>
        <v>-43101.979999999996</v>
      </c>
    </row>
    <row r="84" spans="1:5" ht="18" customHeight="1">
      <c r="A84" s="62" t="s">
        <v>158</v>
      </c>
      <c r="B84" s="36">
        <v>30500</v>
      </c>
      <c r="C84" s="36">
        <v>3097.4</v>
      </c>
      <c r="D84" s="40">
        <f t="shared" si="2"/>
        <v>10.155409836065573</v>
      </c>
      <c r="E84" s="41">
        <f t="shared" si="3"/>
        <v>-27402.6</v>
      </c>
    </row>
    <row r="85" spans="1:5" ht="18" customHeight="1">
      <c r="A85" s="62" t="s">
        <v>299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8" customHeight="1">
      <c r="A86" s="62" t="s">
        <v>300</v>
      </c>
      <c r="B86" s="36">
        <v>13000</v>
      </c>
      <c r="C86" s="36">
        <v>0</v>
      </c>
      <c r="D86" s="40">
        <f t="shared" si="2"/>
        <v>0</v>
      </c>
      <c r="E86" s="41">
        <f t="shared" si="3"/>
        <v>-13000</v>
      </c>
    </row>
    <row r="87" spans="1:5" ht="18" customHeight="1">
      <c r="A87" s="62" t="s">
        <v>220</v>
      </c>
      <c r="B87" s="36">
        <f>SUM(B88)</f>
        <v>0</v>
      </c>
      <c r="C87" s="36">
        <f>SUM(C88)</f>
        <v>0</v>
      </c>
      <c r="D87" s="40" t="str">
        <f t="shared" si="2"/>
        <v>   </v>
      </c>
      <c r="E87" s="41">
        <f t="shared" si="3"/>
        <v>0</v>
      </c>
    </row>
    <row r="88" spans="1:5" ht="18" customHeight="1">
      <c r="A88" s="62" t="s">
        <v>221</v>
      </c>
      <c r="B88" s="36">
        <v>0</v>
      </c>
      <c r="C88" s="36">
        <v>0</v>
      </c>
      <c r="D88" s="40" t="str">
        <f t="shared" si="2"/>
        <v>   </v>
      </c>
      <c r="E88" s="41">
        <f t="shared" si="3"/>
        <v>0</v>
      </c>
    </row>
    <row r="89" spans="1:5" ht="18.75" customHeight="1">
      <c r="A89" s="62" t="s">
        <v>124</v>
      </c>
      <c r="B89" s="36">
        <f>SUM(B90:B91,B95:B103)</f>
        <v>7994068.220000001</v>
      </c>
      <c r="C89" s="36">
        <f>SUM(C90:C91,C95:C103)</f>
        <v>7740913.220000001</v>
      </c>
      <c r="D89" s="40">
        <f t="shared" si="0"/>
        <v>96.83321441557575</v>
      </c>
      <c r="E89" s="41">
        <f t="shared" si="1"/>
        <v>-253155</v>
      </c>
    </row>
    <row r="90" spans="1:5" ht="21" customHeight="1">
      <c r="A90" s="60" t="s">
        <v>141</v>
      </c>
      <c r="B90" s="36">
        <v>150000</v>
      </c>
      <c r="C90" s="36">
        <v>0</v>
      </c>
      <c r="D90" s="40">
        <f t="shared" si="0"/>
        <v>0</v>
      </c>
      <c r="E90" s="41">
        <f t="shared" si="1"/>
        <v>-150000</v>
      </c>
    </row>
    <row r="91" spans="1:5" ht="18" customHeight="1">
      <c r="A91" s="17" t="s">
        <v>196</v>
      </c>
      <c r="B91" s="36">
        <f>SUM(B92:B94)</f>
        <v>2634509.6</v>
      </c>
      <c r="C91" s="36">
        <f>SUM(C92:C94)</f>
        <v>2634509.6</v>
      </c>
      <c r="D91" s="40">
        <f>IF(B91=0,"   ",C91/B91*100)</f>
        <v>100</v>
      </c>
      <c r="E91" s="41">
        <f>C91-B91</f>
        <v>0</v>
      </c>
    </row>
    <row r="92" spans="1:5" ht="26.25" customHeight="1">
      <c r="A92" s="17" t="s">
        <v>206</v>
      </c>
      <c r="B92" s="36">
        <v>1580700</v>
      </c>
      <c r="C92" s="36">
        <v>1580700</v>
      </c>
      <c r="D92" s="40">
        <f>IF(B92=0,"   ",C92/B92*100)</f>
        <v>100</v>
      </c>
      <c r="E92" s="41">
        <f>C92-B92</f>
        <v>0</v>
      </c>
    </row>
    <row r="93" spans="1:5" ht="30.75" customHeight="1">
      <c r="A93" s="17" t="s">
        <v>197</v>
      </c>
      <c r="B93" s="36">
        <v>790357.2</v>
      </c>
      <c r="C93" s="36">
        <v>790357.2</v>
      </c>
      <c r="D93" s="40">
        <f>IF(B93=0,"   ",C93/B93*100)</f>
        <v>100</v>
      </c>
      <c r="E93" s="41">
        <f>C93-B93</f>
        <v>0</v>
      </c>
    </row>
    <row r="94" spans="1:5" ht="25.5" customHeight="1">
      <c r="A94" s="17" t="s">
        <v>207</v>
      </c>
      <c r="B94" s="36">
        <v>263452.4</v>
      </c>
      <c r="C94" s="36">
        <v>263452.4</v>
      </c>
      <c r="D94" s="40">
        <f>IF(B94=0,"   ",C94/B94*100)</f>
        <v>100</v>
      </c>
      <c r="E94" s="41">
        <f>C94-B94</f>
        <v>0</v>
      </c>
    </row>
    <row r="95" spans="1:5" ht="28.5" customHeight="1">
      <c r="A95" s="17" t="s">
        <v>237</v>
      </c>
      <c r="B95" s="36">
        <v>0</v>
      </c>
      <c r="C95" s="36">
        <v>0</v>
      </c>
      <c r="D95" s="40" t="str">
        <f t="shared" si="0"/>
        <v>   </v>
      </c>
      <c r="E95" s="41">
        <f t="shared" si="1"/>
        <v>0</v>
      </c>
    </row>
    <row r="96" spans="1:5" ht="27" customHeight="1">
      <c r="A96" s="17" t="s">
        <v>238</v>
      </c>
      <c r="B96" s="36">
        <v>1024103.62</v>
      </c>
      <c r="C96" s="36">
        <v>1024103.62</v>
      </c>
      <c r="D96" s="40">
        <f t="shared" si="0"/>
        <v>100</v>
      </c>
      <c r="E96" s="41">
        <f t="shared" si="1"/>
        <v>0</v>
      </c>
    </row>
    <row r="97" spans="1:5" ht="30" customHeight="1">
      <c r="A97" s="17" t="s">
        <v>239</v>
      </c>
      <c r="B97" s="36">
        <v>1239600</v>
      </c>
      <c r="C97" s="36">
        <v>1239600</v>
      </c>
      <c r="D97" s="40">
        <f t="shared" si="0"/>
        <v>100</v>
      </c>
      <c r="E97" s="41">
        <f t="shared" si="1"/>
        <v>0</v>
      </c>
    </row>
    <row r="98" spans="1:5" ht="35.25" customHeight="1">
      <c r="A98" s="17" t="s">
        <v>240</v>
      </c>
      <c r="B98" s="36">
        <v>137800</v>
      </c>
      <c r="C98" s="36">
        <v>137800</v>
      </c>
      <c r="D98" s="40">
        <f t="shared" si="0"/>
        <v>100</v>
      </c>
      <c r="E98" s="41">
        <f t="shared" si="1"/>
        <v>0</v>
      </c>
    </row>
    <row r="99" spans="1:5" ht="35.25" customHeight="1">
      <c r="A99" s="17" t="s">
        <v>241</v>
      </c>
      <c r="B99" s="36">
        <v>867200</v>
      </c>
      <c r="C99" s="36">
        <v>867200</v>
      </c>
      <c r="D99" s="40">
        <f t="shared" si="0"/>
        <v>100</v>
      </c>
      <c r="E99" s="41">
        <f t="shared" si="1"/>
        <v>0</v>
      </c>
    </row>
    <row r="100" spans="1:5" ht="30" customHeight="1">
      <c r="A100" s="17" t="s">
        <v>242</v>
      </c>
      <c r="B100" s="36">
        <v>96400</v>
      </c>
      <c r="C100" s="36">
        <v>96400</v>
      </c>
      <c r="D100" s="40">
        <f t="shared" si="0"/>
        <v>100</v>
      </c>
      <c r="E100" s="41">
        <f t="shared" si="1"/>
        <v>0</v>
      </c>
    </row>
    <row r="101" spans="1:5" ht="21" customHeight="1">
      <c r="A101" s="60" t="s">
        <v>247</v>
      </c>
      <c r="B101" s="36">
        <v>103155</v>
      </c>
      <c r="C101" s="36">
        <v>0</v>
      </c>
      <c r="D101" s="40">
        <f t="shared" si="0"/>
        <v>0</v>
      </c>
      <c r="E101" s="41">
        <f t="shared" si="1"/>
        <v>-103155</v>
      </c>
    </row>
    <row r="102" spans="1:5" ht="29.25" customHeight="1">
      <c r="A102" s="17" t="s">
        <v>133</v>
      </c>
      <c r="B102" s="36">
        <v>1567100</v>
      </c>
      <c r="C102" s="36">
        <v>1567100</v>
      </c>
      <c r="D102" s="40">
        <f t="shared" si="0"/>
        <v>100</v>
      </c>
      <c r="E102" s="41">
        <f t="shared" si="1"/>
        <v>0</v>
      </c>
    </row>
    <row r="103" spans="1:5" ht="32.25" customHeight="1">
      <c r="A103" s="62" t="s">
        <v>233</v>
      </c>
      <c r="B103" s="36">
        <v>174200</v>
      </c>
      <c r="C103" s="36">
        <v>174200</v>
      </c>
      <c r="D103" s="40">
        <f t="shared" si="0"/>
        <v>100</v>
      </c>
      <c r="E103" s="41">
        <f t="shared" si="1"/>
        <v>0</v>
      </c>
    </row>
    <row r="104" spans="1:5" ht="13.5">
      <c r="A104" s="62" t="s">
        <v>168</v>
      </c>
      <c r="B104" s="39">
        <f>B105</f>
        <v>70000</v>
      </c>
      <c r="C104" s="39">
        <f>C105</f>
        <v>64500</v>
      </c>
      <c r="D104" s="50">
        <f>IF(B104=0,"   ",C104/B104)</f>
        <v>0.9214285714285714</v>
      </c>
      <c r="E104" s="51">
        <f>C104-B104</f>
        <v>-5500</v>
      </c>
    </row>
    <row r="105" spans="1:5" ht="27">
      <c r="A105" s="62" t="s">
        <v>147</v>
      </c>
      <c r="B105" s="39">
        <v>70000</v>
      </c>
      <c r="C105" s="39">
        <v>64500</v>
      </c>
      <c r="D105" s="50">
        <f>IF(B105=0,"   ",C105/B105)</f>
        <v>0.9214285714285714</v>
      </c>
      <c r="E105" s="51">
        <f>C105-B105</f>
        <v>-5500</v>
      </c>
    </row>
    <row r="106" spans="1:5" ht="27">
      <c r="A106" s="62" t="s">
        <v>169</v>
      </c>
      <c r="B106" s="39">
        <v>0</v>
      </c>
      <c r="C106" s="39">
        <v>0</v>
      </c>
      <c r="D106" s="50" t="str">
        <f>IF(B106=0,"   ",C106/B106)</f>
        <v>   </v>
      </c>
      <c r="E106" s="51">
        <f>C106-B106</f>
        <v>0</v>
      </c>
    </row>
    <row r="107" spans="1:5" ht="18" customHeight="1">
      <c r="A107" s="21" t="s">
        <v>13</v>
      </c>
      <c r="B107" s="36">
        <f>SUM(B108,B111,B124,B147)</f>
        <v>63904964.27</v>
      </c>
      <c r="C107" s="36">
        <f>SUM(C108,C111,C124,C147)</f>
        <v>47009047.97</v>
      </c>
      <c r="D107" s="40">
        <f t="shared" si="0"/>
        <v>73.56087043783586</v>
      </c>
      <c r="E107" s="41">
        <f t="shared" si="1"/>
        <v>-16895916.300000004</v>
      </c>
    </row>
    <row r="108" spans="1:5" ht="18.75" customHeight="1">
      <c r="A108" s="128" t="s">
        <v>14</v>
      </c>
      <c r="B108" s="158">
        <f>SUM(B109:B110)</f>
        <v>700000</v>
      </c>
      <c r="C108" s="158">
        <f>SUM(C109:C110)</f>
        <v>651101.4</v>
      </c>
      <c r="D108" s="40">
        <f t="shared" si="0"/>
        <v>93.01448571428573</v>
      </c>
      <c r="E108" s="41">
        <f t="shared" si="1"/>
        <v>-48898.59999999998</v>
      </c>
    </row>
    <row r="109" spans="1:5" ht="13.5">
      <c r="A109" s="21" t="s">
        <v>96</v>
      </c>
      <c r="B109" s="36">
        <v>630000</v>
      </c>
      <c r="C109" s="107">
        <v>630000</v>
      </c>
      <c r="D109" s="40">
        <f t="shared" si="0"/>
        <v>100</v>
      </c>
      <c r="E109" s="41">
        <f t="shared" si="1"/>
        <v>0</v>
      </c>
    </row>
    <row r="110" spans="1:5" ht="13.5">
      <c r="A110" s="21" t="s">
        <v>174</v>
      </c>
      <c r="B110" s="36">
        <v>70000</v>
      </c>
      <c r="C110" s="107">
        <v>21101.4</v>
      </c>
      <c r="D110" s="40">
        <f t="shared" si="0"/>
        <v>30.144857142857145</v>
      </c>
      <c r="E110" s="41">
        <f t="shared" si="1"/>
        <v>-48898.6</v>
      </c>
    </row>
    <row r="111" spans="1:5" ht="18" customHeight="1">
      <c r="A111" s="128" t="s">
        <v>64</v>
      </c>
      <c r="B111" s="158">
        <f>SUM(B112:B116,B120:B123)</f>
        <v>4094942.8099999996</v>
      </c>
      <c r="C111" s="158">
        <f>SUM(C112:C116,C120:C123)</f>
        <v>3982042.9399999995</v>
      </c>
      <c r="D111" s="40">
        <f t="shared" si="0"/>
        <v>97.24294391305553</v>
      </c>
      <c r="E111" s="41">
        <f t="shared" si="1"/>
        <v>-112899.87000000011</v>
      </c>
    </row>
    <row r="112" spans="1:5" ht="13.5">
      <c r="A112" s="21" t="s">
        <v>134</v>
      </c>
      <c r="B112" s="36">
        <v>0</v>
      </c>
      <c r="C112" s="36">
        <v>0</v>
      </c>
      <c r="D112" s="40" t="str">
        <f t="shared" si="0"/>
        <v>   </v>
      </c>
      <c r="E112" s="41">
        <f t="shared" si="1"/>
        <v>0</v>
      </c>
    </row>
    <row r="113" spans="1:5" ht="13.5">
      <c r="A113" s="21" t="s">
        <v>150</v>
      </c>
      <c r="B113" s="36">
        <v>276400</v>
      </c>
      <c r="C113" s="36">
        <v>267340.13</v>
      </c>
      <c r="D113" s="40">
        <f t="shared" si="0"/>
        <v>96.72218885672937</v>
      </c>
      <c r="E113" s="41">
        <f t="shared" si="1"/>
        <v>-9059.869999999995</v>
      </c>
    </row>
    <row r="114" spans="1:5" ht="13.5">
      <c r="A114" s="21" t="s">
        <v>303</v>
      </c>
      <c r="B114" s="36">
        <v>0</v>
      </c>
      <c r="C114" s="36">
        <v>0</v>
      </c>
      <c r="D114" s="40" t="str">
        <f>IF(B114=0,"   ",C114/B114*100)</f>
        <v>   </v>
      </c>
      <c r="E114" s="41">
        <f>C114-B114</f>
        <v>0</v>
      </c>
    </row>
    <row r="115" spans="1:5" ht="27">
      <c r="A115" s="21" t="s">
        <v>304</v>
      </c>
      <c r="B115" s="36">
        <v>0</v>
      </c>
      <c r="C115" s="36">
        <v>0</v>
      </c>
      <c r="D115" s="40" t="str">
        <f>IF(B115=0,"   ",C115/B115*100)</f>
        <v>   </v>
      </c>
      <c r="E115" s="41">
        <f>C115-B115</f>
        <v>0</v>
      </c>
    </row>
    <row r="116" spans="1:5" ht="27">
      <c r="A116" s="17" t="s">
        <v>196</v>
      </c>
      <c r="B116" s="36">
        <f>SUM(B117:B119)</f>
        <v>2174272.8099999996</v>
      </c>
      <c r="C116" s="36">
        <f>SUM(C117:C119)</f>
        <v>2174272.8099999996</v>
      </c>
      <c r="D116" s="40">
        <f>IF(B116=0,"   ",C116/B116*100)</f>
        <v>100</v>
      </c>
      <c r="E116" s="41">
        <f>C116-B116</f>
        <v>0</v>
      </c>
    </row>
    <row r="117" spans="1:5" ht="27">
      <c r="A117" s="17" t="s">
        <v>178</v>
      </c>
      <c r="B117" s="36">
        <v>1304563.69</v>
      </c>
      <c r="C117" s="36">
        <v>1304563.69</v>
      </c>
      <c r="D117" s="40">
        <f>IF(B117=0,"   ",C117/B117*100)</f>
        <v>100</v>
      </c>
      <c r="E117" s="41">
        <f>C117-B117</f>
        <v>0</v>
      </c>
    </row>
    <row r="118" spans="1:5" ht="27">
      <c r="A118" s="17" t="s">
        <v>190</v>
      </c>
      <c r="B118" s="36">
        <v>652281.84</v>
      </c>
      <c r="C118" s="36">
        <v>652281.84</v>
      </c>
      <c r="D118" s="40">
        <f t="shared" si="0"/>
        <v>100</v>
      </c>
      <c r="E118" s="41">
        <f t="shared" si="1"/>
        <v>0</v>
      </c>
    </row>
    <row r="119" spans="1:5" ht="27">
      <c r="A119" s="17" t="s">
        <v>202</v>
      </c>
      <c r="B119" s="36">
        <v>217427.28</v>
      </c>
      <c r="C119" s="36">
        <v>217427.28</v>
      </c>
      <c r="D119" s="40">
        <f t="shared" si="0"/>
        <v>100</v>
      </c>
      <c r="E119" s="41">
        <f t="shared" si="1"/>
        <v>0</v>
      </c>
    </row>
    <row r="120" spans="1:5" ht="13.5">
      <c r="A120" s="21" t="s">
        <v>272</v>
      </c>
      <c r="B120" s="36">
        <v>1045600</v>
      </c>
      <c r="C120" s="36">
        <v>1031067.2</v>
      </c>
      <c r="D120" s="40">
        <f t="shared" si="0"/>
        <v>98.61009946442235</v>
      </c>
      <c r="E120" s="41">
        <f t="shared" si="1"/>
        <v>-14532.800000000047</v>
      </c>
    </row>
    <row r="121" spans="1:5" ht="13.5">
      <c r="A121" s="21" t="s">
        <v>275</v>
      </c>
      <c r="B121" s="36">
        <v>73670</v>
      </c>
      <c r="C121" s="36">
        <v>65812.8</v>
      </c>
      <c r="D121" s="40">
        <f t="shared" si="0"/>
        <v>89.33460024433285</v>
      </c>
      <c r="E121" s="41">
        <f t="shared" si="1"/>
        <v>-7857.199999999997</v>
      </c>
    </row>
    <row r="122" spans="1:5" ht="27">
      <c r="A122" s="21" t="s">
        <v>319</v>
      </c>
      <c r="B122" s="36">
        <v>225000</v>
      </c>
      <c r="C122" s="36">
        <v>225000</v>
      </c>
      <c r="D122" s="40">
        <f t="shared" si="0"/>
        <v>100</v>
      </c>
      <c r="E122" s="41">
        <f t="shared" si="1"/>
        <v>0</v>
      </c>
    </row>
    <row r="123" spans="1:5" ht="13.5">
      <c r="A123" s="21" t="s">
        <v>320</v>
      </c>
      <c r="B123" s="36">
        <v>300000</v>
      </c>
      <c r="C123" s="36">
        <v>218550</v>
      </c>
      <c r="D123" s="40">
        <f t="shared" si="0"/>
        <v>72.85000000000001</v>
      </c>
      <c r="E123" s="41">
        <f t="shared" si="1"/>
        <v>-81450</v>
      </c>
    </row>
    <row r="124" spans="1:5" ht="16.5" customHeight="1">
      <c r="A124" s="128" t="s">
        <v>63</v>
      </c>
      <c r="B124" s="158">
        <f>B125+B127+B128+B129+B130+B132+B136+B137+B141+B143+B126+B131+B142</f>
        <v>59109221.46</v>
      </c>
      <c r="C124" s="158">
        <f>C125+C127+C128+C129+C130+C132+C136+C137+C141+C143+C126+C131+C142</f>
        <v>42375103.63</v>
      </c>
      <c r="D124" s="40">
        <f t="shared" si="0"/>
        <v>71.68949714331087</v>
      </c>
      <c r="E124" s="41">
        <f t="shared" si="1"/>
        <v>-16734117.829999998</v>
      </c>
    </row>
    <row r="125" spans="1:5" ht="13.5">
      <c r="A125" s="21" t="s">
        <v>65</v>
      </c>
      <c r="B125" s="36">
        <v>4917800</v>
      </c>
      <c r="C125" s="107">
        <v>4917192.96</v>
      </c>
      <c r="D125" s="40">
        <f t="shared" si="0"/>
        <v>99.9876562690634</v>
      </c>
      <c r="E125" s="41">
        <f t="shared" si="1"/>
        <v>-607.0400000000373</v>
      </c>
    </row>
    <row r="126" spans="1:5" ht="27">
      <c r="A126" s="21" t="s">
        <v>208</v>
      </c>
      <c r="B126" s="36">
        <v>0</v>
      </c>
      <c r="C126" s="107">
        <v>0</v>
      </c>
      <c r="D126" s="40" t="str">
        <f t="shared" si="0"/>
        <v>   </v>
      </c>
      <c r="E126" s="41">
        <f t="shared" si="1"/>
        <v>0</v>
      </c>
    </row>
    <row r="127" spans="1:5" ht="13.5">
      <c r="A127" s="21" t="s">
        <v>66</v>
      </c>
      <c r="B127" s="36">
        <v>250000</v>
      </c>
      <c r="C127" s="107">
        <v>250000</v>
      </c>
      <c r="D127" s="40">
        <f aca="true" t="shared" si="4" ref="D127:D163">IF(B127=0,"   ",C127/B127*100)</f>
        <v>100</v>
      </c>
      <c r="E127" s="41">
        <f t="shared" si="1"/>
        <v>0</v>
      </c>
    </row>
    <row r="128" spans="1:5" ht="13.5">
      <c r="A128" s="21" t="s">
        <v>67</v>
      </c>
      <c r="B128" s="36">
        <v>0</v>
      </c>
      <c r="C128" s="107">
        <v>0</v>
      </c>
      <c r="D128" s="40" t="str">
        <f t="shared" si="4"/>
        <v>   </v>
      </c>
      <c r="E128" s="41">
        <f t="shared" si="1"/>
        <v>0</v>
      </c>
    </row>
    <row r="129" spans="1:5" ht="13.5">
      <c r="A129" s="21" t="s">
        <v>68</v>
      </c>
      <c r="B129" s="36">
        <v>2477982</v>
      </c>
      <c r="C129" s="107">
        <v>2324861.61</v>
      </c>
      <c r="D129" s="40">
        <f t="shared" si="4"/>
        <v>93.82076262055172</v>
      </c>
      <c r="E129" s="41">
        <f t="shared" si="1"/>
        <v>-153120.39000000013</v>
      </c>
    </row>
    <row r="130" spans="1:5" ht="18" customHeight="1">
      <c r="A130" s="17" t="s">
        <v>336</v>
      </c>
      <c r="B130" s="36">
        <v>140000</v>
      </c>
      <c r="C130" s="107">
        <v>140000</v>
      </c>
      <c r="D130" s="40">
        <f t="shared" si="4"/>
        <v>100</v>
      </c>
      <c r="E130" s="41">
        <f t="shared" si="1"/>
        <v>0</v>
      </c>
    </row>
    <row r="131" spans="1:5" ht="16.5" customHeight="1">
      <c r="A131" s="17" t="s">
        <v>321</v>
      </c>
      <c r="B131" s="36">
        <v>300000</v>
      </c>
      <c r="C131" s="107">
        <v>300000</v>
      </c>
      <c r="D131" s="40">
        <f t="shared" si="4"/>
        <v>100</v>
      </c>
      <c r="E131" s="41">
        <f t="shared" si="1"/>
        <v>0</v>
      </c>
    </row>
    <row r="132" spans="1:5" ht="18" customHeight="1">
      <c r="A132" s="17" t="s">
        <v>173</v>
      </c>
      <c r="B132" s="39">
        <f>B133+B135+B134</f>
        <v>5885076.760000001</v>
      </c>
      <c r="C132" s="39">
        <f>C133+C135+C134</f>
        <v>5885076.760000001</v>
      </c>
      <c r="D132" s="50">
        <f aca="true" t="shared" si="5" ref="D132:D146">IF(B132=0,"   ",C132/B132)</f>
        <v>1</v>
      </c>
      <c r="E132" s="51">
        <f aca="true" t="shared" si="6" ref="E132:E147">C132-B132</f>
        <v>0</v>
      </c>
    </row>
    <row r="133" spans="1:5" ht="13.5">
      <c r="A133" s="17" t="s">
        <v>171</v>
      </c>
      <c r="B133" s="39">
        <v>5826225.99</v>
      </c>
      <c r="C133" s="39">
        <v>5826225.99</v>
      </c>
      <c r="D133" s="50">
        <f t="shared" si="5"/>
        <v>1</v>
      </c>
      <c r="E133" s="51">
        <f t="shared" si="6"/>
        <v>0</v>
      </c>
    </row>
    <row r="134" spans="1:5" ht="13.5">
      <c r="A134" s="17" t="s">
        <v>172</v>
      </c>
      <c r="B134" s="39">
        <v>41195.54</v>
      </c>
      <c r="C134" s="39">
        <v>41195.54</v>
      </c>
      <c r="D134" s="50">
        <f t="shared" si="5"/>
        <v>1</v>
      </c>
      <c r="E134" s="51">
        <f t="shared" si="6"/>
        <v>0</v>
      </c>
    </row>
    <row r="135" spans="1:5" ht="13.5">
      <c r="A135" s="17" t="s">
        <v>183</v>
      </c>
      <c r="B135" s="39">
        <v>17655.23</v>
      </c>
      <c r="C135" s="39">
        <v>17655.23</v>
      </c>
      <c r="D135" s="50">
        <f t="shared" si="5"/>
        <v>1</v>
      </c>
      <c r="E135" s="51">
        <f t="shared" si="6"/>
        <v>0</v>
      </c>
    </row>
    <row r="136" spans="1:5" ht="14.25" customHeight="1">
      <c r="A136" s="62" t="s">
        <v>230</v>
      </c>
      <c r="B136" s="39">
        <v>268800</v>
      </c>
      <c r="C136" s="39">
        <v>261971.34</v>
      </c>
      <c r="D136" s="50">
        <f t="shared" si="5"/>
        <v>0.9745957589285714</v>
      </c>
      <c r="E136" s="51">
        <f t="shared" si="6"/>
        <v>-6828.6600000000035</v>
      </c>
    </row>
    <row r="137" spans="1:5" ht="16.5" customHeight="1">
      <c r="A137" s="17" t="s">
        <v>196</v>
      </c>
      <c r="B137" s="39">
        <f>SUM(B138:B140)</f>
        <v>0</v>
      </c>
      <c r="C137" s="39">
        <f>SUM(C138:C140)</f>
        <v>0</v>
      </c>
      <c r="D137" s="40" t="str">
        <f>IF(B137=0,"   ",C137/B137*100)</f>
        <v>   </v>
      </c>
      <c r="E137" s="41">
        <f t="shared" si="6"/>
        <v>0</v>
      </c>
    </row>
    <row r="138" spans="1:5" ht="27">
      <c r="A138" s="17" t="s">
        <v>178</v>
      </c>
      <c r="B138" s="39">
        <v>0</v>
      </c>
      <c r="C138" s="39">
        <v>0</v>
      </c>
      <c r="D138" s="40" t="str">
        <f>IF(B138=0,"   ",C138/B138*100)</f>
        <v>   </v>
      </c>
      <c r="E138" s="41">
        <f t="shared" si="6"/>
        <v>0</v>
      </c>
    </row>
    <row r="139" spans="1:5" ht="27">
      <c r="A139" s="17" t="s">
        <v>190</v>
      </c>
      <c r="B139" s="39">
        <v>0</v>
      </c>
      <c r="C139" s="39">
        <v>0</v>
      </c>
      <c r="D139" s="40" t="str">
        <f>IF(B139=0,"   ",C139/B139*100)</f>
        <v>   </v>
      </c>
      <c r="E139" s="41">
        <f t="shared" si="6"/>
        <v>0</v>
      </c>
    </row>
    <row r="140" spans="1:5" ht="27">
      <c r="A140" s="17" t="s">
        <v>202</v>
      </c>
      <c r="B140" s="39">
        <v>0</v>
      </c>
      <c r="C140" s="39">
        <v>0</v>
      </c>
      <c r="D140" s="40" t="str">
        <f>IF(B140=0,"   ",C140/B140*100)</f>
        <v>   </v>
      </c>
      <c r="E140" s="41">
        <f t="shared" si="6"/>
        <v>0</v>
      </c>
    </row>
    <row r="141" spans="1:5" ht="13.5">
      <c r="A141" s="17" t="s">
        <v>236</v>
      </c>
      <c r="B141" s="39">
        <v>805500</v>
      </c>
      <c r="C141" s="39">
        <v>433000</v>
      </c>
      <c r="D141" s="50">
        <f t="shared" si="5"/>
        <v>0.5375543140906269</v>
      </c>
      <c r="E141" s="51">
        <f t="shared" si="6"/>
        <v>-372500</v>
      </c>
    </row>
    <row r="142" spans="1:5" ht="13.5">
      <c r="A142" s="17" t="s">
        <v>288</v>
      </c>
      <c r="B142" s="39">
        <v>16201061.74</v>
      </c>
      <c r="C142" s="39">
        <v>0</v>
      </c>
      <c r="D142" s="50">
        <f t="shared" si="5"/>
        <v>0</v>
      </c>
      <c r="E142" s="51">
        <f t="shared" si="6"/>
        <v>-16201061.74</v>
      </c>
    </row>
    <row r="143" spans="1:5" ht="17.25" customHeight="1">
      <c r="A143" s="17" t="s">
        <v>312</v>
      </c>
      <c r="B143" s="39">
        <f>SUM(B144:B146)</f>
        <v>27863000.96</v>
      </c>
      <c r="C143" s="39">
        <f>SUM(C144:C146)</f>
        <v>27863000.96</v>
      </c>
      <c r="D143" s="40">
        <f>IF(B143=0,"   ",C143/B143*100)</f>
        <v>100</v>
      </c>
      <c r="E143" s="41">
        <f>C143-B143</f>
        <v>0</v>
      </c>
    </row>
    <row r="144" spans="1:5" ht="24.75" customHeight="1">
      <c r="A144" s="17" t="s">
        <v>313</v>
      </c>
      <c r="B144" s="107">
        <v>26191000</v>
      </c>
      <c r="C144" s="39">
        <v>26191000</v>
      </c>
      <c r="D144" s="40">
        <f>IF(B144=0,"   ",C144/B144*100)</f>
        <v>100</v>
      </c>
      <c r="E144" s="41">
        <f>C144-B144</f>
        <v>0</v>
      </c>
    </row>
    <row r="145" spans="1:5" ht="15.75" customHeight="1">
      <c r="A145" s="17" t="s">
        <v>314</v>
      </c>
      <c r="B145" s="107">
        <v>1393138.3</v>
      </c>
      <c r="C145" s="39">
        <v>1393138.3</v>
      </c>
      <c r="D145" s="40">
        <f>IF(B145=0,"   ",C145/B145*100)</f>
        <v>100</v>
      </c>
      <c r="E145" s="41">
        <f>C145-B145</f>
        <v>0</v>
      </c>
    </row>
    <row r="146" spans="1:5" ht="18" customHeight="1" thickBot="1">
      <c r="A146" s="17" t="s">
        <v>315</v>
      </c>
      <c r="B146" s="107">
        <v>278862.66</v>
      </c>
      <c r="C146" s="39">
        <v>278862.66</v>
      </c>
      <c r="D146" s="50">
        <f t="shared" si="5"/>
        <v>1</v>
      </c>
      <c r="E146" s="51">
        <f t="shared" si="6"/>
        <v>0</v>
      </c>
    </row>
    <row r="147" spans="1:5" ht="18" customHeight="1" thickBot="1">
      <c r="A147" s="62" t="s">
        <v>310</v>
      </c>
      <c r="B147" s="111">
        <f>SUM(B148)</f>
        <v>800</v>
      </c>
      <c r="C147" s="111">
        <f>SUM(C148)</f>
        <v>800</v>
      </c>
      <c r="D147" s="40">
        <f>IF(B147=0,"   ",C147/B147*100)</f>
        <v>100</v>
      </c>
      <c r="E147" s="41">
        <f t="shared" si="6"/>
        <v>0</v>
      </c>
    </row>
    <row r="148" spans="1:5" ht="18" customHeight="1">
      <c r="A148" s="62" t="s">
        <v>261</v>
      </c>
      <c r="B148" s="107">
        <v>800</v>
      </c>
      <c r="C148" s="39">
        <v>800</v>
      </c>
      <c r="D148" s="40">
        <f>IF(B148=0,"   ",C148/B148*100)</f>
        <v>100</v>
      </c>
      <c r="E148" s="41">
        <f>C148-B148</f>
        <v>0</v>
      </c>
    </row>
    <row r="149" spans="1:5" ht="15" customHeight="1">
      <c r="A149" s="21" t="s">
        <v>17</v>
      </c>
      <c r="B149" s="36">
        <v>0</v>
      </c>
      <c r="C149" s="36">
        <v>0</v>
      </c>
      <c r="D149" s="40" t="str">
        <f t="shared" si="4"/>
        <v>   </v>
      </c>
      <c r="E149" s="41">
        <f t="shared" si="1"/>
        <v>0</v>
      </c>
    </row>
    <row r="150" spans="1:5" ht="18.75" customHeight="1">
      <c r="A150" s="21" t="s">
        <v>41</v>
      </c>
      <c r="B150" s="143">
        <f>B151</f>
        <v>19107333.11</v>
      </c>
      <c r="C150" s="143">
        <f>C151</f>
        <v>18466905.52</v>
      </c>
      <c r="D150" s="40">
        <f t="shared" si="4"/>
        <v>96.64826280929375</v>
      </c>
      <c r="E150" s="41">
        <f t="shared" si="1"/>
        <v>-640427.5899999999</v>
      </c>
    </row>
    <row r="151" spans="1:5" ht="15.75" customHeight="1">
      <c r="A151" s="21" t="s">
        <v>42</v>
      </c>
      <c r="B151" s="158">
        <f>B152+B153+B154+B156+B155</f>
        <v>19107333.11</v>
      </c>
      <c r="C151" s="158">
        <f>C152+C153+C154+C156+C155</f>
        <v>18466905.52</v>
      </c>
      <c r="D151" s="40">
        <f t="shared" si="4"/>
        <v>96.64826280929375</v>
      </c>
      <c r="E151" s="41">
        <f t="shared" si="1"/>
        <v>-640427.5899999999</v>
      </c>
    </row>
    <row r="152" spans="1:5" ht="19.5" customHeight="1">
      <c r="A152" s="21" t="s">
        <v>135</v>
      </c>
      <c r="B152" s="36">
        <v>3549500</v>
      </c>
      <c r="C152" s="107">
        <v>3549500</v>
      </c>
      <c r="D152" s="40">
        <f t="shared" si="4"/>
        <v>100</v>
      </c>
      <c r="E152" s="41">
        <f t="shared" si="1"/>
        <v>0</v>
      </c>
    </row>
    <row r="153" spans="1:5" ht="16.5" customHeight="1">
      <c r="A153" s="21" t="s">
        <v>184</v>
      </c>
      <c r="B153" s="36">
        <v>4606475.66</v>
      </c>
      <c r="C153" s="107">
        <v>4606475.66</v>
      </c>
      <c r="D153" s="40">
        <f t="shared" si="4"/>
        <v>100</v>
      </c>
      <c r="E153" s="41">
        <f t="shared" si="1"/>
        <v>0</v>
      </c>
    </row>
    <row r="154" spans="1:5" ht="18" customHeight="1">
      <c r="A154" s="21" t="s">
        <v>136</v>
      </c>
      <c r="B154" s="36">
        <v>1409400</v>
      </c>
      <c r="C154" s="107">
        <v>1409400</v>
      </c>
      <c r="D154" s="40">
        <f t="shared" si="4"/>
        <v>100</v>
      </c>
      <c r="E154" s="41">
        <f t="shared" si="1"/>
        <v>0</v>
      </c>
    </row>
    <row r="155" spans="1:5" ht="18" customHeight="1">
      <c r="A155" s="21" t="s">
        <v>267</v>
      </c>
      <c r="B155" s="36">
        <v>0</v>
      </c>
      <c r="C155" s="107">
        <v>0</v>
      </c>
      <c r="D155" s="40" t="str">
        <f t="shared" si="4"/>
        <v>   </v>
      </c>
      <c r="E155" s="41">
        <f t="shared" si="1"/>
        <v>0</v>
      </c>
    </row>
    <row r="156" spans="1:5" ht="18" customHeight="1">
      <c r="A156" s="21" t="s">
        <v>305</v>
      </c>
      <c r="B156" s="36">
        <f>SUM(B157:B158)</f>
        <v>9541957.45</v>
      </c>
      <c r="C156" s="36">
        <f>SUM(C157:C158)</f>
        <v>8901529.86</v>
      </c>
      <c r="D156" s="40">
        <f t="shared" si="4"/>
        <v>93.28829966643794</v>
      </c>
      <c r="E156" s="41">
        <f t="shared" si="1"/>
        <v>-640427.5899999999</v>
      </c>
    </row>
    <row r="157" spans="1:5" ht="18" customHeight="1">
      <c r="A157" s="17" t="s">
        <v>306</v>
      </c>
      <c r="B157" s="36">
        <v>8969440</v>
      </c>
      <c r="C157" s="107">
        <v>8367438.07</v>
      </c>
      <c r="D157" s="40">
        <f>IF(B157=0,"   ",C157/B157*100)</f>
        <v>93.28829971547835</v>
      </c>
      <c r="E157" s="41">
        <f>C157-B157</f>
        <v>-602001.9299999997</v>
      </c>
    </row>
    <row r="158" spans="1:5" ht="18" customHeight="1">
      <c r="A158" s="17" t="s">
        <v>307</v>
      </c>
      <c r="B158" s="36">
        <v>572517.45</v>
      </c>
      <c r="C158" s="107">
        <v>534091.79</v>
      </c>
      <c r="D158" s="40">
        <f t="shared" si="4"/>
        <v>93.2882988981384</v>
      </c>
      <c r="E158" s="41">
        <f t="shared" si="1"/>
        <v>-38425.659999999916</v>
      </c>
    </row>
    <row r="159" spans="1:5" ht="13.5">
      <c r="A159" s="21" t="s">
        <v>119</v>
      </c>
      <c r="B159" s="36">
        <f>SUM(B160,)</f>
        <v>95000</v>
      </c>
      <c r="C159" s="36">
        <f>SUM(C160,)</f>
        <v>90049</v>
      </c>
      <c r="D159" s="40">
        <f t="shared" si="4"/>
        <v>94.78842105263158</v>
      </c>
      <c r="E159" s="41">
        <f t="shared" si="1"/>
        <v>-4951</v>
      </c>
    </row>
    <row r="160" spans="1:5" ht="14.25" customHeight="1">
      <c r="A160" s="21" t="s">
        <v>43</v>
      </c>
      <c r="B160" s="36">
        <v>95000</v>
      </c>
      <c r="C160" s="99">
        <v>90049</v>
      </c>
      <c r="D160" s="40">
        <f t="shared" si="4"/>
        <v>94.78842105263158</v>
      </c>
      <c r="E160" s="41">
        <f t="shared" si="1"/>
        <v>-4951</v>
      </c>
    </row>
    <row r="161" spans="1:5" ht="19.5" customHeight="1">
      <c r="A161" s="21" t="s">
        <v>137</v>
      </c>
      <c r="B161" s="36">
        <f>SUM(B162:B162)</f>
        <v>0</v>
      </c>
      <c r="C161" s="36">
        <f>SUM(C162:C162)</f>
        <v>0</v>
      </c>
      <c r="D161" s="40" t="str">
        <f t="shared" si="4"/>
        <v>   </v>
      </c>
      <c r="E161" s="41">
        <f t="shared" si="1"/>
        <v>0</v>
      </c>
    </row>
    <row r="162" spans="1:5" ht="19.5" customHeight="1">
      <c r="A162" s="21" t="s">
        <v>138</v>
      </c>
      <c r="B162" s="36">
        <v>0</v>
      </c>
      <c r="C162" s="107">
        <v>0</v>
      </c>
      <c r="D162" s="40" t="str">
        <f t="shared" si="4"/>
        <v>   </v>
      </c>
      <c r="E162" s="41">
        <f t="shared" si="1"/>
        <v>0</v>
      </c>
    </row>
    <row r="163" spans="1:5" ht="20.25" customHeight="1">
      <c r="A163" s="44" t="s">
        <v>15</v>
      </c>
      <c r="B163" s="116">
        <f>B62+B72+B74+B79+B107+B149+B150+B159+B161</f>
        <v>96085010.60000001</v>
      </c>
      <c r="C163" s="116">
        <f>C62+C72+C74+C79+C107+C149+C150+C159+C161</f>
        <v>77937565.89999999</v>
      </c>
      <c r="D163" s="46">
        <f t="shared" si="4"/>
        <v>81.11313659989334</v>
      </c>
      <c r="E163" s="47">
        <f t="shared" si="1"/>
        <v>-18147444.700000018</v>
      </c>
    </row>
    <row r="164" spans="1:5" s="13" customFormat="1" ht="36.75" customHeight="1">
      <c r="A164" s="71" t="s">
        <v>290</v>
      </c>
      <c r="B164" s="71"/>
      <c r="C164" s="165"/>
      <c r="D164" s="165"/>
      <c r="E164" s="165"/>
    </row>
    <row r="165" spans="1:5" s="13" customFormat="1" ht="12" customHeight="1">
      <c r="A165" s="71" t="s">
        <v>146</v>
      </c>
      <c r="B165" s="71"/>
      <c r="C165" s="72" t="s">
        <v>291</v>
      </c>
      <c r="D165" s="73"/>
      <c r="E165" s="74"/>
    </row>
    <row r="166" spans="1:5" ht="13.5">
      <c r="A166" s="71"/>
      <c r="B166" s="71"/>
      <c r="C166" s="117"/>
      <c r="D166" s="71"/>
      <c r="E166" s="118"/>
    </row>
    <row r="167" spans="1:5" ht="15">
      <c r="A167" s="18"/>
      <c r="B167" s="18"/>
      <c r="C167" s="19"/>
      <c r="D167" s="18"/>
      <c r="E167" s="20"/>
    </row>
    <row r="168" spans="1:5" ht="12.75">
      <c r="A168" s="6"/>
      <c r="B168" s="6"/>
      <c r="C168" s="5"/>
      <c r="D168" s="6"/>
      <c r="E168" s="2"/>
    </row>
    <row r="169" spans="1:5" ht="12.75">
      <c r="A169" s="6"/>
      <c r="B169" s="6"/>
      <c r="C169" s="5"/>
      <c r="D169" s="6"/>
      <c r="E169" s="2"/>
    </row>
  </sheetData>
  <sheetProtection/>
  <mergeCells count="2">
    <mergeCell ref="A1:E1"/>
    <mergeCell ref="C164:E164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9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6" t="s">
        <v>349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292</v>
      </c>
      <c r="C4" s="26" t="s">
        <v>350</v>
      </c>
      <c r="D4" s="25" t="s">
        <v>295</v>
      </c>
      <c r="E4" s="27" t="s">
        <v>294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29300</v>
      </c>
      <c r="C7" s="143">
        <f>SUM(C8)</f>
        <v>27631.53</v>
      </c>
      <c r="D7" s="40">
        <f aca="true" t="shared" si="0" ref="D7:D104">IF(B7=0,"   ",C7/B7*100)</f>
        <v>94.30556313993173</v>
      </c>
      <c r="E7" s="41">
        <f aca="true" t="shared" si="1" ref="E7:E105">C7-B7</f>
        <v>-1668.4700000000012</v>
      </c>
    </row>
    <row r="8" spans="1:5" ht="13.5">
      <c r="A8" s="21" t="s">
        <v>44</v>
      </c>
      <c r="B8" s="36">
        <v>29300</v>
      </c>
      <c r="C8" s="86">
        <v>27631.53</v>
      </c>
      <c r="D8" s="40">
        <f t="shared" si="0"/>
        <v>94.30556313993173</v>
      </c>
      <c r="E8" s="41">
        <f t="shared" si="1"/>
        <v>-1668.4700000000012</v>
      </c>
    </row>
    <row r="9" spans="1:5" ht="15" customHeight="1">
      <c r="A9" s="38" t="s">
        <v>129</v>
      </c>
      <c r="B9" s="143">
        <f>SUM(B10)</f>
        <v>658200</v>
      </c>
      <c r="C9" s="143">
        <f>SUM(C10)</f>
        <v>702800.91</v>
      </c>
      <c r="D9" s="40">
        <f t="shared" si="0"/>
        <v>106.77619416590703</v>
      </c>
      <c r="E9" s="41">
        <f t="shared" si="1"/>
        <v>44600.91000000003</v>
      </c>
    </row>
    <row r="10" spans="1:5" ht="13.5">
      <c r="A10" s="21" t="s">
        <v>130</v>
      </c>
      <c r="B10" s="36">
        <v>658200</v>
      </c>
      <c r="C10" s="86">
        <v>702800.91</v>
      </c>
      <c r="D10" s="40">
        <f t="shared" si="0"/>
        <v>106.77619416590703</v>
      </c>
      <c r="E10" s="41">
        <f t="shared" si="1"/>
        <v>44600.91000000003</v>
      </c>
    </row>
    <row r="11" spans="1:5" ht="18.75" customHeight="1">
      <c r="A11" s="21" t="s">
        <v>7</v>
      </c>
      <c r="B11" s="36">
        <f>SUM(B12:B12)</f>
        <v>0</v>
      </c>
      <c r="C11" s="36">
        <f>SUM(C12:C12)</f>
        <v>1339.8</v>
      </c>
      <c r="D11" s="40" t="str">
        <f t="shared" si="0"/>
        <v>   </v>
      </c>
      <c r="E11" s="41">
        <f t="shared" si="1"/>
        <v>1339.8</v>
      </c>
    </row>
    <row r="12" spans="1:5" ht="21" customHeight="1">
      <c r="A12" s="21" t="s">
        <v>26</v>
      </c>
      <c r="B12" s="36">
        <v>0</v>
      </c>
      <c r="C12" s="107">
        <v>1339.8</v>
      </c>
      <c r="D12" s="40" t="str">
        <f t="shared" si="0"/>
        <v>   </v>
      </c>
      <c r="E12" s="41">
        <f t="shared" si="1"/>
        <v>1339.8</v>
      </c>
    </row>
    <row r="13" spans="1:5" ht="21" customHeight="1">
      <c r="A13" s="21" t="s">
        <v>9</v>
      </c>
      <c r="B13" s="36">
        <f>SUM(B14:B15)</f>
        <v>238400</v>
      </c>
      <c r="C13" s="36">
        <f>SUM(C14:C15)</f>
        <v>216924.04</v>
      </c>
      <c r="D13" s="40">
        <f t="shared" si="0"/>
        <v>90.99162751677852</v>
      </c>
      <c r="E13" s="41">
        <f t="shared" si="1"/>
        <v>-21475.959999999992</v>
      </c>
    </row>
    <row r="14" spans="1:5" ht="13.5">
      <c r="A14" s="21" t="s">
        <v>27</v>
      </c>
      <c r="B14" s="36">
        <v>79000</v>
      </c>
      <c r="C14" s="86">
        <v>65742.07</v>
      </c>
      <c r="D14" s="40">
        <f t="shared" si="0"/>
        <v>83.2178101265823</v>
      </c>
      <c r="E14" s="41">
        <f t="shared" si="1"/>
        <v>-13257.929999999993</v>
      </c>
    </row>
    <row r="15" spans="1:5" ht="13.5">
      <c r="A15" s="21" t="s">
        <v>152</v>
      </c>
      <c r="B15" s="36">
        <f>SUM(B16:B17)</f>
        <v>159400</v>
      </c>
      <c r="C15" s="36">
        <f>SUM(C16:C17)</f>
        <v>151181.97</v>
      </c>
      <c r="D15" s="40">
        <f t="shared" si="0"/>
        <v>94.84439774153074</v>
      </c>
      <c r="E15" s="41">
        <f t="shared" si="1"/>
        <v>-8218.029999999999</v>
      </c>
    </row>
    <row r="16" spans="1:5" ht="13.5">
      <c r="A16" s="21" t="s">
        <v>153</v>
      </c>
      <c r="B16" s="36">
        <v>26000</v>
      </c>
      <c r="C16" s="86">
        <v>33687.8</v>
      </c>
      <c r="D16" s="40">
        <f t="shared" si="0"/>
        <v>129.56846153846155</v>
      </c>
      <c r="E16" s="41">
        <f t="shared" si="1"/>
        <v>7687.800000000003</v>
      </c>
    </row>
    <row r="17" spans="1:5" ht="13.5">
      <c r="A17" s="21" t="s">
        <v>154</v>
      </c>
      <c r="B17" s="36">
        <v>133400</v>
      </c>
      <c r="C17" s="86">
        <v>117494.17</v>
      </c>
      <c r="D17" s="40">
        <f t="shared" si="0"/>
        <v>88.0765892053973</v>
      </c>
      <c r="E17" s="41">
        <f t="shared" si="1"/>
        <v>-15905.830000000002</v>
      </c>
    </row>
    <row r="18" spans="1:5" ht="18.75" customHeight="1">
      <c r="A18" s="21" t="s">
        <v>187</v>
      </c>
      <c r="B18" s="36">
        <v>600</v>
      </c>
      <c r="C18" s="86">
        <v>600</v>
      </c>
      <c r="D18" s="40">
        <f t="shared" si="0"/>
        <v>100</v>
      </c>
      <c r="E18" s="41">
        <f t="shared" si="1"/>
        <v>0</v>
      </c>
    </row>
    <row r="19" spans="1:5" ht="27" customHeight="1">
      <c r="A19" s="21" t="s">
        <v>86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131400</v>
      </c>
      <c r="C20" s="36">
        <f>SUM(C21:C23)</f>
        <v>156363.18</v>
      </c>
      <c r="D20" s="40">
        <f t="shared" si="0"/>
        <v>118.99785388127853</v>
      </c>
      <c r="E20" s="41">
        <f t="shared" si="1"/>
        <v>24963.179999999993</v>
      </c>
    </row>
    <row r="21" spans="1:5" ht="21.75" customHeight="1">
      <c r="A21" s="21" t="s">
        <v>144</v>
      </c>
      <c r="B21" s="36">
        <v>131400</v>
      </c>
      <c r="C21" s="107">
        <v>156363.18</v>
      </c>
      <c r="D21" s="40">
        <f t="shared" si="0"/>
        <v>118.99785388127853</v>
      </c>
      <c r="E21" s="41">
        <f t="shared" si="1"/>
        <v>24963.179999999993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250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83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106000</v>
      </c>
      <c r="C25" s="143">
        <f>C26</f>
        <v>106605</v>
      </c>
      <c r="D25" s="40">
        <f t="shared" si="0"/>
        <v>100.57075471698114</v>
      </c>
      <c r="E25" s="41">
        <f t="shared" si="1"/>
        <v>605</v>
      </c>
    </row>
    <row r="26" spans="1:5" ht="27.75" customHeight="1">
      <c r="A26" s="21" t="s">
        <v>309</v>
      </c>
      <c r="B26" s="36">
        <v>106000</v>
      </c>
      <c r="C26" s="107">
        <v>106605</v>
      </c>
      <c r="D26" s="40">
        <f t="shared" si="0"/>
        <v>100.57075471698114</v>
      </c>
      <c r="E26" s="41">
        <f t="shared" si="1"/>
        <v>605</v>
      </c>
    </row>
    <row r="27" spans="1:5" ht="17.25" customHeight="1">
      <c r="A27" s="21" t="s">
        <v>32</v>
      </c>
      <c r="B27" s="36">
        <f>B28+B29</f>
        <v>0</v>
      </c>
      <c r="C27" s="36">
        <f>SUM(C28:C29)</f>
        <v>-161.46</v>
      </c>
      <c r="D27" s="40" t="str">
        <f t="shared" si="0"/>
        <v>   </v>
      </c>
      <c r="E27" s="41">
        <f t="shared" si="1"/>
        <v>-161.46</v>
      </c>
    </row>
    <row r="28" spans="1:5" ht="13.5">
      <c r="A28" s="21" t="s">
        <v>46</v>
      </c>
      <c r="B28" s="36">
        <v>0</v>
      </c>
      <c r="C28" s="36">
        <v>-161.46</v>
      </c>
      <c r="D28" s="40" t="str">
        <f t="shared" si="0"/>
        <v>   </v>
      </c>
      <c r="E28" s="41"/>
    </row>
    <row r="29" spans="1:5" ht="13.5">
      <c r="A29" s="21" t="s">
        <v>50</v>
      </c>
      <c r="B29" s="36">
        <v>0</v>
      </c>
      <c r="C29" s="107"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31</v>
      </c>
      <c r="B30" s="36">
        <v>0</v>
      </c>
      <c r="C30" s="36">
        <v>0</v>
      </c>
      <c r="D30" s="40" t="str">
        <f t="shared" si="0"/>
        <v>   </v>
      </c>
      <c r="E30" s="41">
        <f t="shared" si="1"/>
        <v>0</v>
      </c>
    </row>
    <row r="31" spans="1:5" ht="16.5" customHeight="1">
      <c r="A31" s="44" t="s">
        <v>10</v>
      </c>
      <c r="B31" s="116">
        <f>SUM(B7,B9,B11,B13,B20,B24,B25,B27,B30,B19,B18)</f>
        <v>1163900</v>
      </c>
      <c r="C31" s="116">
        <f>SUM(C7,C9,C11,C13,C20,C24,C25,C27,C30,C19,C18)</f>
        <v>1212103.0000000002</v>
      </c>
      <c r="D31" s="46">
        <f t="shared" si="0"/>
        <v>104.14150700231981</v>
      </c>
      <c r="E31" s="47">
        <f t="shared" si="1"/>
        <v>48203.00000000023</v>
      </c>
    </row>
    <row r="32" spans="1:5" ht="13.5" customHeight="1">
      <c r="A32" s="62" t="s">
        <v>132</v>
      </c>
      <c r="B32" s="145">
        <f>SUM(B33:B36,B39:B42,B47)</f>
        <v>3666900</v>
      </c>
      <c r="C32" s="145">
        <f>SUM(C33:C36,C39:C42,C47)</f>
        <v>3666900</v>
      </c>
      <c r="D32" s="46">
        <f t="shared" si="0"/>
        <v>100</v>
      </c>
      <c r="E32" s="47">
        <f t="shared" si="1"/>
        <v>0</v>
      </c>
    </row>
    <row r="33" spans="1:5" ht="19.5" customHeight="1">
      <c r="A33" s="38" t="s">
        <v>34</v>
      </c>
      <c r="B33" s="143">
        <v>2571200</v>
      </c>
      <c r="C33" s="86">
        <v>2571200</v>
      </c>
      <c r="D33" s="40">
        <f t="shared" si="0"/>
        <v>100</v>
      </c>
      <c r="E33" s="41">
        <f t="shared" si="1"/>
        <v>0</v>
      </c>
    </row>
    <row r="34" spans="1:5" ht="19.5" customHeight="1">
      <c r="A34" s="38" t="s">
        <v>218</v>
      </c>
      <c r="B34" s="143">
        <v>0</v>
      </c>
      <c r="C34" s="86">
        <v>0</v>
      </c>
      <c r="D34" s="40" t="str">
        <f t="shared" si="0"/>
        <v>   </v>
      </c>
      <c r="E34" s="41">
        <f t="shared" si="1"/>
        <v>0</v>
      </c>
    </row>
    <row r="35" spans="1:5" ht="30.75" customHeight="1">
      <c r="A35" s="52" t="s">
        <v>51</v>
      </c>
      <c r="B35" s="85">
        <v>103700</v>
      </c>
      <c r="C35" s="86">
        <v>103700</v>
      </c>
      <c r="D35" s="54">
        <f t="shared" si="0"/>
        <v>100</v>
      </c>
      <c r="E35" s="55">
        <f t="shared" si="1"/>
        <v>0</v>
      </c>
    </row>
    <row r="36" spans="1:5" ht="24.75" customHeight="1">
      <c r="A36" s="52" t="s">
        <v>140</v>
      </c>
      <c r="B36" s="85">
        <f>SUM(B37:B38)</f>
        <v>100</v>
      </c>
      <c r="C36" s="85">
        <f>SUM(C37:C38)</f>
        <v>100</v>
      </c>
      <c r="D36" s="54">
        <f t="shared" si="0"/>
        <v>100</v>
      </c>
      <c r="E36" s="55">
        <f t="shared" si="1"/>
        <v>0</v>
      </c>
    </row>
    <row r="37" spans="1:5" ht="16.5" customHeight="1">
      <c r="A37" s="52" t="s">
        <v>155</v>
      </c>
      <c r="B37" s="85">
        <v>100</v>
      </c>
      <c r="C37" s="153">
        <v>100</v>
      </c>
      <c r="D37" s="54">
        <f t="shared" si="0"/>
        <v>100</v>
      </c>
      <c r="E37" s="55">
        <f t="shared" si="1"/>
        <v>0</v>
      </c>
    </row>
    <row r="38" spans="1:5" ht="25.5" customHeight="1">
      <c r="A38" s="52" t="s">
        <v>156</v>
      </c>
      <c r="B38" s="85">
        <v>0</v>
      </c>
      <c r="C38" s="153">
        <v>0</v>
      </c>
      <c r="D38" s="54" t="str">
        <f t="shared" si="0"/>
        <v>   </v>
      </c>
      <c r="E38" s="55">
        <f t="shared" si="1"/>
        <v>0</v>
      </c>
    </row>
    <row r="39" spans="1:5" ht="40.5" customHeight="1">
      <c r="A39" s="159" t="s">
        <v>125</v>
      </c>
      <c r="B39" s="85">
        <v>0</v>
      </c>
      <c r="C39" s="85">
        <v>0</v>
      </c>
      <c r="D39" s="54" t="str">
        <f t="shared" si="0"/>
        <v>   </v>
      </c>
      <c r="E39" s="55">
        <f t="shared" si="1"/>
        <v>0</v>
      </c>
    </row>
    <row r="40" spans="1:5" ht="27.75" customHeight="1">
      <c r="A40" s="159" t="s">
        <v>331</v>
      </c>
      <c r="B40" s="85">
        <v>51400</v>
      </c>
      <c r="C40" s="85">
        <v>51400</v>
      </c>
      <c r="D40" s="54">
        <f t="shared" si="0"/>
        <v>100</v>
      </c>
      <c r="E40" s="55">
        <f t="shared" si="1"/>
        <v>0</v>
      </c>
    </row>
    <row r="41" spans="1:5" ht="61.5" customHeight="1">
      <c r="A41" s="21" t="s">
        <v>226</v>
      </c>
      <c r="B41" s="85">
        <v>544300</v>
      </c>
      <c r="C41" s="85">
        <v>544300</v>
      </c>
      <c r="D41" s="54">
        <f t="shared" si="0"/>
        <v>100</v>
      </c>
      <c r="E41" s="55">
        <f t="shared" si="1"/>
        <v>0</v>
      </c>
    </row>
    <row r="42" spans="1:5" ht="15.75" customHeight="1">
      <c r="A42" s="21" t="s">
        <v>55</v>
      </c>
      <c r="B42" s="36">
        <f>B46+B43+B45+B44</f>
        <v>396200</v>
      </c>
      <c r="C42" s="36">
        <f>C46+C43+C45</f>
        <v>396200</v>
      </c>
      <c r="D42" s="40">
        <f t="shared" si="0"/>
        <v>100</v>
      </c>
      <c r="E42" s="41">
        <f t="shared" si="1"/>
        <v>0</v>
      </c>
    </row>
    <row r="43" spans="1:5" ht="30" customHeight="1">
      <c r="A43" s="21" t="s">
        <v>179</v>
      </c>
      <c r="B43" s="36">
        <v>0</v>
      </c>
      <c r="C43" s="36">
        <v>0</v>
      </c>
      <c r="D43" s="40" t="str">
        <f>IF(B43=0,"   ",C43/B43*100)</f>
        <v>   </v>
      </c>
      <c r="E43" s="41">
        <f>C43-B43</f>
        <v>0</v>
      </c>
    </row>
    <row r="44" spans="1:5" ht="15" customHeight="1">
      <c r="A44" s="21" t="s">
        <v>298</v>
      </c>
      <c r="B44" s="36">
        <v>0</v>
      </c>
      <c r="C44" s="36">
        <v>0</v>
      </c>
      <c r="D44" s="40" t="str">
        <f>IF(B44=0,"   ",C44/B44*100)</f>
        <v>   </v>
      </c>
      <c r="E44" s="41">
        <f>C44-B44</f>
        <v>0</v>
      </c>
    </row>
    <row r="45" spans="1:5" ht="15" customHeight="1">
      <c r="A45" s="21" t="s">
        <v>269</v>
      </c>
      <c r="B45" s="36">
        <v>0</v>
      </c>
      <c r="C45" s="36">
        <v>0</v>
      </c>
      <c r="D45" s="40" t="str">
        <f>IF(B45=0,"   ",C45/B45*100)</f>
        <v>   </v>
      </c>
      <c r="E45" s="41">
        <f>C45-B45</f>
        <v>0</v>
      </c>
    </row>
    <row r="46" spans="1:5" s="6" customFormat="1" ht="16.5" customHeight="1">
      <c r="A46" s="21" t="s">
        <v>104</v>
      </c>
      <c r="B46" s="36">
        <v>396200</v>
      </c>
      <c r="C46" s="36">
        <v>396200</v>
      </c>
      <c r="D46" s="36">
        <f t="shared" si="0"/>
        <v>100</v>
      </c>
      <c r="E46" s="41">
        <f t="shared" si="1"/>
        <v>0</v>
      </c>
    </row>
    <row r="47" spans="1:5" s="6" customFormat="1" ht="23.25" customHeight="1">
      <c r="A47" s="21" t="s">
        <v>189</v>
      </c>
      <c r="B47" s="36">
        <v>0</v>
      </c>
      <c r="C47" s="36">
        <v>0</v>
      </c>
      <c r="D47" s="36" t="str">
        <f>IF(B47=0,"   ",C47/B47*100)</f>
        <v>   </v>
      </c>
      <c r="E47" s="41">
        <f>C47-B47</f>
        <v>0</v>
      </c>
    </row>
    <row r="48" spans="1:5" ht="40.5" customHeight="1">
      <c r="A48" s="44" t="s">
        <v>11</v>
      </c>
      <c r="B48" s="116">
        <f>SUM(B31,B32,)</f>
        <v>4830800</v>
      </c>
      <c r="C48" s="116">
        <f>SUM(C31,C32,)</f>
        <v>4879003</v>
      </c>
      <c r="D48" s="46">
        <f t="shared" si="0"/>
        <v>100.9978264469653</v>
      </c>
      <c r="E48" s="47">
        <f t="shared" si="1"/>
        <v>48203</v>
      </c>
    </row>
    <row r="49" spans="1:5" ht="41.25" customHeight="1">
      <c r="A49" s="33" t="s">
        <v>12</v>
      </c>
      <c r="B49" s="154"/>
      <c r="C49" s="155"/>
      <c r="D49" s="40" t="str">
        <f t="shared" si="0"/>
        <v>   </v>
      </c>
      <c r="E49" s="41">
        <f t="shared" si="1"/>
        <v>0</v>
      </c>
    </row>
    <row r="50" spans="1:5" ht="21" customHeight="1">
      <c r="A50" s="21" t="s">
        <v>35</v>
      </c>
      <c r="B50" s="36">
        <f>SUM(B51,B54,B55)</f>
        <v>1529489.19</v>
      </c>
      <c r="C50" s="36">
        <f>SUM(C51,C54,C55)</f>
        <v>1495231.38</v>
      </c>
      <c r="D50" s="40">
        <f t="shared" si="0"/>
        <v>97.76017965841261</v>
      </c>
      <c r="E50" s="41">
        <f t="shared" si="1"/>
        <v>-34257.810000000056</v>
      </c>
    </row>
    <row r="51" spans="1:5" ht="14.25" customHeight="1">
      <c r="A51" s="21" t="s">
        <v>36</v>
      </c>
      <c r="B51" s="36">
        <v>1516489.19</v>
      </c>
      <c r="C51" s="36">
        <v>1483731.38</v>
      </c>
      <c r="D51" s="40">
        <f t="shared" si="0"/>
        <v>97.83989162494458</v>
      </c>
      <c r="E51" s="41">
        <f t="shared" si="1"/>
        <v>-32757.810000000056</v>
      </c>
    </row>
    <row r="52" spans="1:5" ht="13.5">
      <c r="A52" s="21" t="s">
        <v>116</v>
      </c>
      <c r="B52" s="36">
        <v>933784.54</v>
      </c>
      <c r="C52" s="99">
        <v>932408.82</v>
      </c>
      <c r="D52" s="40">
        <f t="shared" si="0"/>
        <v>99.85267265187319</v>
      </c>
      <c r="E52" s="41">
        <f t="shared" si="1"/>
        <v>-1375.7200000000885</v>
      </c>
    </row>
    <row r="53" spans="1:5" ht="13.5">
      <c r="A53" s="21" t="s">
        <v>333</v>
      </c>
      <c r="B53" s="36">
        <v>51400</v>
      </c>
      <c r="C53" s="99">
        <v>51400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91</v>
      </c>
      <c r="B54" s="36">
        <v>0</v>
      </c>
      <c r="C54" s="107">
        <v>0</v>
      </c>
      <c r="D54" s="40" t="str">
        <f t="shared" si="0"/>
        <v>   </v>
      </c>
      <c r="E54" s="41">
        <f t="shared" si="1"/>
        <v>0</v>
      </c>
    </row>
    <row r="55" spans="1:5" ht="13.5">
      <c r="A55" s="21" t="s">
        <v>52</v>
      </c>
      <c r="B55" s="36">
        <f>B56+B57</f>
        <v>13000</v>
      </c>
      <c r="C55" s="36">
        <f>C56</f>
        <v>11500</v>
      </c>
      <c r="D55" s="40">
        <f t="shared" si="0"/>
        <v>88.46153846153845</v>
      </c>
      <c r="E55" s="41">
        <f t="shared" si="1"/>
        <v>-1500</v>
      </c>
    </row>
    <row r="56" spans="1:5" ht="27">
      <c r="A56" s="17" t="s">
        <v>232</v>
      </c>
      <c r="B56" s="36">
        <v>13000</v>
      </c>
      <c r="C56" s="107">
        <v>11500</v>
      </c>
      <c r="D56" s="40">
        <f t="shared" si="0"/>
        <v>88.46153846153845</v>
      </c>
      <c r="E56" s="41">
        <f t="shared" si="1"/>
        <v>-1500</v>
      </c>
    </row>
    <row r="57" spans="1:5" ht="13.5">
      <c r="A57" s="17" t="s">
        <v>231</v>
      </c>
      <c r="B57" s="36">
        <v>0</v>
      </c>
      <c r="C57" s="107">
        <v>0</v>
      </c>
      <c r="D57" s="40" t="str">
        <f t="shared" si="0"/>
        <v>   </v>
      </c>
      <c r="E57" s="41">
        <f t="shared" si="1"/>
        <v>0</v>
      </c>
    </row>
    <row r="58" spans="1:5" ht="19.5" customHeight="1">
      <c r="A58" s="21" t="s">
        <v>49</v>
      </c>
      <c r="B58" s="107">
        <f>SUM(B59)</f>
        <v>103700</v>
      </c>
      <c r="C58" s="107">
        <f>SUM(C59)</f>
        <v>103700</v>
      </c>
      <c r="D58" s="40">
        <f t="shared" si="0"/>
        <v>100</v>
      </c>
      <c r="E58" s="41">
        <f t="shared" si="1"/>
        <v>0</v>
      </c>
    </row>
    <row r="59" spans="1:5" ht="15.75" customHeight="1">
      <c r="A59" s="21" t="s">
        <v>102</v>
      </c>
      <c r="B59" s="36">
        <v>103700</v>
      </c>
      <c r="C59" s="107">
        <v>103700</v>
      </c>
      <c r="D59" s="40">
        <f t="shared" si="0"/>
        <v>100</v>
      </c>
      <c r="E59" s="41">
        <f t="shared" si="1"/>
        <v>0</v>
      </c>
    </row>
    <row r="60" spans="1:5" ht="21" customHeight="1">
      <c r="A60" s="21" t="s">
        <v>37</v>
      </c>
      <c r="B60" s="36">
        <f>SUM(B61)</f>
        <v>5000</v>
      </c>
      <c r="C60" s="107">
        <f>SUM(C61)</f>
        <v>5000</v>
      </c>
      <c r="D60" s="40">
        <f t="shared" si="0"/>
        <v>100</v>
      </c>
      <c r="E60" s="41">
        <f t="shared" si="1"/>
        <v>0</v>
      </c>
    </row>
    <row r="61" spans="1:5" ht="15" customHeight="1">
      <c r="A61" s="60" t="s">
        <v>324</v>
      </c>
      <c r="B61" s="36">
        <v>5000</v>
      </c>
      <c r="C61" s="107">
        <v>5000</v>
      </c>
      <c r="D61" s="40">
        <f t="shared" si="0"/>
        <v>100</v>
      </c>
      <c r="E61" s="41">
        <f t="shared" si="1"/>
        <v>0</v>
      </c>
    </row>
    <row r="62" spans="1:5" ht="19.5" customHeight="1">
      <c r="A62" s="21" t="s">
        <v>38</v>
      </c>
      <c r="B62" s="36">
        <f>SUM(B70+B63+B68+B78)</f>
        <v>1729201</v>
      </c>
      <c r="C62" s="36">
        <f>SUM(C70+C63+C68+C78)</f>
        <v>1680500</v>
      </c>
      <c r="D62" s="40">
        <f t="shared" si="0"/>
        <v>97.18361254706653</v>
      </c>
      <c r="E62" s="41">
        <f t="shared" si="1"/>
        <v>-48701</v>
      </c>
    </row>
    <row r="63" spans="1:5" ht="15" customHeight="1">
      <c r="A63" s="62" t="s">
        <v>157</v>
      </c>
      <c r="B63" s="36">
        <f>SUM(B64:B67)</f>
        <v>30900</v>
      </c>
      <c r="C63" s="36">
        <f>SUM(C64:C67)</f>
        <v>0</v>
      </c>
      <c r="D63" s="40">
        <f aca="true" t="shared" si="2" ref="D63:D69">IF(B63=0,"   ",C63/B63*100)</f>
        <v>0</v>
      </c>
      <c r="E63" s="41">
        <f aca="true" t="shared" si="3" ref="E63:E69">C63-B63</f>
        <v>-30900</v>
      </c>
    </row>
    <row r="64" spans="1:5" ht="15.75" customHeight="1">
      <c r="A64" s="62" t="s">
        <v>158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9.5" customHeight="1">
      <c r="A65" s="62" t="s">
        <v>161</v>
      </c>
      <c r="B65" s="36">
        <v>0</v>
      </c>
      <c r="C65" s="36">
        <v>0</v>
      </c>
      <c r="D65" s="40" t="str">
        <f t="shared" si="2"/>
        <v>   </v>
      </c>
      <c r="E65" s="41">
        <f t="shared" si="3"/>
        <v>0</v>
      </c>
    </row>
    <row r="66" spans="1:5" ht="19.5" customHeight="1">
      <c r="A66" s="62" t="s">
        <v>299</v>
      </c>
      <c r="B66" s="36">
        <v>0</v>
      </c>
      <c r="C66" s="36">
        <v>0</v>
      </c>
      <c r="D66" s="40" t="str">
        <f t="shared" si="2"/>
        <v>   </v>
      </c>
      <c r="E66" s="41">
        <f t="shared" si="3"/>
        <v>0</v>
      </c>
    </row>
    <row r="67" spans="1:5" ht="19.5" customHeight="1">
      <c r="A67" s="62" t="s">
        <v>300</v>
      </c>
      <c r="B67" s="36">
        <v>30900</v>
      </c>
      <c r="C67" s="36">
        <v>0</v>
      </c>
      <c r="D67" s="40">
        <f t="shared" si="2"/>
        <v>0</v>
      </c>
      <c r="E67" s="41">
        <f t="shared" si="3"/>
        <v>-30900</v>
      </c>
    </row>
    <row r="68" spans="1:5" ht="19.5" customHeight="1">
      <c r="A68" s="62" t="s">
        <v>220</v>
      </c>
      <c r="B68" s="36">
        <f>SUM(B69)</f>
        <v>0</v>
      </c>
      <c r="C68" s="36">
        <f>SUM(C69)</f>
        <v>0</v>
      </c>
      <c r="D68" s="40" t="str">
        <f t="shared" si="2"/>
        <v>   </v>
      </c>
      <c r="E68" s="41">
        <f t="shared" si="3"/>
        <v>0</v>
      </c>
    </row>
    <row r="69" spans="1:5" ht="19.5" customHeight="1">
      <c r="A69" s="62" t="s">
        <v>221</v>
      </c>
      <c r="B69" s="36">
        <v>0</v>
      </c>
      <c r="C69" s="36">
        <v>0</v>
      </c>
      <c r="D69" s="40" t="str">
        <f t="shared" si="2"/>
        <v>   </v>
      </c>
      <c r="E69" s="41">
        <f t="shared" si="3"/>
        <v>0</v>
      </c>
    </row>
    <row r="70" spans="1:5" ht="12.75" customHeight="1">
      <c r="A70" s="62" t="s">
        <v>124</v>
      </c>
      <c r="B70" s="36">
        <f>SUM(B71:B77)</f>
        <v>1648801</v>
      </c>
      <c r="C70" s="36">
        <f>SUM(C71:C77)</f>
        <v>1631000</v>
      </c>
      <c r="D70" s="40">
        <f t="shared" si="0"/>
        <v>98.92036698182497</v>
      </c>
      <c r="E70" s="41">
        <f t="shared" si="1"/>
        <v>-17801</v>
      </c>
    </row>
    <row r="71" spans="1:5" ht="24.75" customHeight="1">
      <c r="A71" s="60" t="s">
        <v>141</v>
      </c>
      <c r="B71" s="36">
        <v>0</v>
      </c>
      <c r="C71" s="36">
        <v>0</v>
      </c>
      <c r="D71" s="40" t="str">
        <f t="shared" si="0"/>
        <v>   </v>
      </c>
      <c r="E71" s="55">
        <f t="shared" si="1"/>
        <v>0</v>
      </c>
    </row>
    <row r="72" spans="1:5" ht="33.75" customHeight="1">
      <c r="A72" s="17" t="s">
        <v>237</v>
      </c>
      <c r="B72" s="36">
        <v>521101.75</v>
      </c>
      <c r="C72" s="36">
        <v>503300.75</v>
      </c>
      <c r="D72" s="40">
        <f t="shared" si="0"/>
        <v>96.58396848600105</v>
      </c>
      <c r="E72" s="55">
        <f t="shared" si="1"/>
        <v>-17801</v>
      </c>
    </row>
    <row r="73" spans="1:5" ht="26.25" customHeight="1">
      <c r="A73" s="17" t="s">
        <v>238</v>
      </c>
      <c r="B73" s="36">
        <v>82599.25</v>
      </c>
      <c r="C73" s="36">
        <v>82599.25</v>
      </c>
      <c r="D73" s="40">
        <f t="shared" si="0"/>
        <v>100</v>
      </c>
      <c r="E73" s="41">
        <f t="shared" si="1"/>
        <v>0</v>
      </c>
    </row>
    <row r="74" spans="1:5" ht="26.25" customHeight="1">
      <c r="A74" s="17" t="s">
        <v>239</v>
      </c>
      <c r="B74" s="36">
        <v>544300</v>
      </c>
      <c r="C74" s="36">
        <v>544300</v>
      </c>
      <c r="D74" s="40">
        <f t="shared" si="0"/>
        <v>100</v>
      </c>
      <c r="E74" s="41">
        <f t="shared" si="1"/>
        <v>0</v>
      </c>
    </row>
    <row r="75" spans="1:5" ht="26.25" customHeight="1">
      <c r="A75" s="17" t="s">
        <v>240</v>
      </c>
      <c r="B75" s="36">
        <v>60500</v>
      </c>
      <c r="C75" s="36">
        <v>60500</v>
      </c>
      <c r="D75" s="40">
        <f>IF(B75=0,"   ",C75/B75*100)</f>
        <v>100</v>
      </c>
      <c r="E75" s="41">
        <f>C75-B75</f>
        <v>0</v>
      </c>
    </row>
    <row r="76" spans="1:5" ht="26.25" customHeight="1">
      <c r="A76" s="17" t="s">
        <v>241</v>
      </c>
      <c r="B76" s="36">
        <v>396200</v>
      </c>
      <c r="C76" s="36">
        <v>396200</v>
      </c>
      <c r="D76" s="40">
        <f>IF(B76=0,"   ",C76/B76*100)</f>
        <v>100</v>
      </c>
      <c r="E76" s="41">
        <f>C76-B76</f>
        <v>0</v>
      </c>
    </row>
    <row r="77" spans="1:5" ht="25.5" customHeight="1">
      <c r="A77" s="17" t="s">
        <v>242</v>
      </c>
      <c r="B77" s="36">
        <v>44100</v>
      </c>
      <c r="C77" s="36">
        <v>44100</v>
      </c>
      <c r="D77" s="40">
        <f t="shared" si="0"/>
        <v>100</v>
      </c>
      <c r="E77" s="41">
        <f t="shared" si="1"/>
        <v>0</v>
      </c>
    </row>
    <row r="78" spans="1:5" ht="18.75" customHeight="1">
      <c r="A78" s="68" t="s">
        <v>168</v>
      </c>
      <c r="B78" s="36">
        <f>SUM(B79+B80)</f>
        <v>49500</v>
      </c>
      <c r="C78" s="36">
        <f>SUM(C79+C80)</f>
        <v>49500</v>
      </c>
      <c r="D78" s="40">
        <f>IF(B78=0,"   ",C78/B78*100)</f>
        <v>100</v>
      </c>
      <c r="E78" s="41">
        <f>C78-B78</f>
        <v>0</v>
      </c>
    </row>
    <row r="79" spans="1:5" ht="31.5" customHeight="1">
      <c r="A79" s="17" t="s">
        <v>147</v>
      </c>
      <c r="B79" s="36">
        <v>0</v>
      </c>
      <c r="C79" s="36">
        <v>0</v>
      </c>
      <c r="D79" s="40" t="str">
        <f>IF(B79=0,"   ",C79/B79*100)</f>
        <v>   </v>
      </c>
      <c r="E79" s="41">
        <f>C79-B79</f>
        <v>0</v>
      </c>
    </row>
    <row r="80" spans="1:5" ht="23.25" customHeight="1">
      <c r="A80" s="60" t="s">
        <v>169</v>
      </c>
      <c r="B80" s="36">
        <v>49500</v>
      </c>
      <c r="C80" s="36">
        <v>49500</v>
      </c>
      <c r="D80" s="40">
        <f>IF(B80=0,"   ",C80/B80*100)</f>
        <v>100</v>
      </c>
      <c r="E80" s="41">
        <f>C80-B80</f>
        <v>0</v>
      </c>
    </row>
    <row r="81" spans="1:5" ht="18.75" customHeight="1">
      <c r="A81" s="21" t="s">
        <v>13</v>
      </c>
      <c r="B81" s="36">
        <f>SUM(B90+B82+B84+B98)</f>
        <v>609288.34</v>
      </c>
      <c r="C81" s="36">
        <f>SUM(C90+C82+C84)</f>
        <v>609288.34</v>
      </c>
      <c r="D81" s="40">
        <f t="shared" si="0"/>
        <v>100</v>
      </c>
      <c r="E81" s="41">
        <f t="shared" si="1"/>
        <v>0</v>
      </c>
    </row>
    <row r="82" spans="1:5" ht="12.75" customHeight="1">
      <c r="A82" s="128" t="s">
        <v>14</v>
      </c>
      <c r="B82" s="36">
        <f>B83</f>
        <v>0</v>
      </c>
      <c r="C82" s="36">
        <f>C83</f>
        <v>0</v>
      </c>
      <c r="D82" s="40" t="str">
        <f aca="true" t="shared" si="4" ref="D82:D89">IF(B82=0,"   ",C82/B82*100)</f>
        <v>   </v>
      </c>
      <c r="E82" s="41">
        <f aca="true" t="shared" si="5" ref="E82:E89">C82-B82</f>
        <v>0</v>
      </c>
    </row>
    <row r="83" spans="1:5" ht="12.75" customHeight="1">
      <c r="A83" s="21" t="s">
        <v>163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3.5" customHeight="1">
      <c r="A84" s="128" t="s">
        <v>64</v>
      </c>
      <c r="B84" s="36">
        <f>SUM(B85:B89)</f>
        <v>359867.3</v>
      </c>
      <c r="C84" s="36">
        <f>SUM(C85:C89)</f>
        <v>359867.3</v>
      </c>
      <c r="D84" s="40">
        <f t="shared" si="4"/>
        <v>100</v>
      </c>
      <c r="E84" s="41">
        <f t="shared" si="5"/>
        <v>0</v>
      </c>
    </row>
    <row r="85" spans="1:5" ht="14.25" customHeight="1">
      <c r="A85" s="21" t="s">
        <v>134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4.25" customHeight="1">
      <c r="A86" s="38" t="s">
        <v>265</v>
      </c>
      <c r="B86" s="36">
        <v>65902</v>
      </c>
      <c r="C86" s="36">
        <v>65902</v>
      </c>
      <c r="D86" s="40">
        <f t="shared" si="4"/>
        <v>100</v>
      </c>
      <c r="E86" s="41">
        <f t="shared" si="5"/>
        <v>0</v>
      </c>
    </row>
    <row r="87" spans="1:5" ht="14.25" customHeight="1">
      <c r="A87" s="21" t="s">
        <v>325</v>
      </c>
      <c r="B87" s="36">
        <v>293965.3</v>
      </c>
      <c r="C87" s="36">
        <v>293965.3</v>
      </c>
      <c r="D87" s="40">
        <f t="shared" si="4"/>
        <v>100</v>
      </c>
      <c r="E87" s="41">
        <f t="shared" si="5"/>
        <v>0</v>
      </c>
    </row>
    <row r="88" spans="1:5" ht="14.25" customHeight="1">
      <c r="A88" s="21" t="s">
        <v>272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4.25" customHeight="1">
      <c r="A89" s="21" t="s">
        <v>281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58</v>
      </c>
      <c r="B90" s="36">
        <f>B91+B93+B92+B94</f>
        <v>249321.04</v>
      </c>
      <c r="C90" s="36">
        <f>C91+C93+C92+C98+C94</f>
        <v>249421.04</v>
      </c>
      <c r="D90" s="40">
        <f t="shared" si="0"/>
        <v>100.04010892943491</v>
      </c>
      <c r="E90" s="41">
        <f t="shared" si="1"/>
        <v>100</v>
      </c>
    </row>
    <row r="91" spans="1:5" ht="13.5">
      <c r="A91" s="21" t="s">
        <v>56</v>
      </c>
      <c r="B91" s="36">
        <v>249321.04</v>
      </c>
      <c r="C91" s="107">
        <v>249321.04</v>
      </c>
      <c r="D91" s="40">
        <f t="shared" si="0"/>
        <v>100</v>
      </c>
      <c r="E91" s="41">
        <f t="shared" si="1"/>
        <v>0</v>
      </c>
    </row>
    <row r="92" spans="1:5" ht="27">
      <c r="A92" s="17" t="s">
        <v>273</v>
      </c>
      <c r="B92" s="36">
        <v>0</v>
      </c>
      <c r="C92" s="107">
        <v>0</v>
      </c>
      <c r="D92" s="40" t="str">
        <f t="shared" si="0"/>
        <v>   </v>
      </c>
      <c r="E92" s="41">
        <f t="shared" si="1"/>
        <v>0</v>
      </c>
    </row>
    <row r="93" spans="1:5" ht="13.5">
      <c r="A93" s="21" t="s">
        <v>59</v>
      </c>
      <c r="B93" s="36">
        <v>0</v>
      </c>
      <c r="C93" s="107">
        <v>0</v>
      </c>
      <c r="D93" s="40" t="str">
        <f t="shared" si="0"/>
        <v>   </v>
      </c>
      <c r="E93" s="41">
        <f t="shared" si="1"/>
        <v>0</v>
      </c>
    </row>
    <row r="94" spans="1:5" ht="13.5" customHeight="1">
      <c r="A94" s="17" t="s">
        <v>196</v>
      </c>
      <c r="B94" s="36">
        <f>SUM(B95:B97)</f>
        <v>0</v>
      </c>
      <c r="C94" s="36">
        <f>SUM(C95:C97)</f>
        <v>0</v>
      </c>
      <c r="D94" s="40" t="str">
        <f>IF(B94=0,"   ",C94/B94*100)</f>
        <v>   </v>
      </c>
      <c r="E94" s="41">
        <f>C94-B94</f>
        <v>0</v>
      </c>
    </row>
    <row r="95" spans="1:5" ht="27">
      <c r="A95" s="17" t="s">
        <v>203</v>
      </c>
      <c r="B95" s="36">
        <v>0</v>
      </c>
      <c r="C95" s="107">
        <v>0</v>
      </c>
      <c r="D95" s="40" t="str">
        <f t="shared" si="0"/>
        <v>   </v>
      </c>
      <c r="E95" s="41">
        <f t="shared" si="1"/>
        <v>0</v>
      </c>
    </row>
    <row r="96" spans="1:5" ht="27">
      <c r="A96" s="17" t="s">
        <v>204</v>
      </c>
      <c r="B96" s="36">
        <v>0</v>
      </c>
      <c r="C96" s="107">
        <v>0</v>
      </c>
      <c r="D96" s="40" t="str">
        <f t="shared" si="0"/>
        <v>   </v>
      </c>
      <c r="E96" s="41">
        <f t="shared" si="1"/>
        <v>0</v>
      </c>
    </row>
    <row r="97" spans="1:5" ht="27.75" thickBot="1">
      <c r="A97" s="17" t="s">
        <v>205</v>
      </c>
      <c r="B97" s="36">
        <v>0</v>
      </c>
      <c r="C97" s="107">
        <v>0</v>
      </c>
      <c r="D97" s="40" t="str">
        <f t="shared" si="0"/>
        <v>   </v>
      </c>
      <c r="E97" s="41">
        <f t="shared" si="1"/>
        <v>0</v>
      </c>
    </row>
    <row r="98" spans="1:5" ht="14.25" thickBot="1">
      <c r="A98" s="62" t="s">
        <v>310</v>
      </c>
      <c r="B98" s="111">
        <f>SUM(B99)</f>
        <v>100</v>
      </c>
      <c r="C98" s="111">
        <f>SUM(C99)</f>
        <v>100</v>
      </c>
      <c r="D98" s="40">
        <f t="shared" si="0"/>
        <v>100</v>
      </c>
      <c r="E98" s="41">
        <f t="shared" si="1"/>
        <v>0</v>
      </c>
    </row>
    <row r="99" spans="1:5" ht="13.5">
      <c r="A99" s="62" t="s">
        <v>261</v>
      </c>
      <c r="B99" s="36">
        <v>100</v>
      </c>
      <c r="C99" s="99">
        <v>100</v>
      </c>
      <c r="D99" s="40">
        <f>IF(B99=0,"   ",C99/B99*100)</f>
        <v>100</v>
      </c>
      <c r="E99" s="41">
        <f>C99-B99</f>
        <v>0</v>
      </c>
    </row>
    <row r="100" spans="1:5" ht="14.25" customHeight="1">
      <c r="A100" s="21" t="s">
        <v>17</v>
      </c>
      <c r="B100" s="36">
        <v>0</v>
      </c>
      <c r="C100" s="36">
        <v>0</v>
      </c>
      <c r="D100" s="40" t="str">
        <f t="shared" si="0"/>
        <v>   </v>
      </c>
      <c r="E100" s="41">
        <f t="shared" si="1"/>
        <v>0</v>
      </c>
    </row>
    <row r="101" spans="1:5" ht="13.5" customHeight="1">
      <c r="A101" s="21" t="s">
        <v>41</v>
      </c>
      <c r="B101" s="143">
        <f>B102</f>
        <v>969900</v>
      </c>
      <c r="C101" s="143">
        <f>C102</f>
        <v>969900</v>
      </c>
      <c r="D101" s="40">
        <f t="shared" si="0"/>
        <v>100</v>
      </c>
      <c r="E101" s="41">
        <f t="shared" si="1"/>
        <v>0</v>
      </c>
    </row>
    <row r="102" spans="1:5" ht="13.5">
      <c r="A102" s="21" t="s">
        <v>42</v>
      </c>
      <c r="B102" s="36">
        <v>969900</v>
      </c>
      <c r="C102" s="107">
        <v>969900</v>
      </c>
      <c r="D102" s="40">
        <f t="shared" si="0"/>
        <v>100</v>
      </c>
      <c r="E102" s="41">
        <f t="shared" si="1"/>
        <v>0</v>
      </c>
    </row>
    <row r="103" spans="1:5" ht="18.75" customHeight="1">
      <c r="A103" s="21" t="s">
        <v>119</v>
      </c>
      <c r="B103" s="36">
        <f>SUM(B104,)</f>
        <v>10000</v>
      </c>
      <c r="C103" s="36">
        <f>SUM(C104,)</f>
        <v>10000</v>
      </c>
      <c r="D103" s="40">
        <f t="shared" si="0"/>
        <v>100</v>
      </c>
      <c r="E103" s="41">
        <f t="shared" si="1"/>
        <v>0</v>
      </c>
    </row>
    <row r="104" spans="1:5" ht="13.5">
      <c r="A104" s="21" t="s">
        <v>43</v>
      </c>
      <c r="B104" s="36">
        <v>10000</v>
      </c>
      <c r="C104" s="99">
        <v>10000</v>
      </c>
      <c r="D104" s="40">
        <f t="shared" si="0"/>
        <v>100</v>
      </c>
      <c r="E104" s="41">
        <f t="shared" si="1"/>
        <v>0</v>
      </c>
    </row>
    <row r="105" spans="1:5" ht="22.5" customHeight="1">
      <c r="A105" s="44" t="s">
        <v>15</v>
      </c>
      <c r="B105" s="116">
        <f>B50+B58+B60+B62+B81+B100+B101+B103</f>
        <v>4956578.529999999</v>
      </c>
      <c r="C105" s="116">
        <f>C50+C58+C60+C62+C81+C100+C101+C103</f>
        <v>4873619.72</v>
      </c>
      <c r="D105" s="46">
        <f>IF(B105=0,"   ",C105/B105*100)</f>
        <v>98.32628879986696</v>
      </c>
      <c r="E105" s="47">
        <f t="shared" si="1"/>
        <v>-82958.80999999959</v>
      </c>
    </row>
    <row r="106" spans="1:5" s="13" customFormat="1" ht="33" customHeight="1">
      <c r="A106" s="71" t="s">
        <v>290</v>
      </c>
      <c r="B106" s="71"/>
      <c r="C106" s="165"/>
      <c r="D106" s="165"/>
      <c r="E106" s="165"/>
    </row>
    <row r="107" spans="1:5" s="13" customFormat="1" ht="12" customHeight="1">
      <c r="A107" s="71" t="s">
        <v>146</v>
      </c>
      <c r="B107" s="71"/>
      <c r="C107" s="72" t="s">
        <v>291</v>
      </c>
      <c r="D107" s="73"/>
      <c r="E107" s="74"/>
    </row>
    <row r="108" spans="1:5" ht="13.5">
      <c r="A108" s="71"/>
      <c r="B108" s="71"/>
      <c r="C108" s="117"/>
      <c r="D108" s="71"/>
      <c r="E108" s="118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22"/>
      <c r="B112" s="160"/>
      <c r="C112" s="160"/>
      <c r="D112" s="160"/>
      <c r="E112" s="160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</sheetData>
  <sheetProtection/>
  <mergeCells count="2">
    <mergeCell ref="A1:E1"/>
    <mergeCell ref="C106:E106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34">
      <selection activeCell="G31" sqref="G31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6" t="s">
        <v>351</v>
      </c>
      <c r="B1" s="166"/>
      <c r="C1" s="166"/>
      <c r="D1" s="166"/>
      <c r="E1" s="166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292</v>
      </c>
      <c r="C4" s="26" t="s">
        <v>352</v>
      </c>
      <c r="D4" s="25" t="s">
        <v>295</v>
      </c>
      <c r="E4" s="27" t="s">
        <v>294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401400</v>
      </c>
      <c r="C7" s="143">
        <f>SUM(C8)</f>
        <v>393656.54</v>
      </c>
      <c r="D7" s="40">
        <f aca="true" t="shared" si="0" ref="D7:D112">IF(B7=0,"   ",C7/B7*100)</f>
        <v>98.07088689586448</v>
      </c>
      <c r="E7" s="41">
        <f aca="true" t="shared" si="1" ref="E7:E113">C7-B7</f>
        <v>-7743.460000000021</v>
      </c>
    </row>
    <row r="8" spans="1:5" ht="13.5">
      <c r="A8" s="21" t="s">
        <v>44</v>
      </c>
      <c r="B8" s="36">
        <v>401400</v>
      </c>
      <c r="C8" s="86">
        <v>393656.54</v>
      </c>
      <c r="D8" s="40">
        <f t="shared" si="0"/>
        <v>98.07088689586448</v>
      </c>
      <c r="E8" s="41">
        <f t="shared" si="1"/>
        <v>-7743.460000000021</v>
      </c>
    </row>
    <row r="9" spans="1:5" ht="18" customHeight="1">
      <c r="A9" s="38" t="s">
        <v>129</v>
      </c>
      <c r="B9" s="143">
        <f>SUM(B10)</f>
        <v>915700</v>
      </c>
      <c r="C9" s="143">
        <f>SUM(C10)</f>
        <v>977809.95</v>
      </c>
      <c r="D9" s="40">
        <f t="shared" si="0"/>
        <v>106.78278366277165</v>
      </c>
      <c r="E9" s="41">
        <f t="shared" si="1"/>
        <v>62109.94999999995</v>
      </c>
    </row>
    <row r="10" spans="1:5" ht="13.5">
      <c r="A10" s="21" t="s">
        <v>130</v>
      </c>
      <c r="B10" s="36">
        <v>915700</v>
      </c>
      <c r="C10" s="86">
        <v>977809.95</v>
      </c>
      <c r="D10" s="40">
        <f t="shared" si="0"/>
        <v>106.78278366277165</v>
      </c>
      <c r="E10" s="41">
        <f t="shared" si="1"/>
        <v>62109.94999999995</v>
      </c>
    </row>
    <row r="11" spans="1:5" ht="16.5" customHeight="1">
      <c r="A11" s="21" t="s">
        <v>7</v>
      </c>
      <c r="B11" s="36">
        <f>SUM(B12:B12)</f>
        <v>55600</v>
      </c>
      <c r="C11" s="36">
        <f>C12</f>
        <v>41475.78</v>
      </c>
      <c r="D11" s="40">
        <f t="shared" si="0"/>
        <v>74.59672661870503</v>
      </c>
      <c r="E11" s="41">
        <f t="shared" si="1"/>
        <v>-14124.220000000001</v>
      </c>
    </row>
    <row r="12" spans="1:5" ht="13.5">
      <c r="A12" s="21" t="s">
        <v>26</v>
      </c>
      <c r="B12" s="36">
        <v>55600</v>
      </c>
      <c r="C12" s="86">
        <v>41475.78</v>
      </c>
      <c r="D12" s="40">
        <f t="shared" si="0"/>
        <v>74.59672661870503</v>
      </c>
      <c r="E12" s="41">
        <f t="shared" si="1"/>
        <v>-14124.220000000001</v>
      </c>
    </row>
    <row r="13" spans="1:5" ht="18" customHeight="1">
      <c r="A13" s="21" t="s">
        <v>9</v>
      </c>
      <c r="B13" s="36">
        <f>SUM(B14:B15)</f>
        <v>1070000</v>
      </c>
      <c r="C13" s="36">
        <f>SUM(C14:C15)</f>
        <v>1179295.67</v>
      </c>
      <c r="D13" s="40">
        <f t="shared" si="0"/>
        <v>110.21454859813082</v>
      </c>
      <c r="E13" s="41">
        <f t="shared" si="1"/>
        <v>109295.66999999993</v>
      </c>
    </row>
    <row r="14" spans="1:5" ht="13.5">
      <c r="A14" s="21" t="s">
        <v>27</v>
      </c>
      <c r="B14" s="36">
        <v>490000</v>
      </c>
      <c r="C14" s="86">
        <v>516795.35</v>
      </c>
      <c r="D14" s="40">
        <f t="shared" si="0"/>
        <v>105.4684387755102</v>
      </c>
      <c r="E14" s="41">
        <f t="shared" si="1"/>
        <v>26795.349999999977</v>
      </c>
    </row>
    <row r="15" spans="1:5" ht="13.5">
      <c r="A15" s="21" t="s">
        <v>152</v>
      </c>
      <c r="B15" s="36">
        <f>SUM(B16:B17)</f>
        <v>580000</v>
      </c>
      <c r="C15" s="36">
        <f>SUM(C16:C17)</f>
        <v>662500.3200000001</v>
      </c>
      <c r="D15" s="40">
        <f t="shared" si="0"/>
        <v>114.22419310344829</v>
      </c>
      <c r="E15" s="41">
        <f t="shared" si="1"/>
        <v>82500.32000000007</v>
      </c>
    </row>
    <row r="16" spans="1:5" ht="13.5">
      <c r="A16" s="21" t="s">
        <v>153</v>
      </c>
      <c r="B16" s="36">
        <v>293000</v>
      </c>
      <c r="C16" s="86">
        <v>370600.25</v>
      </c>
      <c r="D16" s="40">
        <f t="shared" si="0"/>
        <v>126.48472696245734</v>
      </c>
      <c r="E16" s="41">
        <f t="shared" si="1"/>
        <v>77600.25</v>
      </c>
    </row>
    <row r="17" spans="1:5" ht="13.5">
      <c r="A17" s="21" t="s">
        <v>154</v>
      </c>
      <c r="B17" s="36">
        <v>287000</v>
      </c>
      <c r="C17" s="86">
        <v>291900.07</v>
      </c>
      <c r="D17" s="40">
        <f t="shared" si="0"/>
        <v>101.70734146341465</v>
      </c>
      <c r="E17" s="41">
        <f t="shared" si="1"/>
        <v>4900.070000000007</v>
      </c>
    </row>
    <row r="18" spans="1:5" ht="13.5">
      <c r="A18" s="21" t="s">
        <v>187</v>
      </c>
      <c r="B18" s="36">
        <v>2900</v>
      </c>
      <c r="C18" s="86">
        <v>3900</v>
      </c>
      <c r="D18" s="40">
        <f t="shared" si="0"/>
        <v>134.48275862068965</v>
      </c>
      <c r="E18" s="41">
        <f t="shared" si="1"/>
        <v>1000</v>
      </c>
    </row>
    <row r="19" spans="1:5" ht="18" customHeight="1">
      <c r="A19" s="21" t="s">
        <v>86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150800</v>
      </c>
      <c r="C20" s="36">
        <f>SUM(C21:C24)</f>
        <v>170845.52000000002</v>
      </c>
      <c r="D20" s="40">
        <f t="shared" si="0"/>
        <v>113.29278514588862</v>
      </c>
      <c r="E20" s="41">
        <f t="shared" si="1"/>
        <v>20045.52000000002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144</v>
      </c>
      <c r="B22" s="36">
        <v>81000</v>
      </c>
      <c r="C22" s="107">
        <v>94658.74</v>
      </c>
      <c r="D22" s="40">
        <f t="shared" si="0"/>
        <v>116.86264197530865</v>
      </c>
      <c r="E22" s="41">
        <f t="shared" si="1"/>
        <v>13658.740000000005</v>
      </c>
    </row>
    <row r="23" spans="1:5" ht="15.75" customHeight="1">
      <c r="A23" s="21" t="s">
        <v>30</v>
      </c>
      <c r="B23" s="36">
        <v>23000</v>
      </c>
      <c r="C23" s="36">
        <v>24167.98</v>
      </c>
      <c r="D23" s="40">
        <f t="shared" si="0"/>
        <v>105.07817391304349</v>
      </c>
      <c r="E23" s="41">
        <f t="shared" si="1"/>
        <v>1167.9799999999996</v>
      </c>
    </row>
    <row r="24" spans="1:5" ht="42" customHeight="1">
      <c r="A24" s="21" t="s">
        <v>215</v>
      </c>
      <c r="B24" s="36">
        <v>46800</v>
      </c>
      <c r="C24" s="86">
        <v>52018.8</v>
      </c>
      <c r="D24" s="40">
        <f t="shared" si="0"/>
        <v>111.15128205128207</v>
      </c>
      <c r="E24" s="41">
        <f t="shared" si="1"/>
        <v>5218.800000000003</v>
      </c>
    </row>
    <row r="25" spans="1:5" ht="15.75" customHeight="1">
      <c r="A25" s="21" t="s">
        <v>88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78</v>
      </c>
      <c r="B26" s="36">
        <f>SUM(B27:B28)</f>
        <v>119000</v>
      </c>
      <c r="C26" s="36">
        <f>SUM(C27:C28)</f>
        <v>119343</v>
      </c>
      <c r="D26" s="40">
        <f t="shared" si="0"/>
        <v>100.28823529411765</v>
      </c>
      <c r="E26" s="41">
        <f t="shared" si="1"/>
        <v>343</v>
      </c>
    </row>
    <row r="27" spans="1:5" ht="13.5" customHeight="1">
      <c r="A27" s="21" t="s">
        <v>127</v>
      </c>
      <c r="B27" s="36">
        <v>119000</v>
      </c>
      <c r="C27" s="86">
        <v>119343</v>
      </c>
      <c r="D27" s="40">
        <f t="shared" si="0"/>
        <v>100.28823529411765</v>
      </c>
      <c r="E27" s="41">
        <f t="shared" si="1"/>
        <v>343</v>
      </c>
    </row>
    <row r="28" spans="1:5" ht="26.25" customHeight="1">
      <c r="A28" s="21" t="s">
        <v>79</v>
      </c>
      <c r="B28" s="36">
        <v>0</v>
      </c>
      <c r="C28" s="86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31</v>
      </c>
      <c r="B29" s="36">
        <v>14300</v>
      </c>
      <c r="C29" s="36">
        <v>14335.83</v>
      </c>
      <c r="D29" s="40"/>
      <c r="E29" s="41">
        <f t="shared" si="1"/>
        <v>35.82999999999993</v>
      </c>
    </row>
    <row r="30" spans="1:5" ht="18.75" customHeight="1">
      <c r="A30" s="21" t="s">
        <v>32</v>
      </c>
      <c r="B30" s="36">
        <f>B31+B33+B32</f>
        <v>91416.71</v>
      </c>
      <c r="C30" s="36">
        <f>C31+C33+C32</f>
        <v>95234.41</v>
      </c>
      <c r="D30" s="40">
        <f t="shared" si="0"/>
        <v>104.17615116536135</v>
      </c>
      <c r="E30" s="41">
        <f t="shared" si="1"/>
        <v>3817.699999999997</v>
      </c>
    </row>
    <row r="31" spans="1:5" ht="13.5" customHeight="1">
      <c r="A31" s="21" t="s">
        <v>121</v>
      </c>
      <c r="B31" s="36">
        <v>0</v>
      </c>
      <c r="C31" s="107">
        <v>3553.49</v>
      </c>
      <c r="D31" s="40" t="str">
        <f t="shared" si="0"/>
        <v>   </v>
      </c>
      <c r="E31" s="41">
        <f t="shared" si="1"/>
        <v>3553.49</v>
      </c>
    </row>
    <row r="32" spans="1:5" ht="13.5" customHeight="1">
      <c r="A32" s="21" t="s">
        <v>322</v>
      </c>
      <c r="B32" s="36">
        <v>91416.71</v>
      </c>
      <c r="C32" s="107">
        <v>91680.92</v>
      </c>
      <c r="D32" s="40">
        <f>IF(B32=0,"   ",C32/B32*100)</f>
        <v>100.28901718296359</v>
      </c>
      <c r="E32" s="41">
        <f>C32-B32</f>
        <v>264.20999999999185</v>
      </c>
    </row>
    <row r="33" spans="1:5" ht="13.5" customHeight="1">
      <c r="A33" s="21" t="s">
        <v>122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2821116.71</v>
      </c>
      <c r="C34" s="156">
        <f>SUM(C7,C9,C11,C13,C19,C20,C25,C26,C29,C30,C18)</f>
        <v>2995896.7</v>
      </c>
      <c r="D34" s="46">
        <f t="shared" si="0"/>
        <v>106.19541862201088</v>
      </c>
      <c r="E34" s="47">
        <f t="shared" si="1"/>
        <v>174779.99000000022</v>
      </c>
    </row>
    <row r="35" spans="1:5" ht="18.75" customHeight="1">
      <c r="A35" s="62" t="s">
        <v>132</v>
      </c>
      <c r="B35" s="145">
        <f>SUM(B36:B39,B43:B44,B49,B50,B51,B42)</f>
        <v>8531700</v>
      </c>
      <c r="C35" s="145">
        <f>SUM(C36:C39,C44:C44,C49,C50,C51,C42)</f>
        <v>8508640.29</v>
      </c>
      <c r="D35" s="46">
        <f t="shared" si="0"/>
        <v>99.72971728963745</v>
      </c>
      <c r="E35" s="47">
        <f t="shared" si="1"/>
        <v>-23059.710000000894</v>
      </c>
    </row>
    <row r="36" spans="1:5" ht="16.5" customHeight="1">
      <c r="A36" s="38" t="s">
        <v>34</v>
      </c>
      <c r="B36" s="143">
        <v>4436700</v>
      </c>
      <c r="C36" s="86">
        <v>4436700</v>
      </c>
      <c r="D36" s="40">
        <f t="shared" si="0"/>
        <v>100</v>
      </c>
      <c r="E36" s="41">
        <f t="shared" si="1"/>
        <v>0</v>
      </c>
    </row>
    <row r="37" spans="1:5" ht="16.5" customHeight="1">
      <c r="A37" s="38" t="s">
        <v>218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207400</v>
      </c>
      <c r="C38" s="86">
        <v>207400</v>
      </c>
      <c r="D38" s="54">
        <f t="shared" si="0"/>
        <v>100</v>
      </c>
      <c r="E38" s="55">
        <f t="shared" si="1"/>
        <v>0</v>
      </c>
    </row>
    <row r="39" spans="1:5" ht="24.75" customHeight="1">
      <c r="A39" s="52" t="s">
        <v>140</v>
      </c>
      <c r="B39" s="85">
        <f>SUM(B40:B41)</f>
        <v>200</v>
      </c>
      <c r="C39" s="85">
        <f>SUM(C40:C41)</f>
        <v>200</v>
      </c>
      <c r="D39" s="54">
        <f t="shared" si="0"/>
        <v>100</v>
      </c>
      <c r="E39" s="55">
        <f t="shared" si="1"/>
        <v>0</v>
      </c>
    </row>
    <row r="40" spans="1:5" ht="12.75" customHeight="1">
      <c r="A40" s="52" t="s">
        <v>155</v>
      </c>
      <c r="B40" s="85">
        <v>200</v>
      </c>
      <c r="C40" s="85">
        <v>200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156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226</v>
      </c>
      <c r="B42" s="85">
        <v>716900</v>
      </c>
      <c r="C42" s="85">
        <v>716900</v>
      </c>
      <c r="D42" s="54">
        <f>IF(B42=0,"   ",C42/B42*100)</f>
        <v>100</v>
      </c>
      <c r="E42" s="55">
        <f>C42-B42</f>
        <v>0</v>
      </c>
    </row>
    <row r="43" spans="1:5" ht="30" customHeight="1">
      <c r="A43" s="21" t="s">
        <v>252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3124050</v>
      </c>
      <c r="C44" s="36">
        <f>SUM(C45:C48)</f>
        <v>3124050</v>
      </c>
      <c r="D44" s="40">
        <f t="shared" si="0"/>
        <v>100</v>
      </c>
      <c r="E44" s="41">
        <f t="shared" si="1"/>
        <v>0</v>
      </c>
    </row>
    <row r="45" spans="1:5" ht="18" customHeight="1">
      <c r="A45" s="21" t="s">
        <v>179</v>
      </c>
      <c r="B45" s="36">
        <v>275000</v>
      </c>
      <c r="C45" s="36">
        <v>275000</v>
      </c>
      <c r="D45" s="40">
        <f t="shared" si="0"/>
        <v>100</v>
      </c>
      <c r="E45" s="41">
        <f t="shared" si="1"/>
        <v>0</v>
      </c>
    </row>
    <row r="46" spans="1:5" ht="16.5" customHeight="1">
      <c r="A46" s="21" t="s">
        <v>298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8" customHeight="1">
      <c r="A47" s="21" t="s">
        <v>269</v>
      </c>
      <c r="B47" s="36">
        <v>2297350</v>
      </c>
      <c r="C47" s="36">
        <v>2297350</v>
      </c>
      <c r="D47" s="40">
        <f t="shared" si="0"/>
        <v>100</v>
      </c>
      <c r="E47" s="41">
        <f t="shared" si="1"/>
        <v>0</v>
      </c>
    </row>
    <row r="48" spans="1:5" s="6" customFormat="1" ht="15.75" customHeight="1">
      <c r="A48" s="21" t="s">
        <v>104</v>
      </c>
      <c r="B48" s="36">
        <v>551700</v>
      </c>
      <c r="C48" s="36">
        <v>551700</v>
      </c>
      <c r="D48" s="36">
        <f t="shared" si="0"/>
        <v>100</v>
      </c>
      <c r="E48" s="41">
        <f t="shared" si="1"/>
        <v>0</v>
      </c>
    </row>
    <row r="49" spans="1:5" ht="27.75" customHeight="1">
      <c r="A49" s="21" t="s">
        <v>274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331</v>
      </c>
      <c r="B50" s="36">
        <v>46450</v>
      </c>
      <c r="C50" s="36">
        <v>46450</v>
      </c>
      <c r="D50" s="40">
        <f t="shared" si="0"/>
        <v>100</v>
      </c>
      <c r="E50" s="41">
        <f t="shared" si="1"/>
        <v>0</v>
      </c>
    </row>
    <row r="51" spans="1:5" ht="15" customHeight="1">
      <c r="A51" s="21" t="s">
        <v>189</v>
      </c>
      <c r="B51" s="36">
        <v>0</v>
      </c>
      <c r="C51" s="36">
        <v>-23059.71</v>
      </c>
      <c r="D51" s="40" t="str">
        <f t="shared" si="0"/>
        <v>   </v>
      </c>
      <c r="E51" s="41">
        <f t="shared" si="1"/>
        <v>-23059.71</v>
      </c>
    </row>
    <row r="52" spans="1:5" ht="33" customHeight="1">
      <c r="A52" s="44" t="s">
        <v>11</v>
      </c>
      <c r="B52" s="116">
        <f>SUM(B34,B35,)</f>
        <v>11352816.71</v>
      </c>
      <c r="C52" s="116">
        <f>SUM(C34,C35,)</f>
        <v>11504536.989999998</v>
      </c>
      <c r="D52" s="46">
        <f t="shared" si="0"/>
        <v>101.33641090026897</v>
      </c>
      <c r="E52" s="47">
        <f t="shared" si="1"/>
        <v>151720.27999999747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1590618.04</v>
      </c>
      <c r="C54" s="36">
        <f>SUM(C55,C58,C59)</f>
        <v>1476514.84</v>
      </c>
      <c r="D54" s="40">
        <f t="shared" si="0"/>
        <v>92.82648648949059</v>
      </c>
      <c r="E54" s="41">
        <f t="shared" si="1"/>
        <v>-114103.19999999995</v>
      </c>
    </row>
    <row r="55" spans="1:5" ht="12.75" customHeight="1">
      <c r="A55" s="21" t="s">
        <v>36</v>
      </c>
      <c r="B55" s="36">
        <v>1550618.04</v>
      </c>
      <c r="C55" s="36">
        <v>1441514.84</v>
      </c>
      <c r="D55" s="40">
        <f t="shared" si="0"/>
        <v>92.96388941792526</v>
      </c>
      <c r="E55" s="41">
        <f t="shared" si="1"/>
        <v>-109103.19999999995</v>
      </c>
    </row>
    <row r="56" spans="1:5" ht="13.5">
      <c r="A56" s="21" t="s">
        <v>116</v>
      </c>
      <c r="B56" s="36">
        <v>864685.46</v>
      </c>
      <c r="C56" s="99">
        <v>863119.16</v>
      </c>
      <c r="D56" s="40">
        <f t="shared" si="0"/>
        <v>99.81885898717438</v>
      </c>
      <c r="E56" s="41">
        <f t="shared" si="1"/>
        <v>-1566.2999999999302</v>
      </c>
    </row>
    <row r="57" spans="1:5" ht="13.5">
      <c r="A57" s="21" t="s">
        <v>333</v>
      </c>
      <c r="B57" s="36">
        <v>46450</v>
      </c>
      <c r="C57" s="99">
        <v>46450</v>
      </c>
      <c r="D57" s="40">
        <f>IF(B57=0,"   ",C57/B57*100)</f>
        <v>100</v>
      </c>
      <c r="E57" s="41">
        <f>C57-B57</f>
        <v>0</v>
      </c>
    </row>
    <row r="58" spans="1:5" ht="13.5">
      <c r="A58" s="21" t="s">
        <v>91</v>
      </c>
      <c r="B58" s="36">
        <v>0</v>
      </c>
      <c r="C58" s="107">
        <v>0</v>
      </c>
      <c r="D58" s="40" t="str">
        <f t="shared" si="0"/>
        <v>   </v>
      </c>
      <c r="E58" s="41">
        <f t="shared" si="1"/>
        <v>0</v>
      </c>
    </row>
    <row r="59" spans="1:5" ht="13.5">
      <c r="A59" s="21" t="s">
        <v>52</v>
      </c>
      <c r="B59" s="107">
        <f>SUM(B60)</f>
        <v>40000</v>
      </c>
      <c r="C59" s="107">
        <f>SUM(C60:C60)</f>
        <v>35000</v>
      </c>
      <c r="D59" s="40">
        <f t="shared" si="0"/>
        <v>87.5</v>
      </c>
      <c r="E59" s="41">
        <f t="shared" si="1"/>
        <v>-5000</v>
      </c>
    </row>
    <row r="60" spans="1:5" ht="25.5" customHeight="1">
      <c r="A60" s="17" t="s">
        <v>232</v>
      </c>
      <c r="B60" s="36">
        <v>40000</v>
      </c>
      <c r="C60" s="107">
        <v>35000</v>
      </c>
      <c r="D60" s="40">
        <f t="shared" si="0"/>
        <v>87.5</v>
      </c>
      <c r="E60" s="41">
        <f t="shared" si="1"/>
        <v>-5000</v>
      </c>
    </row>
    <row r="61" spans="1:5" ht="15" customHeight="1">
      <c r="A61" s="21" t="s">
        <v>49</v>
      </c>
      <c r="B61" s="107">
        <f>SUM(B62)</f>
        <v>207400</v>
      </c>
      <c r="C61" s="107">
        <f>SUM(C62)</f>
        <v>207400</v>
      </c>
      <c r="D61" s="40">
        <f t="shared" si="0"/>
        <v>100</v>
      </c>
      <c r="E61" s="41">
        <f t="shared" si="1"/>
        <v>0</v>
      </c>
    </row>
    <row r="62" spans="1:5" ht="12" customHeight="1">
      <c r="A62" s="21" t="s">
        <v>102</v>
      </c>
      <c r="B62" s="36">
        <v>207400</v>
      </c>
      <c r="C62" s="107">
        <v>207400</v>
      </c>
      <c r="D62" s="40">
        <f t="shared" si="0"/>
        <v>100</v>
      </c>
      <c r="E62" s="41">
        <f t="shared" si="1"/>
        <v>0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5000</v>
      </c>
      <c r="D63" s="40">
        <f t="shared" si="0"/>
        <v>100</v>
      </c>
      <c r="E63" s="41">
        <f t="shared" si="1"/>
        <v>0</v>
      </c>
    </row>
    <row r="64" spans="1:5" ht="18" customHeight="1">
      <c r="A64" s="60" t="s">
        <v>324</v>
      </c>
      <c r="B64" s="36">
        <v>5000</v>
      </c>
      <c r="C64" s="107">
        <v>5000</v>
      </c>
      <c r="D64" s="40">
        <f t="shared" si="0"/>
        <v>100</v>
      </c>
      <c r="E64" s="41">
        <f t="shared" si="1"/>
        <v>0</v>
      </c>
    </row>
    <row r="65" spans="1:5" ht="21.75" customHeight="1">
      <c r="A65" s="21" t="s">
        <v>38</v>
      </c>
      <c r="B65" s="107">
        <f>B71+B66+B79</f>
        <v>2310818.48</v>
      </c>
      <c r="C65" s="107">
        <f>C71+C66+C79</f>
        <v>2276918.48</v>
      </c>
      <c r="D65" s="40">
        <f t="shared" si="0"/>
        <v>98.53298732490663</v>
      </c>
      <c r="E65" s="41">
        <f t="shared" si="1"/>
        <v>-33900</v>
      </c>
    </row>
    <row r="66" spans="1:5" ht="21.75" customHeight="1">
      <c r="A66" s="60" t="s">
        <v>157</v>
      </c>
      <c r="B66" s="36">
        <f>SUM(B67:B70)</f>
        <v>17219.8</v>
      </c>
      <c r="C66" s="36">
        <f>SUM(C67:C70)</f>
        <v>8019.8</v>
      </c>
      <c r="D66" s="40">
        <f>IF(B66=0,"   ",C66/B66*100)</f>
        <v>46.57313093067283</v>
      </c>
      <c r="E66" s="41">
        <f>C66-B66</f>
        <v>-9200</v>
      </c>
    </row>
    <row r="67" spans="1:5" ht="11.25" customHeight="1">
      <c r="A67" s="60" t="s">
        <v>158</v>
      </c>
      <c r="B67" s="36">
        <v>0</v>
      </c>
      <c r="C67" s="114">
        <v>0</v>
      </c>
      <c r="D67" s="40" t="str">
        <f>IF(B67=0,"   ",C67/B67*100)</f>
        <v>   </v>
      </c>
      <c r="E67" s="41">
        <f>C67-B67</f>
        <v>0</v>
      </c>
    </row>
    <row r="68" spans="1:5" ht="12" customHeight="1">
      <c r="A68" s="60" t="s">
        <v>161</v>
      </c>
      <c r="B68" s="96">
        <v>8019.8</v>
      </c>
      <c r="C68" s="114">
        <v>8019.8</v>
      </c>
      <c r="D68" s="40">
        <f>IF(B68=0,"   ",C68/B68*100)</f>
        <v>100</v>
      </c>
      <c r="E68" s="41">
        <f>C68-B68</f>
        <v>0</v>
      </c>
    </row>
    <row r="69" spans="1:5" ht="15.75" customHeight="1">
      <c r="A69" s="60" t="s">
        <v>299</v>
      </c>
      <c r="B69" s="96">
        <v>0</v>
      </c>
      <c r="C69" s="114">
        <v>0</v>
      </c>
      <c r="D69" s="40" t="str">
        <f>IF(B69=0,"   ",C69/B69*100)</f>
        <v>   </v>
      </c>
      <c r="E69" s="41">
        <f>C69-B69</f>
        <v>0</v>
      </c>
    </row>
    <row r="70" spans="1:5" ht="12" customHeight="1">
      <c r="A70" s="60" t="s">
        <v>300</v>
      </c>
      <c r="B70" s="96">
        <v>9200</v>
      </c>
      <c r="C70" s="114">
        <v>0</v>
      </c>
      <c r="D70" s="40">
        <f>IF(B70=0,"   ",C70/B70*100)</f>
        <v>0</v>
      </c>
      <c r="E70" s="41">
        <f>C70-B70</f>
        <v>-9200</v>
      </c>
    </row>
    <row r="71" spans="1:5" ht="15.75" customHeight="1">
      <c r="A71" s="68" t="s">
        <v>124</v>
      </c>
      <c r="B71" s="96">
        <f>SUM(B72:B78)</f>
        <v>2184300</v>
      </c>
      <c r="C71" s="96">
        <f>SUM(C72:C78)</f>
        <v>2159600</v>
      </c>
      <c r="D71" s="40">
        <f t="shared" si="0"/>
        <v>98.86920294831296</v>
      </c>
      <c r="E71" s="41">
        <f t="shared" si="1"/>
        <v>-24700</v>
      </c>
    </row>
    <row r="72" spans="1:5" ht="18" customHeight="1">
      <c r="A72" s="60" t="s">
        <v>141</v>
      </c>
      <c r="B72" s="36">
        <v>0</v>
      </c>
      <c r="C72" s="107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237</v>
      </c>
      <c r="B73" s="36">
        <v>774700</v>
      </c>
      <c r="C73" s="107">
        <v>750000</v>
      </c>
      <c r="D73" s="40">
        <f t="shared" si="0"/>
        <v>96.81166903317413</v>
      </c>
      <c r="E73" s="41">
        <f t="shared" si="1"/>
        <v>-24700</v>
      </c>
    </row>
    <row r="74" spans="1:5" ht="29.25" customHeight="1">
      <c r="A74" s="17" t="s">
        <v>238</v>
      </c>
      <c r="B74" s="36">
        <v>0</v>
      </c>
      <c r="C74" s="107">
        <v>0</v>
      </c>
      <c r="D74" s="40" t="str">
        <f t="shared" si="0"/>
        <v>   </v>
      </c>
      <c r="E74" s="41">
        <f t="shared" si="1"/>
        <v>0</v>
      </c>
    </row>
    <row r="75" spans="1:5" ht="27" customHeight="1">
      <c r="A75" s="17" t="s">
        <v>239</v>
      </c>
      <c r="B75" s="36">
        <v>716900</v>
      </c>
      <c r="C75" s="107">
        <v>716900</v>
      </c>
      <c r="D75" s="40">
        <f t="shared" si="0"/>
        <v>100</v>
      </c>
      <c r="E75" s="41">
        <f t="shared" si="1"/>
        <v>0</v>
      </c>
    </row>
    <row r="76" spans="1:5" ht="27" customHeight="1">
      <c r="A76" s="17" t="s">
        <v>240</v>
      </c>
      <c r="B76" s="108">
        <v>79700</v>
      </c>
      <c r="C76" s="107">
        <v>79700</v>
      </c>
      <c r="D76" s="40">
        <f t="shared" si="0"/>
        <v>100</v>
      </c>
      <c r="E76" s="41">
        <f t="shared" si="1"/>
        <v>0</v>
      </c>
    </row>
    <row r="77" spans="1:5" ht="27" customHeight="1">
      <c r="A77" s="17" t="s">
        <v>241</v>
      </c>
      <c r="B77" s="108">
        <v>551700</v>
      </c>
      <c r="C77" s="107">
        <v>551700</v>
      </c>
      <c r="D77" s="40">
        <f t="shared" si="0"/>
        <v>100</v>
      </c>
      <c r="E77" s="41">
        <f t="shared" si="1"/>
        <v>0</v>
      </c>
    </row>
    <row r="78" spans="1:5" ht="27" customHeight="1">
      <c r="A78" s="62" t="s">
        <v>242</v>
      </c>
      <c r="B78" s="108">
        <v>61300</v>
      </c>
      <c r="C78" s="107">
        <v>61300</v>
      </c>
      <c r="D78" s="40">
        <f t="shared" si="0"/>
        <v>100</v>
      </c>
      <c r="E78" s="41">
        <f t="shared" si="1"/>
        <v>0</v>
      </c>
    </row>
    <row r="79" spans="1:5" ht="17.25" customHeight="1">
      <c r="A79" s="62" t="s">
        <v>168</v>
      </c>
      <c r="B79" s="108">
        <f>SUM(B80:B81)</f>
        <v>109298.68</v>
      </c>
      <c r="C79" s="108">
        <f>SUM(C80:C81)</f>
        <v>109298.68</v>
      </c>
      <c r="D79" s="40">
        <f>IF(B79=0,"   ",C79/B79*100)</f>
        <v>100</v>
      </c>
      <c r="E79" s="41">
        <f>C79-B79</f>
        <v>0</v>
      </c>
    </row>
    <row r="80" spans="1:5" ht="33" customHeight="1">
      <c r="A80" s="62" t="s">
        <v>147</v>
      </c>
      <c r="B80" s="108">
        <v>49298.68</v>
      </c>
      <c r="C80" s="107">
        <v>49298.68</v>
      </c>
      <c r="D80" s="40">
        <f>IF(B80=0,"   ",C80/B80*100)</f>
        <v>100</v>
      </c>
      <c r="E80" s="41">
        <f>C80-B80</f>
        <v>0</v>
      </c>
    </row>
    <row r="81" spans="1:5" ht="27" customHeight="1">
      <c r="A81" s="62" t="s">
        <v>169</v>
      </c>
      <c r="B81" s="108">
        <v>60000</v>
      </c>
      <c r="C81" s="107">
        <v>60000</v>
      </c>
      <c r="D81" s="40">
        <f>IF(B81=0,"   ",C81/B81*100)</f>
        <v>100</v>
      </c>
      <c r="E81" s="41">
        <f>C81-B81</f>
        <v>0</v>
      </c>
    </row>
    <row r="82" spans="1:5" ht="20.25" customHeight="1">
      <c r="A82" s="21" t="s">
        <v>13</v>
      </c>
      <c r="B82" s="36">
        <f>SUM(B83,B85,B97,B106)</f>
        <v>4753156.399999999</v>
      </c>
      <c r="C82" s="36">
        <f>SUM(C83,C85,C97,C106)</f>
        <v>4401187.31</v>
      </c>
      <c r="D82" s="40">
        <f t="shared" si="0"/>
        <v>92.59504505258863</v>
      </c>
      <c r="E82" s="41">
        <f t="shared" si="1"/>
        <v>-351969.08999999985</v>
      </c>
    </row>
    <row r="83" spans="1:5" ht="13.5">
      <c r="A83" s="21" t="s">
        <v>14</v>
      </c>
      <c r="B83" s="36">
        <f>SUM(B84:B84)</f>
        <v>233739</v>
      </c>
      <c r="C83" s="36">
        <f>SUM(C84:C84)</f>
        <v>119878.31</v>
      </c>
      <c r="D83" s="40">
        <f t="shared" si="0"/>
        <v>51.28725202041593</v>
      </c>
      <c r="E83" s="41">
        <f t="shared" si="1"/>
        <v>-113860.69</v>
      </c>
    </row>
    <row r="84" spans="1:5" ht="15.75" customHeight="1">
      <c r="A84" s="21" t="s">
        <v>93</v>
      </c>
      <c r="B84" s="36">
        <v>233739</v>
      </c>
      <c r="C84" s="107">
        <v>119878.31</v>
      </c>
      <c r="D84" s="40">
        <f t="shared" si="0"/>
        <v>51.28725202041593</v>
      </c>
      <c r="E84" s="41">
        <f t="shared" si="1"/>
        <v>-113860.69</v>
      </c>
    </row>
    <row r="85" spans="1:5" ht="13.5">
      <c r="A85" s="21" t="s">
        <v>87</v>
      </c>
      <c r="B85" s="36">
        <f>SUM(B86:B93)</f>
        <v>3382960.2399999998</v>
      </c>
      <c r="C85" s="36">
        <f>SUM(C86:C93)</f>
        <v>3144851.84</v>
      </c>
      <c r="D85" s="40">
        <f t="shared" si="0"/>
        <v>92.96153714180218</v>
      </c>
      <c r="E85" s="41">
        <f t="shared" si="1"/>
        <v>-238108.3999999999</v>
      </c>
    </row>
    <row r="86" spans="1:5" ht="13.5">
      <c r="A86" s="21" t="s">
        <v>272</v>
      </c>
      <c r="B86" s="36">
        <v>2297350</v>
      </c>
      <c r="C86" s="36">
        <v>2297350</v>
      </c>
      <c r="D86" s="40">
        <f aca="true" t="shared" si="2" ref="D86:D95">IF(B86=0,"   ",C86/B86*100)</f>
        <v>100</v>
      </c>
      <c r="E86" s="41">
        <f aca="true" t="shared" si="3" ref="E86:E95">C86-B86</f>
        <v>0</v>
      </c>
    </row>
    <row r="87" spans="1:5" ht="13.5">
      <c r="A87" s="21" t="s">
        <v>281</v>
      </c>
      <c r="B87" s="36">
        <v>153220</v>
      </c>
      <c r="C87" s="36">
        <v>153220</v>
      </c>
      <c r="D87" s="40">
        <f t="shared" si="2"/>
        <v>100</v>
      </c>
      <c r="E87" s="41">
        <f t="shared" si="3"/>
        <v>0</v>
      </c>
    </row>
    <row r="88" spans="1:5" ht="27">
      <c r="A88" s="21" t="s">
        <v>186</v>
      </c>
      <c r="B88" s="36">
        <v>60000</v>
      </c>
      <c r="C88" s="36">
        <v>50520</v>
      </c>
      <c r="D88" s="40">
        <f t="shared" si="2"/>
        <v>84.2</v>
      </c>
      <c r="E88" s="41">
        <f t="shared" si="3"/>
        <v>-9480</v>
      </c>
    </row>
    <row r="89" spans="1:5" ht="13.5">
      <c r="A89" s="38" t="s">
        <v>151</v>
      </c>
      <c r="B89" s="36">
        <v>30000</v>
      </c>
      <c r="C89" s="36">
        <v>30000</v>
      </c>
      <c r="D89" s="40">
        <f t="shared" si="2"/>
        <v>100</v>
      </c>
      <c r="E89" s="41">
        <f t="shared" si="3"/>
        <v>0</v>
      </c>
    </row>
    <row r="90" spans="1:5" ht="13.5">
      <c r="A90" s="38" t="s">
        <v>327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13.5">
      <c r="A91" s="21" t="s">
        <v>325</v>
      </c>
      <c r="B91" s="36">
        <v>294028.4</v>
      </c>
      <c r="C91" s="36">
        <v>155400</v>
      </c>
      <c r="D91" s="40">
        <f t="shared" si="2"/>
        <v>52.8520374222354</v>
      </c>
      <c r="E91" s="41">
        <f t="shared" si="3"/>
        <v>-138628.40000000002</v>
      </c>
    </row>
    <row r="92" spans="1:5" ht="14.25" customHeight="1">
      <c r="A92" s="38" t="s">
        <v>328</v>
      </c>
      <c r="B92" s="36">
        <v>90000</v>
      </c>
      <c r="C92" s="36">
        <v>0</v>
      </c>
      <c r="D92" s="40">
        <f t="shared" si="2"/>
        <v>0</v>
      </c>
      <c r="E92" s="41">
        <f t="shared" si="3"/>
        <v>-90000</v>
      </c>
    </row>
    <row r="93" spans="1:5" ht="16.5" customHeight="1">
      <c r="A93" s="17" t="s">
        <v>196</v>
      </c>
      <c r="B93" s="36">
        <f>SUM(B94:B96)</f>
        <v>458361.83999999997</v>
      </c>
      <c r="C93" s="36">
        <f>SUM(C94:C96)</f>
        <v>458361.83999999997</v>
      </c>
      <c r="D93" s="40">
        <f t="shared" si="2"/>
        <v>100</v>
      </c>
      <c r="E93" s="41">
        <f t="shared" si="3"/>
        <v>0</v>
      </c>
    </row>
    <row r="94" spans="1:5" ht="27">
      <c r="A94" s="17" t="s">
        <v>203</v>
      </c>
      <c r="B94" s="36">
        <v>275000</v>
      </c>
      <c r="C94" s="36">
        <v>275000</v>
      </c>
      <c r="D94" s="40">
        <f t="shared" si="2"/>
        <v>100</v>
      </c>
      <c r="E94" s="41">
        <f t="shared" si="3"/>
        <v>0</v>
      </c>
    </row>
    <row r="95" spans="1:5" ht="27">
      <c r="A95" s="17" t="s">
        <v>204</v>
      </c>
      <c r="B95" s="36">
        <v>91680.92</v>
      </c>
      <c r="C95" s="36">
        <v>91680.92</v>
      </c>
      <c r="D95" s="40">
        <f t="shared" si="2"/>
        <v>100</v>
      </c>
      <c r="E95" s="41">
        <f t="shared" si="3"/>
        <v>0</v>
      </c>
    </row>
    <row r="96" spans="1:5" ht="27">
      <c r="A96" s="17" t="s">
        <v>205</v>
      </c>
      <c r="B96" s="36">
        <v>91680.92</v>
      </c>
      <c r="C96" s="107">
        <v>91680.92</v>
      </c>
      <c r="D96" s="40">
        <f t="shared" si="0"/>
        <v>100</v>
      </c>
      <c r="E96" s="41">
        <f t="shared" si="1"/>
        <v>0</v>
      </c>
    </row>
    <row r="97" spans="1:5" ht="13.5">
      <c r="A97" s="21" t="s">
        <v>69</v>
      </c>
      <c r="B97" s="36">
        <f>B98+B99+B100+B102+B101</f>
        <v>1136257.16</v>
      </c>
      <c r="C97" s="36">
        <f>C98+C99+C100+C102+C101</f>
        <v>1136257.16</v>
      </c>
      <c r="D97" s="40">
        <f t="shared" si="0"/>
        <v>100</v>
      </c>
      <c r="E97" s="41">
        <f t="shared" si="1"/>
        <v>0</v>
      </c>
    </row>
    <row r="98" spans="1:5" ht="13.5">
      <c r="A98" s="21" t="s">
        <v>56</v>
      </c>
      <c r="B98" s="36">
        <v>1084115.16</v>
      </c>
      <c r="C98" s="107">
        <v>1084115.16</v>
      </c>
      <c r="D98" s="40">
        <f t="shared" si="0"/>
        <v>100</v>
      </c>
      <c r="E98" s="41">
        <f t="shared" si="1"/>
        <v>0</v>
      </c>
    </row>
    <row r="99" spans="1:5" ht="13.5">
      <c r="A99" s="21" t="s">
        <v>57</v>
      </c>
      <c r="B99" s="36">
        <v>0</v>
      </c>
      <c r="C99" s="107">
        <v>0</v>
      </c>
      <c r="D99" s="40" t="str">
        <f t="shared" si="0"/>
        <v>   </v>
      </c>
      <c r="E99" s="41">
        <f t="shared" si="1"/>
        <v>0</v>
      </c>
    </row>
    <row r="100" spans="1:5" ht="27">
      <c r="A100" s="21" t="s">
        <v>329</v>
      </c>
      <c r="B100" s="36">
        <v>52142</v>
      </c>
      <c r="C100" s="107">
        <v>52142</v>
      </c>
      <c r="D100" s="40">
        <f t="shared" si="0"/>
        <v>100</v>
      </c>
      <c r="E100" s="41">
        <f t="shared" si="1"/>
        <v>0</v>
      </c>
    </row>
    <row r="101" spans="1:5" ht="27">
      <c r="A101" s="17" t="s">
        <v>273</v>
      </c>
      <c r="B101" s="36">
        <v>0</v>
      </c>
      <c r="C101" s="107">
        <v>0</v>
      </c>
      <c r="D101" s="40" t="str">
        <f t="shared" si="0"/>
        <v>   </v>
      </c>
      <c r="E101" s="41">
        <f t="shared" si="1"/>
        <v>0</v>
      </c>
    </row>
    <row r="102" spans="1:5" ht="15.75" customHeight="1">
      <c r="A102" s="17" t="s">
        <v>196</v>
      </c>
      <c r="B102" s="36">
        <f>SUM(B103:B105)</f>
        <v>0</v>
      </c>
      <c r="C102" s="36">
        <f>SUM(C103:C105)</f>
        <v>0</v>
      </c>
      <c r="D102" s="40" t="str">
        <f aca="true" t="shared" si="4" ref="D102:D107">IF(B102=0,"   ",C102/B102*100)</f>
        <v>   </v>
      </c>
      <c r="E102" s="41">
        <f aca="true" t="shared" si="5" ref="E102:E107">C102-B102</f>
        <v>0</v>
      </c>
    </row>
    <row r="103" spans="1:5" ht="27">
      <c r="A103" s="17" t="s">
        <v>203</v>
      </c>
      <c r="B103" s="36">
        <v>0</v>
      </c>
      <c r="C103" s="107">
        <v>0</v>
      </c>
      <c r="D103" s="40" t="str">
        <f t="shared" si="4"/>
        <v>   </v>
      </c>
      <c r="E103" s="41">
        <f t="shared" si="5"/>
        <v>0</v>
      </c>
    </row>
    <row r="104" spans="1:5" ht="27">
      <c r="A104" s="17" t="s">
        <v>204</v>
      </c>
      <c r="B104" s="36">
        <v>0</v>
      </c>
      <c r="C104" s="107">
        <v>0</v>
      </c>
      <c r="D104" s="40" t="str">
        <f t="shared" si="4"/>
        <v>   </v>
      </c>
      <c r="E104" s="41">
        <f t="shared" si="5"/>
        <v>0</v>
      </c>
    </row>
    <row r="105" spans="1:5" ht="27.75" thickBot="1">
      <c r="A105" s="17" t="s">
        <v>205</v>
      </c>
      <c r="B105" s="36">
        <v>0</v>
      </c>
      <c r="C105" s="107">
        <v>0</v>
      </c>
      <c r="D105" s="40" t="str">
        <f t="shared" si="4"/>
        <v>   </v>
      </c>
      <c r="E105" s="41">
        <f t="shared" si="5"/>
        <v>0</v>
      </c>
    </row>
    <row r="106" spans="1:5" ht="14.25" thickBot="1">
      <c r="A106" s="62" t="s">
        <v>310</v>
      </c>
      <c r="B106" s="111">
        <f>SUM(B107)</f>
        <v>200</v>
      </c>
      <c r="C106" s="111">
        <f>SUM(C107)</f>
        <v>200</v>
      </c>
      <c r="D106" s="40">
        <f t="shared" si="4"/>
        <v>100</v>
      </c>
      <c r="E106" s="41">
        <f t="shared" si="5"/>
        <v>0</v>
      </c>
    </row>
    <row r="107" spans="1:5" ht="13.5">
      <c r="A107" s="62" t="s">
        <v>261</v>
      </c>
      <c r="B107" s="36">
        <v>200</v>
      </c>
      <c r="C107" s="99">
        <v>200</v>
      </c>
      <c r="D107" s="40">
        <f t="shared" si="4"/>
        <v>100</v>
      </c>
      <c r="E107" s="41">
        <f t="shared" si="5"/>
        <v>0</v>
      </c>
    </row>
    <row r="108" spans="1:5" ht="20.25" customHeight="1">
      <c r="A108" s="21" t="s">
        <v>17</v>
      </c>
      <c r="B108" s="36">
        <v>0</v>
      </c>
      <c r="C108" s="36">
        <v>0</v>
      </c>
      <c r="D108" s="40" t="str">
        <f t="shared" si="0"/>
        <v>   </v>
      </c>
      <c r="E108" s="41">
        <f t="shared" si="1"/>
        <v>0</v>
      </c>
    </row>
    <row r="109" spans="1:5" ht="18" customHeight="1">
      <c r="A109" s="21" t="s">
        <v>41</v>
      </c>
      <c r="B109" s="143">
        <f>SUM(B110,)</f>
        <v>2619800</v>
      </c>
      <c r="C109" s="143">
        <f>SUM(C110,)</f>
        <v>2619800</v>
      </c>
      <c r="D109" s="40">
        <f t="shared" si="0"/>
        <v>100</v>
      </c>
      <c r="E109" s="41">
        <f t="shared" si="1"/>
        <v>0</v>
      </c>
    </row>
    <row r="110" spans="1:5" ht="14.25" customHeight="1">
      <c r="A110" s="21" t="s">
        <v>42</v>
      </c>
      <c r="B110" s="36">
        <v>2619800</v>
      </c>
      <c r="C110" s="107">
        <v>2619800</v>
      </c>
      <c r="D110" s="40">
        <f t="shared" si="0"/>
        <v>100</v>
      </c>
      <c r="E110" s="41">
        <f t="shared" si="1"/>
        <v>0</v>
      </c>
    </row>
    <row r="111" spans="1:5" ht="18.75" customHeight="1">
      <c r="A111" s="21" t="s">
        <v>119</v>
      </c>
      <c r="B111" s="36">
        <f>SUM(B112,)</f>
        <v>20000</v>
      </c>
      <c r="C111" s="36">
        <f>C112</f>
        <v>20000</v>
      </c>
      <c r="D111" s="40">
        <f t="shared" si="0"/>
        <v>100</v>
      </c>
      <c r="E111" s="41">
        <f t="shared" si="1"/>
        <v>0</v>
      </c>
    </row>
    <row r="112" spans="1:5" ht="12.75" customHeight="1">
      <c r="A112" s="21" t="s">
        <v>43</v>
      </c>
      <c r="B112" s="36">
        <v>20000</v>
      </c>
      <c r="C112" s="99">
        <v>20000</v>
      </c>
      <c r="D112" s="40">
        <f t="shared" si="0"/>
        <v>100</v>
      </c>
      <c r="E112" s="41">
        <f t="shared" si="1"/>
        <v>0</v>
      </c>
    </row>
    <row r="113" spans="1:5" ht="30.75" customHeight="1">
      <c r="A113" s="44" t="s">
        <v>15</v>
      </c>
      <c r="B113" s="116">
        <f>SUM(B54,B61,B63,B65,B82,B108,B109,B111,)</f>
        <v>11506792.92</v>
      </c>
      <c r="C113" s="116">
        <f>SUM(C54,C61,C63,C65,C82,C108,C109,C111,)</f>
        <v>11006820.629999999</v>
      </c>
      <c r="D113" s="46">
        <f>IF(B113=0,"   ",C113/B113*100)</f>
        <v>95.6549814229211</v>
      </c>
      <c r="E113" s="47">
        <f t="shared" si="1"/>
        <v>-499972.29000000097</v>
      </c>
    </row>
    <row r="114" spans="1:5" s="13" customFormat="1" ht="30.75" customHeight="1">
      <c r="A114" s="71" t="s">
        <v>290</v>
      </c>
      <c r="B114" s="71"/>
      <c r="C114" s="165"/>
      <c r="D114" s="165"/>
      <c r="E114" s="165"/>
    </row>
    <row r="115" spans="1:5" s="13" customFormat="1" ht="12" customHeight="1">
      <c r="A115" s="71" t="s">
        <v>146</v>
      </c>
      <c r="B115" s="71"/>
      <c r="C115" s="72" t="s">
        <v>291</v>
      </c>
      <c r="D115" s="73"/>
      <c r="E115" s="74"/>
    </row>
    <row r="116" spans="1:5" ht="15" customHeight="1">
      <c r="A116" s="71"/>
      <c r="B116" s="71"/>
      <c r="C116" s="117"/>
      <c r="D116" s="71"/>
      <c r="E116" s="118"/>
    </row>
    <row r="117" spans="1:5" ht="12" customHeight="1">
      <c r="A117" s="71"/>
      <c r="B117" s="71"/>
      <c r="C117" s="72"/>
      <c r="D117" s="73"/>
      <c r="E117" s="74"/>
    </row>
    <row r="118" spans="1:5" ht="12.75">
      <c r="A118" s="6"/>
      <c r="B118" s="6"/>
      <c r="C118" s="5"/>
      <c r="D118" s="6"/>
      <c r="E118" s="2"/>
    </row>
    <row r="119" spans="1:5" ht="12.75">
      <c r="A119" s="6"/>
      <c r="B119" s="6"/>
      <c r="C119" s="5"/>
      <c r="D119" s="6"/>
      <c r="E119" s="2"/>
    </row>
    <row r="120" spans="1:5" ht="12.75">
      <c r="A120" s="6"/>
      <c r="B120" s="6"/>
      <c r="C120" s="5"/>
      <c r="D120" s="6"/>
      <c r="E120" s="2"/>
    </row>
    <row r="121" spans="1:5" ht="12.75">
      <c r="A121" s="6"/>
      <c r="B121" s="6"/>
      <c r="C121" s="5"/>
      <c r="D121" s="6"/>
      <c r="E121" s="2"/>
    </row>
  </sheetData>
  <sheetProtection/>
  <mergeCells count="2">
    <mergeCell ref="A1:E1"/>
    <mergeCell ref="C114:E11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2022-01-17T06:48:36Z</cp:lastPrinted>
  <dcterms:created xsi:type="dcterms:W3CDTF">2001-03-21T05:21:19Z</dcterms:created>
  <dcterms:modified xsi:type="dcterms:W3CDTF">2022-01-17T06:48:39Z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