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'Лист1'!$A$1:$J$144</definedName>
  </definedNames>
  <calcPr fullCalcOnLoad="1"/>
</workbook>
</file>

<file path=xl/sharedStrings.xml><?xml version="1.0" encoding="utf-8"?>
<sst xmlns="http://schemas.openxmlformats.org/spreadsheetml/2006/main" count="1424" uniqueCount="366">
  <si>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</si>
  <si>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</si>
  <si>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</si>
  <si>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</si>
  <si>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</si>
  <si>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</si>
  <si>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</si>
  <si>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</si>
  <si>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</si>
  <si>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</si>
  <si>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</si>
  <si>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</si>
  <si>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</si>
  <si>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</si>
  <si>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</si>
  <si>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</si>
  <si>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</si>
  <si>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</si>
  <si>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</si>
  <si>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</si>
  <si>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</si>
  <si>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</si>
  <si>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</si>
  <si>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</si>
  <si>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</si>
  <si>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</si>
  <si>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</si>
  <si>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</si>
  <si>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</si>
  <si>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</si>
  <si>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</si>
  <si>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</si>
  <si>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</si>
  <si>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</si>
  <si>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</si>
  <si>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</si>
  <si>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</si>
  <si>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</si>
  <si>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</si>
  <si>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</si>
  <si>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</si>
  <si>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</si>
  <si>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</si>
  <si>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</si>
  <si>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</si>
  <si>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</si>
  <si>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</si>
  <si>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</si>
  <si>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</si>
  <si>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</si>
  <si>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</si>
  <si>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</si>
  <si>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</si>
  <si>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</si>
  <si>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</si>
  <si>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</si>
  <si>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</si>
  <si>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</si>
  <si>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</si>
  <si>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</si>
  <si>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</si>
  <si>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</si>
  <si>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</si>
  <si>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</si>
  <si>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</si>
  <si>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</si>
  <si>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</si>
  <si>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</si>
  <si>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</si>
  <si>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</si>
  <si>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</si>
  <si>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</si>
  <si>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</si>
  <si>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</si>
  <si>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</si>
  <si>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</si>
  <si>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</si>
  <si>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</si>
  <si>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</si>
  <si>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</si>
  <si>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</si>
  <si>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</si>
  <si>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</si>
  <si>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</si>
  <si>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в  том  числе :Жилищное хозяйство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</si>
  <si>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</si>
  <si>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</si>
  <si>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</si>
  <si>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</si>
  <si>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</si>
  <si>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</si>
  <si>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>Резервные фонды</t>
  </si>
  <si>
    <t xml:space="preserve">В том числе:Содержание аварийно-спасательного  звена 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</si>
  <si>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</si>
  <si>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</si>
  <si>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</si>
  <si>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</si>
  <si>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</si>
  <si>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</si>
  <si>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</si>
  <si>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</si>
  <si>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</si>
  <si>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</si>
  <si>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</si>
  <si>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</si>
  <si>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</si>
  <si>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</si>
  <si>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</si>
  <si>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</si>
  <si>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</si>
  <si>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</si>
  <si>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</si>
  <si>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</si>
  <si>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</si>
  <si>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</si>
  <si>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</si>
  <si>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</si>
  <si>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</si>
  <si>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</si>
  <si>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</si>
  <si>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>доходы от реализации имущества</t>
  </si>
  <si>
    <t>невыясненные поступления, зачисляемые в бюджеты поселений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</si>
  <si>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</si>
  <si>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</si>
  <si>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</si>
  <si>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</si>
  <si>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</si>
  <si>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</si>
  <si>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</si>
  <si>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</si>
  <si>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</si>
  <si>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</si>
  <si>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</si>
  <si>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</si>
  <si>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</si>
  <si>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</si>
  <si>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</si>
  <si>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</si>
  <si>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</si>
  <si>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</si>
  <si>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</si>
  <si>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</si>
  <si>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</si>
  <si>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</si>
  <si>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</si>
  <si>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</si>
  <si>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</si>
  <si>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</si>
  <si>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</si>
  <si>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</si>
  <si>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 xml:space="preserve">  из них: капитальный и текущий ремонт объектов водоснабжения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</si>
  <si>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</si>
  <si>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</si>
  <si>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</si>
  <si>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</si>
  <si>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</si>
  <si>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</si>
  <si>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</si>
  <si>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</si>
  <si>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</si>
  <si>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</si>
  <si>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</si>
  <si>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из них: содержание муниципального жилфонда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</si>
  <si>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</si>
  <si>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</si>
  <si>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</si>
  <si>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</si>
  <si>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</si>
  <si>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</si>
  <si>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</si>
  <si>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</si>
  <si>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</si>
  <si>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</si>
  <si>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</si>
  <si>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</si>
  <si>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</si>
  <si>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</si>
  <si>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</si>
  <si>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</si>
  <si>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</si>
  <si>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</si>
  <si>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</si>
  <si>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 xml:space="preserve">                      ср-ва поселений  (софинансирование)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</si>
  <si>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</si>
  <si>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</si>
  <si>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</si>
  <si>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</si>
  <si>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</si>
  <si>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</si>
  <si>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</si>
  <si>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</si>
  <si>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</si>
  <si>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</si>
  <si>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</si>
  <si>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</si>
  <si>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</si>
  <si>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</si>
  <si>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</si>
  <si>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</si>
  <si>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</si>
  <si>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</si>
  <si>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</si>
  <si>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</si>
  <si>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</si>
  <si>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</si>
  <si>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</si>
  <si>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</si>
  <si>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</si>
  <si>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</si>
  <si>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</si>
  <si>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</si>
  <si>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</si>
  <si>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</si>
  <si>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в  том числе :   резервные  средства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</si>
  <si>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</si>
  <si>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</si>
  <si>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</si>
  <si>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</si>
  <si>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</si>
  <si>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</si>
  <si>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</si>
  <si>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</si>
  <si>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</si>
  <si>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</si>
  <si>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</si>
  <si>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</si>
  <si>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</si>
  <si>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</si>
  <si>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</si>
  <si>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</si>
  <si>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</si>
  <si>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</si>
  <si>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>софинансирование  из местного бюджета  на капремонт и ремонт дворовых территорий многоквартирных домов (софин.местн.)</t>
  </si>
  <si>
    <t>из  них: обеспечение 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</si>
  <si>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организация и проведение фестивалей, конкурсов, торжественных вечеров, концертов и иных зрелищных мероприятий</t>
  </si>
  <si>
    <t>Благоустройство  дворовых и общественных территорий (ср-ва  посел.)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</si>
  <si>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</si>
  <si>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</si>
  <si>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</si>
  <si>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</si>
  <si>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</si>
  <si>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</si>
  <si>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 том числе : на расходы по  содержанию СДК </t>
  </si>
  <si>
    <t>из  них: прочие выплаты по обязательствам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</si>
  <si>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(КР  дорог)</t>
  </si>
  <si>
    <t>в т. ч. Организация и обеспечение безопасности дорожного движения ( местн.)</t>
  </si>
  <si>
    <t>в т. ч. Организация и обеспечение безопасности дорожного движения (местн.)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</si>
  <si>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 (НА РЕАЛИЗ ПРОГ. СОВРЕМ. ГОРОД. СРЕДЫ)</t>
  </si>
  <si>
    <t>доходы от сдачи в аренду имущества, составляющего  казну  сельских поселений (за исключением земельных участков)</t>
  </si>
  <si>
    <t xml:space="preserve">Реализация комплекса мероприятий  по благоустройству  дворовых территрий и тротуаров (ср-ва  респ. бюдж.)                     </t>
  </si>
  <si>
    <t>СУБСИДИИ БЮДЖЕТАМ СЕЛЬСКИХ ПОСЕЛЕНИЙ НА ОБЕСПЕЧЕНИЕ КОМПЛЕКСНОГО РАЗВИТИЯ СЕЛЬСКИХ ТЕРРИТОРИЙ</t>
  </si>
  <si>
    <t>в том числе субсидии на реализацию комплекса мероприятий по благоустройству дворовых территорий и тротуаров</t>
  </si>
  <si>
    <t>в том числе субсидии на реализацию комплекса мероприятий по благоустройству дворовых территорий и тротуаров( раздел  "ЖКХ")</t>
  </si>
  <si>
    <t>в т. ч. проектирование и строительство автомобильных дорог (местн.)</t>
  </si>
  <si>
    <t>Профицит, дефицит (-)</t>
  </si>
  <si>
    <t>Справочно: Дорожный фонд</t>
  </si>
  <si>
    <t>Доходы</t>
  </si>
  <si>
    <t>Расходы</t>
  </si>
  <si>
    <t>в том числе субсидии на реализацию проектов развития общественной инфраструктуры, основанных на местных инициативах (р. 0409)</t>
  </si>
  <si>
    <t xml:space="preserve">из них: по ведению учета граждан (ср-ва респ. бюдж.) </t>
  </si>
  <si>
    <t xml:space="preserve">Реализация комплекса мероприятий  по благоустройству  дворовых территрий и тротуаров- всего                 </t>
  </si>
  <si>
    <t xml:space="preserve">Реализация комплекса мероприятий  по благоустройству  дворовых территрий и тротуаров (ср-ва  посел.)                     </t>
  </si>
  <si>
    <t xml:space="preserve">Реализация комплекса мероприятий  по благоустройству  дворовых территрий и тротуаров (ср-ва  насел.)                     </t>
  </si>
  <si>
    <t>из них: капитальный и текущий ремонт объектов водоснабжения</t>
  </si>
  <si>
    <t xml:space="preserve">    из них:        на реализацию проектов развития общественной инфраструктуры, основанных на местных инициативах - всего       </t>
  </si>
  <si>
    <t>в  том числе : реконструкция (реставрация) объектов культурного населедия (ПСД по реконстр. Музея)</t>
  </si>
  <si>
    <t xml:space="preserve">    Организация и проведение официальных физкультурных мероприятий</t>
  </si>
  <si>
    <t>в том числе субсидии на капитальный ремонт источников водоснабжения</t>
  </si>
  <si>
    <t>ПРОЧИЕ МЕЖБЮДЖЕТНЫЕ ТРАНСФЕРТЫ, ПЕРЕДАВАЕМЫЕ БЮДЖЕТАМ ПОСЕЛЕНИЙ(На поощрение победителей регион. Конкурса "Лучшая муниц. практика"</t>
  </si>
  <si>
    <t>в том числе субсидии на капитальный ремонт источников водоснабжения ( раздел  "ЖКХ")</t>
  </si>
  <si>
    <t xml:space="preserve">из них: капитальный  ремонт  источников водоснабжения (ср-ва респ. бюдж.)             </t>
  </si>
  <si>
    <t xml:space="preserve">           на реализацию проектов, направленных на благоустройство и развитие территорий населенных пунктов(ср-ва респ. бюдж.)       </t>
  </si>
  <si>
    <t>МЕЖБЮДЖЕТНЫЕ ТРАНСФЕРТЫ, ПЕРЕДАВАЕМЫЕ  БЮДЖЕТАМ  ПОСЕЛЕНИЙ  НА ОСУЩЕСТВЛЕНИЕ ЧАСТИ ПОЛНОМОЧИЙ ПО РЕШЕНИЮ ВОПРОСОВ МЕСТНОГО ЗНАЧЕНИЯ (На комплексное развитие сельских территорий)</t>
  </si>
  <si>
    <t xml:space="preserve">из них: капитальный  ремонт  источников водоснабжения (ср-ва посел.)             </t>
  </si>
  <si>
    <t xml:space="preserve">из  них:  прочие выплаты по обязательствам   муниципального образования </t>
  </si>
  <si>
    <t>доходы от продажи земельных участков, находящихся в собственности сельских поселений</t>
  </si>
  <si>
    <t>доходы от продажи земельных участков, находящиеся в  собственности  сельских поселений</t>
  </si>
  <si>
    <t xml:space="preserve">В т. ч. на  строительство (реконструкция) зданий муниципальных учреждений культуры </t>
  </si>
  <si>
    <t xml:space="preserve">из них: капитальный  ремонт  источников водоснабжения (ср-ва мест. бюдж.)             </t>
  </si>
  <si>
    <t xml:space="preserve">из них: капитальный  ремонт  источников водоснабжения (ср-ва местн. бюдж.)             </t>
  </si>
  <si>
    <t>СУБСИДИИ БЮДЖЕТАМ  СЕЛЬСКИХ ПОСЕЛЕНИЙ  НА СОФИНАНСИРОВАНИЕ КАПИТАЛЬНЫХ ВЛОЖЕНИЙ В ОБЪЕКТЫ МУНИЦИПАЛЬНОЙ СОБСТВЕННОСТИ</t>
  </si>
  <si>
    <t>в том числе субсидии на реализацию мероприятий по благоустройству дворовых территорий и тротуаров</t>
  </si>
  <si>
    <t>в том числе субсидии на реализацию  мероприятий по благоустройству дворовых территорий и тротуаров( раздел  "ЖКХ")</t>
  </si>
  <si>
    <t>В т. ч. на  строительство СДК на 100 мест в д. Илебары (ср-ва респ. бюдж..)</t>
  </si>
  <si>
    <t>В т. ч. на  строительство СДК на 100 мест в д. Илебары (ср-ва местн. бюдж..)</t>
  </si>
  <si>
    <t>В т. ч. на  строительство (реконструкция) зданий муниципальных учреждений культуры- местн. ср-ва (ПСД на СДК)</t>
  </si>
  <si>
    <t xml:space="preserve">Реализация  мероприятий  по благоустройству  дворовых территрий и тротуаров (ср-ва респ. бюдж.)         </t>
  </si>
  <si>
    <t>ШТРАФЫ, САНКЦИИ, ВОЗМЕЩЕНИЕ УЩЕРБА</t>
  </si>
  <si>
    <t>И. о. начальника   финансового отдела</t>
  </si>
  <si>
    <t>Т.Н.Манюкова</t>
  </si>
  <si>
    <t>в том числе субсидии на реализацию комплекса мероприятий по борьбе с распространением борщевика</t>
  </si>
  <si>
    <t>в т. ч. на мероприятия по борьбе с распространением борщевика Сосновского ( респ.)</t>
  </si>
  <si>
    <t>в т. ч. на мероприятия по борьбе с распространением борщевика Сосновского ( местн.)</t>
  </si>
  <si>
    <t>в том числе субсидии на укрепление материально- технич. базы  музеев</t>
  </si>
  <si>
    <t>в том числе субсидии на перевод многокварт. домов с централизов. на индивид. Отопление</t>
  </si>
  <si>
    <t>в  том  числе:  перевод многоквартирных домов с централизованного на индивидуальное отопление (респ. Бюдж.)</t>
  </si>
  <si>
    <t xml:space="preserve">в  том  числе:  перевод многоквартирных домов с централизованного на индивидуальное отопление (ср-ва местн. бюдж.)               </t>
  </si>
  <si>
    <t>На  укрепление материально-технической базы муниципальных музеев - всего</t>
  </si>
  <si>
    <t xml:space="preserve">                     в том числе:  ср-ва республиканского бюджета</t>
  </si>
  <si>
    <t xml:space="preserve">                                            ср-ва поселений  (софинансирование)</t>
  </si>
  <si>
    <t xml:space="preserve">из них: реконструкция инженерно-коммуникационных сетей муниципального образования (ср-ва местн. бюдж.)                   </t>
  </si>
  <si>
    <t xml:space="preserve">доходы от  продажи  земельных участков , государственная собственность  на  которые  разграничена </t>
  </si>
  <si>
    <t>в том числе: Другие вопросы в области жилищно-коммунального хозяйства</t>
  </si>
  <si>
    <t xml:space="preserve">           капитальный  ремонт  источников водоснабжения (ср-ва посел.)    </t>
  </si>
  <si>
    <t xml:space="preserve">Реализация  мероприятий  по благоустройству  дворовых территрий и тротуаров- всего                 </t>
  </si>
  <si>
    <t xml:space="preserve">Реализация  мероприятий  по благоустройству  дворовых территрий и тротуаров (ср-ва  респ. бюдж.)                     </t>
  </si>
  <si>
    <t xml:space="preserve">Реализация  мероприятий  по благоустройству  дворовых территрий и тротуаров (ср-ва  посел.)                     </t>
  </si>
  <si>
    <t xml:space="preserve">Реализация  мероприятий  по благоустройству  дворовых территрий и тротуаров (ср-ва  насел.)                     </t>
  </si>
  <si>
    <t>доходы от сдачи в аренду имущества, составляющего  казну  городских поселений (за исключением земельных участков)</t>
  </si>
  <si>
    <t>Инициативные платежи, зачисляемые в бюджеты городских поселений</t>
  </si>
  <si>
    <t>в  том  числе:  стр-во  (реконструкция)  объектов водоотведения  (очистных сооружений и др.) муниципальных образований (ср-ва посел.)</t>
  </si>
  <si>
    <t>в  том  числе:  расходы на обеспечение доступности  для населения бытовых услуг</t>
  </si>
  <si>
    <t xml:space="preserve">           на  реализацию мероприятий  по развитию общественной инфраструктуры населенных пунктов (ср-ва  посел.)       </t>
  </si>
  <si>
    <t>Инициативные платежи, зачисляемые в бюджеты  сельских  поселений</t>
  </si>
  <si>
    <t>Инициативные платежи</t>
  </si>
  <si>
    <t>Защита населения и территории от чрезвычайных ситуаций природного и техногенного характера, пожарная безопасность</t>
  </si>
  <si>
    <t>из них: эксплуатация, техническое содержание и обслуживание сетей водопровода</t>
  </si>
  <si>
    <t xml:space="preserve">В том числе: мероприятия по обеспечению пожарной безопасности муниципальных объектов </t>
  </si>
  <si>
    <t xml:space="preserve">  из них: реализация отдельных полномочий в области обращения с твердыми коммунальными отходами</t>
  </si>
  <si>
    <t xml:space="preserve">  из них: капитальный и текущий ремонт объектов водоотведения (очистных сооружений и др. ) муниципальных образований</t>
  </si>
  <si>
    <t xml:space="preserve">            организация в населенных пунктах и коллективных садах сбора, в том числе раздельного, и вывоза твердых коммунальных отходов</t>
  </si>
  <si>
    <t xml:space="preserve">из них: капитальный  ремонт  источников водоснабжения- софинансирование  (ср-ва посел.)             </t>
  </si>
  <si>
    <t>ПРОЧИЕ МЕЖБЮДЖЕТНЫЕ ТРАНСФЕРТЫ, ПЕРЕДАВАЕМЫЕ БЮДЖЕТАМ ПОСЕЛЕНИЙ (На поощрение муниципальных управленческих команд)</t>
  </si>
  <si>
    <t>ПРОЧИЕ МЕЖБЮДЖЕТНЫЕ ТРАНСФЕРТЫ, ПЕРЕДАВАЕМЫЕ БЮДЖЕТАМ ПОСЕЛЕНИЙ   (На поощрение муниципальных управленческих команд)</t>
  </si>
  <si>
    <t>из них: поощрение муниципальных управленческих команд (ср-ва респ. бюдж.)</t>
  </si>
  <si>
    <t>в том числе:  за счет направления остатков на 01.01.2021 г.</t>
  </si>
  <si>
    <t>в том числе:  за счет направления собственных доходов</t>
  </si>
  <si>
    <t xml:space="preserve">           на поощрение победителей конкурса "Лучшая муниципальная практика" (ср-ва респ. бюдж.)       </t>
  </si>
  <si>
    <t>из  них: выполнение других обязательств  муниципального образования</t>
  </si>
  <si>
    <t>из них: реализ. проектов, направленных на благоустройство и развитие территорий (ср-ва респ. бюдж.)</t>
  </si>
  <si>
    <t>ПРОЧИЕ МЕЖБЮДЖЕТНЫЕ ТРАНСФЕРТЫ, ПЕРЕДАВАЕМЫЕ БЮДЖЕТАМ ПОСЕЛЕНИЙ (На реализ. проектов, направленных на благоустройство и развитие территорий)</t>
  </si>
  <si>
    <t>Уточненный план на 2022 год</t>
  </si>
  <si>
    <t>% исполне-ния к  годовому плану  на 2022 г.</t>
  </si>
  <si>
    <t>Отклонение от годового плана 2022 г      ( +, - )</t>
  </si>
  <si>
    <t>МЕЖБЮДЖЕТНЫЕ ТРАНСФЕРТЫ, ПЕРЕДАВАЕМЫЕ БЮДЖЕТАМ НА СОЗДАНИЕ  КОМФОРТНОЙ ГОРОДСКОЙ 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</si>
  <si>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из них:  на создание комфортной городской среды в малых городах и исторических поселениях - победителях Всероссийского конкурса лучших проектов  создания комфортной городской среды (ср-ва респ. бюдж.) </t>
  </si>
  <si>
    <t xml:space="preserve">       в том числе:  на реализацию инициативных проектов (ср-ва местн. бюдж.)             </t>
  </si>
  <si>
    <t xml:space="preserve">       из них:   на реализацию инициативных проектов  (ср-ва  респ.бюдж.)             </t>
  </si>
  <si>
    <t xml:space="preserve">       из них:  на реализацию инициативных проектов (ср-ва местн. бюдж.)             </t>
  </si>
  <si>
    <t xml:space="preserve">в т. ч.    на реализацию инициативных проектов - всего       </t>
  </si>
  <si>
    <t xml:space="preserve">       из них:    на реализацию инициативных проектов  (ср-ва от насел.)             </t>
  </si>
  <si>
    <t xml:space="preserve">           на реализацию инициативных проектов  - всего       </t>
  </si>
  <si>
    <t xml:space="preserve">       в том числе:   на реализацию инициативных проектов (ср-ва  респ.бюдж.)             </t>
  </si>
  <si>
    <t xml:space="preserve">    в том числе:    на реализацию инициативных проектов (ср-ва от насел.)             </t>
  </si>
  <si>
    <t xml:space="preserve">       в том числе:    на реализацию инициативных проектов (ср-ва респ. бюдж.)             </t>
  </si>
  <si>
    <t xml:space="preserve">      в том числе:     на реализацию инициативных проектов (ср-ва местн. бюдж.)             </t>
  </si>
  <si>
    <t xml:space="preserve">      в том числе:     на реализацию инициативных проектов (ср-ва от насел.)             </t>
  </si>
  <si>
    <t xml:space="preserve">           на реализацию инициативных проектов (ср-ва респ. бюдж.)             </t>
  </si>
  <si>
    <t xml:space="preserve">           на реализацию инициативных проектов (ср-ва местн. бюдж.)             </t>
  </si>
  <si>
    <t xml:space="preserve">           на реализацию инициативных проектов (ср-ва от насел.)             </t>
  </si>
  <si>
    <t>Анализ  исполнения бюджета Андреево-Базарского сельского поселения за  март  2022 года</t>
  </si>
  <si>
    <t>Фактическое исполнение за  март  2022 года</t>
  </si>
  <si>
    <t>Анализ исполнения бюджета Аттиковского сельского поселения за март  2022 года</t>
  </si>
  <si>
    <t>Анализ исполнения бюджета  Байгуловского сельского поселения за март  2022 года</t>
  </si>
  <si>
    <t>Анализ исполнения бюджета  Еметкинского сельского поселения за  март  2022 года</t>
  </si>
  <si>
    <t>Анализ исполнения бюджета  Карамышевского сельского поселения за март  2022 года</t>
  </si>
  <si>
    <t>Анализ исполнения бюджета  Карачевского сельского поселения за март  2022 года</t>
  </si>
  <si>
    <t>Фактическое исполнение за март  2022 года</t>
  </si>
  <si>
    <t>Анализ исполнения бюджета  Козловского  городского  поселения  за  март  2022 года</t>
  </si>
  <si>
    <t>Анализ исполнения бюджета  Солдыбаевского сельского поселения за  март  2022 года</t>
  </si>
  <si>
    <t>Анализ исполнения бюджета  Тюрлеминского сельского поселения за   март  2022 года</t>
  </si>
  <si>
    <t>Анализ исполнения бюджета  Янгильдинского сельского поселения за март  2022 года</t>
  </si>
  <si>
    <t>Анализ   исполнения   бюджетов   поселений   за  март  2022 года.</t>
  </si>
  <si>
    <t>СУБСИДИИ БЮДЖЕТАМ НА СОЗДАНИЕ  КОМФОРТНОЙ ГОРОДСКОЙ 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</si>
  <si>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из них:  на создание комфортной городской среды в малых городах и исторических поселениях - победителях Всероссийского конкурса лучших проектов  создания комфортной городской среды (ср-ва фед. бюдж.) </t>
  </si>
  <si>
    <t xml:space="preserve">из них:  на создание комфортной городской среды в малых городах и исторических поселениях - победителях Всероссийского конкурса лучших проектов  создания комфортной городской среды (ср-ва посел. )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</si>
</sst>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8"/>
      <color indexed="8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9" fillId="20" borderId="1">
      <alignment horizontal="right" vertical="top" shrinkToFit="1"/>
      <protection/>
    </xf>
    <xf numFmtId="4" fontId="9" fillId="0" borderId="1">
      <alignment horizontal="right" vertical="top" shrinkToFit="1"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2" applyNumberFormat="0" applyAlignment="0" applyProtection="0"/>
    <xf numFmtId="0" fontId="39" fillId="28" borderId="3" applyNumberFormat="0" applyAlignment="0" applyProtection="0"/>
    <xf numFmtId="0" fontId="40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169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0" fontId="8" fillId="0" borderId="11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8" fillId="0" borderId="12" xfId="0" applyFont="1" applyFill="1" applyBorder="1" applyAlignment="1">
      <alignment wrapText="1"/>
    </xf>
    <xf numFmtId="0" fontId="8" fillId="0" borderId="0" xfId="0" applyFont="1" applyFill="1" applyAlignment="1">
      <alignment/>
    </xf>
    <xf numFmtId="41" fontId="8" fillId="0" borderId="0" xfId="61" applyFont="1" applyFill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1" fontId="11" fillId="0" borderId="15" xfId="61" applyFont="1" applyFill="1" applyBorder="1" applyAlignment="1">
      <alignment horizontal="center" vertical="center" wrapText="1"/>
    </xf>
    <xf numFmtId="41" fontId="11" fillId="0" borderId="16" xfId="6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" fontId="8" fillId="0" borderId="17" xfId="61" applyNumberFormat="1" applyFont="1" applyFill="1" applyBorder="1" applyAlignment="1">
      <alignment horizontal="center" wrapText="1"/>
    </xf>
    <xf numFmtId="1" fontId="8" fillId="0" borderId="17" xfId="0" applyNumberFormat="1" applyFont="1" applyFill="1" applyBorder="1" applyAlignment="1">
      <alignment horizontal="center" wrapText="1"/>
    </xf>
    <xf numFmtId="1" fontId="8" fillId="0" borderId="18" xfId="61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right" wrapText="1"/>
    </xf>
    <xf numFmtId="0" fontId="13" fillId="0" borderId="17" xfId="0" applyFont="1" applyFill="1" applyBorder="1" applyAlignment="1">
      <alignment horizontal="right" wrapText="1"/>
    </xf>
    <xf numFmtId="41" fontId="8" fillId="0" borderId="17" xfId="61" applyFont="1" applyFill="1" applyBorder="1" applyAlignment="1">
      <alignment wrapText="1"/>
    </xf>
    <xf numFmtId="2" fontId="8" fillId="0" borderId="17" xfId="0" applyNumberFormat="1" applyFont="1" applyFill="1" applyBorder="1" applyAlignment="1">
      <alignment wrapText="1"/>
    </xf>
    <xf numFmtId="41" fontId="8" fillId="0" borderId="18" xfId="61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left" wrapText="1"/>
    </xf>
    <xf numFmtId="4" fontId="8" fillId="0" borderId="17" xfId="0" applyNumberFormat="1" applyFont="1" applyFill="1" applyBorder="1" applyAlignment="1">
      <alignment horizontal="right" wrapText="1"/>
    </xf>
    <xf numFmtId="2" fontId="8" fillId="0" borderId="17" xfId="57" applyNumberFormat="1" applyFont="1" applyFill="1" applyBorder="1" applyAlignment="1">
      <alignment wrapText="1"/>
    </xf>
    <xf numFmtId="2" fontId="8" fillId="0" borderId="18" xfId="61" applyNumberFormat="1" applyFont="1" applyFill="1" applyBorder="1" applyAlignment="1">
      <alignment horizontal="right" wrapText="1"/>
    </xf>
    <xf numFmtId="4" fontId="8" fillId="0" borderId="17" xfId="0" applyNumberFormat="1" applyFont="1" applyFill="1" applyBorder="1" applyAlignment="1">
      <alignment wrapText="1"/>
    </xf>
    <xf numFmtId="4" fontId="8" fillId="0" borderId="17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4" fontId="11" fillId="0" borderId="17" xfId="0" applyNumberFormat="1" applyFont="1" applyFill="1" applyBorder="1" applyAlignment="1">
      <alignment horizontal="right" wrapText="1"/>
    </xf>
    <xf numFmtId="2" fontId="11" fillId="0" borderId="17" xfId="57" applyNumberFormat="1" applyFont="1" applyFill="1" applyBorder="1" applyAlignment="1">
      <alignment wrapText="1"/>
    </xf>
    <xf numFmtId="2" fontId="11" fillId="0" borderId="18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horizontal="center" wrapText="1"/>
    </xf>
    <xf numFmtId="4" fontId="8" fillId="34" borderId="17" xfId="0" applyNumberFormat="1" applyFont="1" applyFill="1" applyBorder="1" applyAlignment="1">
      <alignment wrapText="1"/>
    </xf>
    <xf numFmtId="164" fontId="8" fillId="0" borderId="17" xfId="57" applyNumberFormat="1" applyFont="1" applyFill="1" applyBorder="1" applyAlignment="1">
      <alignment wrapText="1"/>
    </xf>
    <xf numFmtId="4" fontId="8" fillId="0" borderId="18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4" fontId="14" fillId="0" borderId="17" xfId="0" applyNumberFormat="1" applyFont="1" applyFill="1" applyBorder="1" applyAlignment="1">
      <alignment wrapText="1"/>
    </xf>
    <xf numFmtId="2" fontId="14" fillId="0" borderId="17" xfId="57" applyNumberFormat="1" applyFont="1" applyFill="1" applyBorder="1" applyAlignment="1">
      <alignment wrapText="1"/>
    </xf>
    <xf numFmtId="2" fontId="14" fillId="0" borderId="18" xfId="61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right" wrapText="1"/>
    </xf>
    <xf numFmtId="4" fontId="13" fillId="0" borderId="17" xfId="0" applyNumberFormat="1" applyFont="1" applyFill="1" applyBorder="1" applyAlignment="1">
      <alignment horizontal="right" wrapText="1"/>
    </xf>
    <xf numFmtId="4" fontId="16" fillId="0" borderId="17" xfId="61" applyNumberFormat="1" applyFont="1" applyFill="1" applyBorder="1" applyAlignment="1">
      <alignment wrapText="1"/>
    </xf>
    <xf numFmtId="0" fontId="17" fillId="0" borderId="19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17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11" fillId="0" borderId="17" xfId="0" applyFont="1" applyFill="1" applyBorder="1" applyAlignment="1">
      <alignment wrapText="1"/>
    </xf>
    <xf numFmtId="4" fontId="11" fillId="0" borderId="17" xfId="0" applyNumberFormat="1" applyFont="1" applyFill="1" applyBorder="1" applyAlignment="1">
      <alignment wrapText="1"/>
    </xf>
    <xf numFmtId="2" fontId="11" fillId="0" borderId="17" xfId="61" applyNumberFormat="1" applyFont="1" applyFill="1" applyBorder="1" applyAlignment="1">
      <alignment wrapText="1"/>
    </xf>
    <xf numFmtId="41" fontId="11" fillId="0" borderId="17" xfId="61" applyFont="1" applyFill="1" applyBorder="1" applyAlignment="1">
      <alignment horizontal="right" wrapText="1"/>
    </xf>
    <xf numFmtId="0" fontId="8" fillId="0" borderId="20" xfId="0" applyFont="1" applyFill="1" applyBorder="1" applyAlignment="1">
      <alignment wrapText="1"/>
    </xf>
    <xf numFmtId="41" fontId="8" fillId="0" borderId="17" xfId="6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2" fontId="8" fillId="0" borderId="0" xfId="61" applyNumberFormat="1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2" fontId="8" fillId="0" borderId="0" xfId="61" applyNumberFormat="1" applyFont="1" applyFill="1" applyAlignment="1">
      <alignment horizontal="right" wrapText="1"/>
    </xf>
    <xf numFmtId="0" fontId="10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8" fillId="0" borderId="21" xfId="61" applyNumberFormat="1" applyFont="1" applyFill="1" applyBorder="1" applyAlignment="1">
      <alignment horizontal="center" wrapText="1"/>
    </xf>
    <xf numFmtId="2" fontId="8" fillId="0" borderId="17" xfId="0" applyNumberFormat="1" applyFont="1" applyFill="1" applyBorder="1" applyAlignment="1">
      <alignment horizontal="right" vertical="center" wrapText="1"/>
    </xf>
    <xf numFmtId="2" fontId="8" fillId="0" borderId="17" xfId="0" applyNumberFormat="1" applyFont="1" applyFill="1" applyBorder="1" applyAlignment="1">
      <alignment vertical="center" wrapText="1"/>
    </xf>
    <xf numFmtId="4" fontId="18" fillId="0" borderId="1" xfId="33" applyFont="1" applyFill="1" applyAlignment="1" applyProtection="1">
      <alignment horizontal="right" vertical="center" shrinkToFit="1"/>
      <protection/>
    </xf>
    <xf numFmtId="2" fontId="8" fillId="0" borderId="17" xfId="61" applyNumberFormat="1" applyFont="1" applyFill="1" applyBorder="1" applyAlignment="1">
      <alignment horizontal="right" vertical="center" wrapText="1"/>
    </xf>
    <xf numFmtId="2" fontId="11" fillId="0" borderId="17" xfId="0" applyNumberFormat="1" applyFont="1" applyFill="1" applyBorder="1" applyAlignment="1">
      <alignment horizontal="right" vertical="center" wrapText="1"/>
    </xf>
    <xf numFmtId="2" fontId="11" fillId="0" borderId="21" xfId="0" applyNumberFormat="1" applyFont="1" applyFill="1" applyBorder="1" applyAlignment="1">
      <alignment horizontal="right" vertical="center" wrapText="1"/>
    </xf>
    <xf numFmtId="2" fontId="14" fillId="0" borderId="17" xfId="0" applyNumberFormat="1" applyFont="1" applyFill="1" applyBorder="1" applyAlignment="1">
      <alignment wrapText="1"/>
    </xf>
    <xf numFmtId="4" fontId="18" fillId="0" borderId="1" xfId="33" applyFont="1" applyFill="1" applyAlignment="1" applyProtection="1">
      <alignment horizontal="right" shrinkToFit="1"/>
      <protection/>
    </xf>
    <xf numFmtId="0" fontId="12" fillId="0" borderId="11" xfId="0" applyFont="1" applyFill="1" applyBorder="1" applyAlignment="1">
      <alignment horizontal="right" wrapText="1"/>
    </xf>
    <xf numFmtId="2" fontId="13" fillId="0" borderId="22" xfId="0" applyNumberFormat="1" applyFont="1" applyFill="1" applyBorder="1" applyAlignment="1">
      <alignment horizontal="right" vertical="center" wrapText="1"/>
    </xf>
    <xf numFmtId="2" fontId="16" fillId="0" borderId="22" xfId="61" applyNumberFormat="1" applyFont="1" applyFill="1" applyBorder="1" applyAlignment="1">
      <alignment vertical="center" wrapText="1"/>
    </xf>
    <xf numFmtId="2" fontId="8" fillId="0" borderId="22" xfId="57" applyNumberFormat="1" applyFont="1" applyFill="1" applyBorder="1" applyAlignment="1">
      <alignment wrapText="1"/>
    </xf>
    <xf numFmtId="2" fontId="8" fillId="0" borderId="23" xfId="61" applyNumberFormat="1" applyFont="1" applyFill="1" applyBorder="1" applyAlignment="1">
      <alignment horizontal="right" wrapText="1"/>
    </xf>
    <xf numFmtId="0" fontId="8" fillId="0" borderId="24" xfId="0" applyFont="1" applyFill="1" applyBorder="1" applyAlignment="1">
      <alignment wrapText="1"/>
    </xf>
    <xf numFmtId="2" fontId="8" fillId="0" borderId="25" xfId="0" applyNumberFormat="1" applyFont="1" applyFill="1" applyBorder="1" applyAlignment="1">
      <alignment wrapText="1"/>
    </xf>
    <xf numFmtId="2" fontId="8" fillId="0" borderId="25" xfId="57" applyNumberFormat="1" applyFont="1" applyFill="1" applyBorder="1" applyAlignment="1">
      <alignment wrapText="1"/>
    </xf>
    <xf numFmtId="2" fontId="8" fillId="0" borderId="26" xfId="61" applyNumberFormat="1" applyFont="1" applyFill="1" applyBorder="1" applyAlignment="1">
      <alignment horizontal="right" wrapText="1"/>
    </xf>
    <xf numFmtId="2" fontId="8" fillId="0" borderId="21" xfId="0" applyNumberFormat="1" applyFont="1" applyFill="1" applyBorder="1" applyAlignment="1">
      <alignment wrapText="1"/>
    </xf>
    <xf numFmtId="2" fontId="8" fillId="0" borderId="21" xfId="57" applyNumberFormat="1" applyFont="1" applyFill="1" applyBorder="1" applyAlignment="1">
      <alignment wrapText="1"/>
    </xf>
    <xf numFmtId="2" fontId="8" fillId="0" borderId="27" xfId="61" applyNumberFormat="1" applyFont="1" applyFill="1" applyBorder="1" applyAlignment="1">
      <alignment horizontal="right" wrapText="1"/>
    </xf>
    <xf numFmtId="2" fontId="8" fillId="0" borderId="17" xfId="61" applyNumberFormat="1" applyFont="1" applyFill="1" applyBorder="1" applyAlignment="1">
      <alignment wrapText="1"/>
    </xf>
    <xf numFmtId="2" fontId="8" fillId="0" borderId="28" xfId="0" applyNumberFormat="1" applyFont="1" applyFill="1" applyBorder="1" applyAlignment="1">
      <alignment wrapText="1"/>
    </xf>
    <xf numFmtId="2" fontId="8" fillId="0" borderId="28" xfId="61" applyNumberFormat="1" applyFont="1" applyFill="1" applyBorder="1" applyAlignment="1">
      <alignment horizontal="right" wrapText="1"/>
    </xf>
    <xf numFmtId="2" fontId="8" fillId="0" borderId="25" xfId="61" applyNumberFormat="1" applyFont="1" applyFill="1" applyBorder="1" applyAlignment="1">
      <alignment horizontal="right" wrapText="1"/>
    </xf>
    <xf numFmtId="2" fontId="8" fillId="0" borderId="28" xfId="57" applyNumberFormat="1" applyFont="1" applyFill="1" applyBorder="1" applyAlignment="1">
      <alignment wrapText="1"/>
    </xf>
    <xf numFmtId="2" fontId="8" fillId="0" borderId="29" xfId="61" applyNumberFormat="1" applyFont="1" applyFill="1" applyBorder="1" applyAlignment="1">
      <alignment horizontal="right" wrapText="1"/>
    </xf>
    <xf numFmtId="2" fontId="8" fillId="0" borderId="14" xfId="0" applyNumberFormat="1" applyFont="1" applyFill="1" applyBorder="1" applyAlignment="1">
      <alignment wrapText="1"/>
    </xf>
    <xf numFmtId="2" fontId="8" fillId="0" borderId="30" xfId="0" applyNumberFormat="1" applyFont="1" applyFill="1" applyBorder="1" applyAlignment="1">
      <alignment wrapText="1"/>
    </xf>
    <xf numFmtId="2" fontId="8" fillId="0" borderId="17" xfId="61" applyNumberFormat="1" applyFont="1" applyFill="1" applyBorder="1" applyAlignment="1">
      <alignment horizontal="right" wrapText="1"/>
    </xf>
    <xf numFmtId="2" fontId="8" fillId="0" borderId="22" xfId="0" applyNumberFormat="1" applyFont="1" applyFill="1" applyBorder="1" applyAlignment="1">
      <alignment wrapText="1"/>
    </xf>
    <xf numFmtId="2" fontId="8" fillId="0" borderId="31" xfId="0" applyNumberFormat="1" applyFont="1" applyFill="1" applyBorder="1" applyAlignment="1">
      <alignment wrapText="1"/>
    </xf>
    <xf numFmtId="2" fontId="8" fillId="0" borderId="30" xfId="57" applyNumberFormat="1" applyFont="1" applyFill="1" applyBorder="1" applyAlignment="1">
      <alignment wrapText="1"/>
    </xf>
    <xf numFmtId="2" fontId="8" fillId="0" borderId="25" xfId="0" applyNumberFormat="1" applyFont="1" applyFill="1" applyBorder="1" applyAlignment="1">
      <alignment horizontal="right" wrapText="1"/>
    </xf>
    <xf numFmtId="0" fontId="8" fillId="0" borderId="32" xfId="0" applyFont="1" applyFill="1" applyBorder="1" applyAlignment="1">
      <alignment wrapText="1"/>
    </xf>
    <xf numFmtId="2" fontId="8" fillId="0" borderId="33" xfId="61" applyNumberFormat="1" applyFont="1" applyFill="1" applyBorder="1" applyAlignment="1">
      <alignment horizontal="right" wrapText="1"/>
    </xf>
    <xf numFmtId="2" fontId="8" fillId="0" borderId="21" xfId="61" applyNumberFormat="1" applyFont="1" applyFill="1" applyBorder="1" applyAlignment="1">
      <alignment horizontal="right" wrapText="1"/>
    </xf>
    <xf numFmtId="2" fontId="8" fillId="0" borderId="28" xfId="61" applyNumberFormat="1" applyFont="1" applyFill="1" applyBorder="1" applyAlignment="1">
      <alignment wrapText="1"/>
    </xf>
    <xf numFmtId="2" fontId="11" fillId="0" borderId="17" xfId="0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wrapText="1"/>
    </xf>
    <xf numFmtId="41" fontId="8" fillId="0" borderId="0" xfId="61" applyFont="1" applyFill="1" applyAlignment="1">
      <alignment horizontal="right" wrapText="1"/>
    </xf>
    <xf numFmtId="0" fontId="6" fillId="0" borderId="0" xfId="0" applyFont="1" applyFill="1" applyAlignment="1">
      <alignment wrapText="1"/>
    </xf>
    <xf numFmtId="41" fontId="6" fillId="0" borderId="0" xfId="61" applyFont="1" applyFill="1" applyAlignment="1">
      <alignment wrapText="1"/>
    </xf>
    <xf numFmtId="41" fontId="6" fillId="0" borderId="0" xfId="61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8" fillId="0" borderId="17" xfId="0" applyFont="1" applyFill="1" applyBorder="1" applyAlignment="1">
      <alignment horizontal="center" wrapText="1"/>
    </xf>
    <xf numFmtId="165" fontId="11" fillId="0" borderId="18" xfId="61" applyNumberFormat="1" applyFont="1" applyFill="1" applyBorder="1" applyAlignment="1">
      <alignment horizontal="right" wrapText="1"/>
    </xf>
    <xf numFmtId="2" fontId="18" fillId="0" borderId="1" xfId="33" applyNumberFormat="1" applyFont="1" applyFill="1" applyAlignment="1" applyProtection="1">
      <alignment horizontal="right" vertical="center" shrinkToFit="1"/>
      <protection/>
    </xf>
    <xf numFmtId="2" fontId="18" fillId="0" borderId="1" xfId="33" applyNumberFormat="1" applyFont="1" applyFill="1" applyAlignment="1" applyProtection="1">
      <alignment horizontal="right" shrinkToFit="1"/>
      <protection/>
    </xf>
    <xf numFmtId="2" fontId="8" fillId="0" borderId="17" xfId="0" applyNumberFormat="1" applyFont="1" applyFill="1" applyBorder="1" applyAlignment="1">
      <alignment horizontal="right" vertical="center" shrinkToFit="1"/>
    </xf>
    <xf numFmtId="0" fontId="17" fillId="0" borderId="12" xfId="0" applyFont="1" applyFill="1" applyBorder="1" applyAlignment="1">
      <alignment wrapText="1"/>
    </xf>
    <xf numFmtId="2" fontId="8" fillId="0" borderId="17" xfId="61" applyNumberFormat="1" applyFont="1" applyFill="1" applyBorder="1" applyAlignment="1">
      <alignment vertical="center" wrapText="1"/>
    </xf>
    <xf numFmtId="2" fontId="11" fillId="0" borderId="17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wrapText="1"/>
    </xf>
    <xf numFmtId="2" fontId="8" fillId="0" borderId="22" xfId="0" applyNumberFormat="1" applyFont="1" applyFill="1" applyBorder="1" applyAlignment="1">
      <alignment vertical="center" wrapText="1"/>
    </xf>
    <xf numFmtId="2" fontId="11" fillId="0" borderId="22" xfId="0" applyNumberFormat="1" applyFont="1" applyFill="1" applyBorder="1" applyAlignment="1">
      <alignment horizontal="right" vertical="center" wrapText="1"/>
    </xf>
    <xf numFmtId="2" fontId="11" fillId="0" borderId="17" xfId="61" applyNumberFormat="1" applyFont="1" applyFill="1" applyBorder="1" applyAlignment="1">
      <alignment horizontal="right" wrapText="1"/>
    </xf>
    <xf numFmtId="2" fontId="8" fillId="0" borderId="21" xfId="0" applyNumberFormat="1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left" wrapText="1"/>
    </xf>
    <xf numFmtId="2" fontId="13" fillId="0" borderId="22" xfId="0" applyNumberFormat="1" applyFont="1" applyFill="1" applyBorder="1" applyAlignment="1">
      <alignment horizontal="right" wrapText="1"/>
    </xf>
    <xf numFmtId="2" fontId="16" fillId="0" borderId="22" xfId="61" applyNumberFormat="1" applyFont="1" applyFill="1" applyBorder="1" applyAlignment="1">
      <alignment wrapText="1"/>
    </xf>
    <xf numFmtId="2" fontId="8" fillId="0" borderId="22" xfId="61" applyNumberFormat="1" applyFont="1" applyFill="1" applyBorder="1" applyAlignment="1">
      <alignment horizontal="right" wrapText="1"/>
    </xf>
    <xf numFmtId="0" fontId="8" fillId="0" borderId="28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2" fontId="8" fillId="0" borderId="22" xfId="61" applyNumberFormat="1" applyFont="1" applyFill="1" applyBorder="1" applyAlignment="1">
      <alignment wrapText="1"/>
    </xf>
    <xf numFmtId="2" fontId="8" fillId="0" borderId="17" xfId="0" applyNumberFormat="1" applyFont="1" applyFill="1" applyBorder="1" applyAlignment="1">
      <alignment horizontal="right" wrapText="1"/>
    </xf>
    <xf numFmtId="4" fontId="18" fillId="0" borderId="1" xfId="33" applyFont="1" applyFill="1" applyProtection="1">
      <alignment horizontal="right" vertical="top" shrinkToFit="1"/>
      <protection/>
    </xf>
    <xf numFmtId="2" fontId="11" fillId="0" borderId="21" xfId="0" applyNumberFormat="1" applyFont="1" applyFill="1" applyBorder="1" applyAlignment="1">
      <alignment horizontal="right" wrapText="1"/>
    </xf>
    <xf numFmtId="2" fontId="8" fillId="0" borderId="30" xfId="61" applyNumberFormat="1" applyFont="1" applyFill="1" applyBorder="1" applyAlignment="1">
      <alignment horizontal="right" wrapText="1"/>
    </xf>
    <xf numFmtId="2" fontId="8" fillId="0" borderId="34" xfId="61" applyNumberFormat="1" applyFont="1" applyFill="1" applyBorder="1" applyAlignment="1">
      <alignment horizontal="right" wrapText="1"/>
    </xf>
    <xf numFmtId="41" fontId="8" fillId="0" borderId="0" xfId="61" applyFont="1" applyFill="1" applyAlignment="1">
      <alignment horizontal="center"/>
    </xf>
    <xf numFmtId="2" fontId="8" fillId="0" borderId="0" xfId="0" applyNumberFormat="1" applyFont="1" applyFill="1" applyBorder="1" applyAlignment="1">
      <alignment vertical="center" wrapText="1"/>
    </xf>
    <xf numFmtId="4" fontId="18" fillId="0" borderId="1" xfId="34" applyFont="1" applyFill="1" applyAlignment="1" applyProtection="1">
      <alignment horizontal="right" vertical="center" shrinkToFit="1"/>
      <protection/>
    </xf>
    <xf numFmtId="2" fontId="14" fillId="0" borderId="17" xfId="0" applyNumberFormat="1" applyFont="1" applyFill="1" applyBorder="1" applyAlignment="1">
      <alignment vertical="center" wrapText="1"/>
    </xf>
    <xf numFmtId="2" fontId="14" fillId="0" borderId="17" xfId="61" applyNumberFormat="1" applyFont="1" applyFill="1" applyBorder="1" applyAlignment="1">
      <alignment horizontal="right" vertical="center" wrapText="1"/>
    </xf>
    <xf numFmtId="2" fontId="14" fillId="0" borderId="17" xfId="61" applyNumberFormat="1" applyFont="1" applyFill="1" applyBorder="1" applyAlignment="1">
      <alignment horizontal="right" wrapText="1"/>
    </xf>
    <xf numFmtId="2" fontId="13" fillId="0" borderId="17" xfId="0" applyNumberFormat="1" applyFont="1" applyFill="1" applyBorder="1" applyAlignment="1">
      <alignment horizontal="right" wrapText="1"/>
    </xf>
    <xf numFmtId="2" fontId="16" fillId="0" borderId="17" xfId="61" applyNumberFormat="1" applyFont="1" applyFill="1" applyBorder="1" applyAlignment="1">
      <alignment wrapText="1"/>
    </xf>
    <xf numFmtId="2" fontId="11" fillId="0" borderId="17" xfId="0" applyNumberFormat="1" applyFont="1" applyFill="1" applyBorder="1" applyAlignment="1">
      <alignment wrapText="1"/>
    </xf>
    <xf numFmtId="2" fontId="8" fillId="34" borderId="17" xfId="0" applyNumberFormat="1" applyFont="1" applyFill="1" applyBorder="1" applyAlignment="1">
      <alignment wrapText="1"/>
    </xf>
    <xf numFmtId="2" fontId="17" fillId="0" borderId="17" xfId="0" applyNumberFormat="1" applyFont="1" applyFill="1" applyBorder="1" applyAlignment="1">
      <alignment wrapText="1"/>
    </xf>
    <xf numFmtId="0" fontId="14" fillId="0" borderId="12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4" fontId="18" fillId="0" borderId="1" xfId="34" applyFont="1" applyAlignment="1" applyProtection="1">
      <alignment horizontal="right" shrinkToFit="1"/>
      <protection/>
    </xf>
    <xf numFmtId="0" fontId="6" fillId="0" borderId="17" xfId="0" applyFont="1" applyBorder="1" applyAlignment="1">
      <alignment/>
    </xf>
    <xf numFmtId="0" fontId="8" fillId="0" borderId="17" xfId="0" applyFont="1" applyBorder="1" applyAlignment="1">
      <alignment/>
    </xf>
    <xf numFmtId="2" fontId="8" fillId="0" borderId="0" xfId="61" applyNumberFormat="1" applyFont="1" applyFill="1" applyBorder="1" applyAlignment="1">
      <alignment horizontal="right" wrapText="1"/>
    </xf>
    <xf numFmtId="4" fontId="17" fillId="0" borderId="17" xfId="0" applyNumberFormat="1" applyFont="1" applyFill="1" applyBorder="1" applyAlignment="1">
      <alignment horizontal="right" wrapText="1"/>
    </xf>
    <xf numFmtId="2" fontId="8" fillId="0" borderId="31" xfId="0" applyNumberFormat="1" applyFont="1" applyFill="1" applyBorder="1" applyAlignment="1">
      <alignment horizontal="right" wrapText="1"/>
    </xf>
    <xf numFmtId="2" fontId="8" fillId="0" borderId="0" xfId="0" applyNumberFormat="1" applyFont="1" applyFill="1" applyAlignment="1">
      <alignment horizontal="center" wrapText="1"/>
    </xf>
    <xf numFmtId="41" fontId="11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6"/>
  <sheetViews>
    <sheetView zoomScaleSheetLayoutView="100" workbookViewId="0" topLeftCell="A108">
      <selection activeCell="C129" sqref="C129"/>
    </sheetView>
  </sheetViews>
  <sheetFormatPr defaultColWidth="9.125" defaultRowHeight="12.75"/>
  <cols>
    <col min="1" max="1" width="116.375" style="3" customWidth="1"/>
    <col min="2" max="2" width="12.50390625" style="3" customWidth="1"/>
    <col min="3" max="3" width="16.875" style="4" customWidth="1"/>
    <col min="4" max="4" width="13.50390625" style="3" customWidth="1"/>
    <col min="5" max="5" width="14.50390625" style="1" customWidth="1"/>
    <col min="6" max="6" width="14.00390625" style="3" customWidth="1"/>
    <col min="7" max="9" width="9.125" style="3" customWidth="1"/>
    <col min="10" max="10" width="2.125" style="3" customWidth="1"/>
    <col min="11" max="16384" width="9.125" style="3" customWidth="1"/>
  </cols>
  <sheetData>
    <row r="1" spans="1:10" s="10" customFormat="1" ht="17.25">
      <c r="A1" s="168" t="s">
        <v>350</v>
      </c>
      <c r="B1" s="168"/>
      <c r="C1" s="168"/>
      <c r="D1" s="168"/>
      <c r="E1" s="168"/>
      <c r="F1" s="9"/>
      <c r="G1" s="9"/>
      <c r="H1" s="9"/>
      <c r="I1" s="9"/>
      <c r="J1" s="9"/>
    </row>
    <row r="2" spans="1:5" ht="14.25" thickBot="1">
      <c r="A2" s="22"/>
      <c r="B2" s="22"/>
      <c r="C2" s="23"/>
      <c r="D2" s="22"/>
      <c r="E2" s="22" t="s">
        <v>0</v>
      </c>
    </row>
    <row r="3" spans="1:5" s="11" customFormat="1" ht="94.5" customHeight="1">
      <c r="A3" s="24" t="s">
        <v>1</v>
      </c>
      <c r="B3" s="25" t="s">
        <v>331</v>
      </c>
      <c r="C3" s="26" t="s">
        <v>351</v>
      </c>
      <c r="D3" s="25" t="s">
        <v>332</v>
      </c>
      <c r="E3" s="27" t="s">
        <v>333</v>
      </c>
    </row>
    <row r="4" spans="1:5" s="12" customFormat="1" ht="10.5" customHeight="1">
      <c r="A4" s="28">
        <v>1</v>
      </c>
      <c r="B4" s="123">
        <v>2</v>
      </c>
      <c r="C4" s="30">
        <v>3</v>
      </c>
      <c r="D4" s="31">
        <v>4</v>
      </c>
      <c r="E4" s="32">
        <v>5</v>
      </c>
    </row>
    <row r="5" spans="1:5" s="13" customFormat="1" ht="14.25">
      <c r="A5" s="33" t="s">
        <v>2</v>
      </c>
      <c r="B5" s="34"/>
      <c r="C5" s="35"/>
      <c r="D5" s="36"/>
      <c r="E5" s="37"/>
    </row>
    <row r="6" spans="1:5" s="8" customFormat="1" ht="12.75" customHeight="1" hidden="1">
      <c r="A6" s="44" t="s">
        <v>25</v>
      </c>
      <c r="B6" s="67"/>
      <c r="C6" s="67" t="e">
        <f>SUM(C7,C11,C16,C19,#REF!,#REF!,C10,)</f>
        <v>#REF!</v>
      </c>
      <c r="D6" s="46" t="e">
        <f>IF(#REF!=0,"   ",C6/#REF!)</f>
        <v>#REF!</v>
      </c>
      <c r="E6" s="124" t="e">
        <f>C6-#REF!</f>
        <v>#REF!</v>
      </c>
    </row>
    <row r="7" spans="1:5" s="14" customFormat="1" ht="13.5">
      <c r="A7" s="38" t="s">
        <v>45</v>
      </c>
      <c r="B7" s="79">
        <f>SUM(B9)</f>
        <v>144600</v>
      </c>
      <c r="C7" s="79">
        <f>C9</f>
        <v>167161.74</v>
      </c>
      <c r="D7" s="40">
        <f>IF(B7=0,"   ",C7/B7*100)</f>
        <v>115.60286307053941</v>
      </c>
      <c r="E7" s="41">
        <f>C7-B7</f>
        <v>22561.73999999999</v>
      </c>
    </row>
    <row r="8" spans="1:5" s="13" customFormat="1" ht="12.75" customHeight="1" hidden="1">
      <c r="A8" s="21" t="s">
        <v>3</v>
      </c>
      <c r="B8" s="80">
        <v>387940</v>
      </c>
      <c r="C8" s="82">
        <v>217766</v>
      </c>
      <c r="D8" s="40" t="e">
        <f>IF(#REF!=0,"   ",C8/#REF!)</f>
        <v>#REF!</v>
      </c>
      <c r="E8" s="41" t="e">
        <f>C8-#REF!</f>
        <v>#REF!</v>
      </c>
    </row>
    <row r="9" spans="1:5" s="13" customFormat="1" ht="13.5">
      <c r="A9" s="21" t="s">
        <v>107</v>
      </c>
      <c r="B9" s="80">
        <v>144600</v>
      </c>
      <c r="C9" s="125">
        <v>167161.74</v>
      </c>
      <c r="D9" s="40">
        <f>IF(B9=0,"   ",C9/B9*100)</f>
        <v>115.60286307053941</v>
      </c>
      <c r="E9" s="41">
        <f>C9-B9</f>
        <v>22561.73999999999</v>
      </c>
    </row>
    <row r="10" spans="1:5" s="13" customFormat="1" ht="12.75" customHeight="1" hidden="1">
      <c r="A10" s="21" t="s">
        <v>24</v>
      </c>
      <c r="B10" s="80"/>
      <c r="C10" s="82">
        <v>175</v>
      </c>
      <c r="D10" s="40"/>
      <c r="E10" s="41"/>
    </row>
    <row r="11" spans="1:5" s="14" customFormat="1" ht="12.75" customHeight="1" hidden="1">
      <c r="A11" s="21" t="s">
        <v>4</v>
      </c>
      <c r="B11" s="80">
        <f>SUM(B12:B13)</f>
        <v>1848003</v>
      </c>
      <c r="C11" s="80">
        <f>SUM(C12:C13)</f>
        <v>1704024</v>
      </c>
      <c r="D11" s="40" t="e">
        <f>IF(#REF!=0,"   ",C11/#REF!)</f>
        <v>#REF!</v>
      </c>
      <c r="E11" s="41" t="e">
        <f>C11-#REF!</f>
        <v>#REF!</v>
      </c>
    </row>
    <row r="12" spans="1:5" s="13" customFormat="1" ht="12.75" customHeight="1" hidden="1">
      <c r="A12" s="21" t="s">
        <v>5</v>
      </c>
      <c r="B12" s="80">
        <v>17853</v>
      </c>
      <c r="C12" s="82">
        <v>13730</v>
      </c>
      <c r="D12" s="40" t="e">
        <f>IF(#REF!=0,"   ",C12/#REF!)</f>
        <v>#REF!</v>
      </c>
      <c r="E12" s="41" t="e">
        <f>C12-#REF!</f>
        <v>#REF!</v>
      </c>
    </row>
    <row r="13" spans="1:5" s="13" customFormat="1" ht="12.75" customHeight="1" hidden="1">
      <c r="A13" s="21" t="s">
        <v>6</v>
      </c>
      <c r="B13" s="80">
        <v>1830150</v>
      </c>
      <c r="C13" s="82">
        <v>1690294</v>
      </c>
      <c r="D13" s="40" t="e">
        <f>IF(#REF!=0,"   ",C13/#REF!)</f>
        <v>#REF!</v>
      </c>
      <c r="E13" s="41" t="e">
        <f>C13-#REF!</f>
        <v>#REF!</v>
      </c>
    </row>
    <row r="14" spans="1:5" s="13" customFormat="1" ht="12.75" customHeight="1">
      <c r="A14" s="38" t="s">
        <v>129</v>
      </c>
      <c r="B14" s="79">
        <f>SUM(B15)</f>
        <v>664400</v>
      </c>
      <c r="C14" s="79">
        <f>SUM(C15)</f>
        <v>175552.36</v>
      </c>
      <c r="D14" s="40">
        <f>IF(B14=0,"   ",C14/B14*100)</f>
        <v>26.42269114990969</v>
      </c>
      <c r="E14" s="41">
        <f>C14-B14</f>
        <v>-488847.64</v>
      </c>
    </row>
    <row r="15" spans="1:5" s="13" customFormat="1" ht="15.75" customHeight="1">
      <c r="A15" s="21" t="s">
        <v>130</v>
      </c>
      <c r="B15" s="80">
        <v>664400</v>
      </c>
      <c r="C15" s="125">
        <v>175552.36</v>
      </c>
      <c r="D15" s="40">
        <f>IF(B15=0,"   ",C15/B15*100)</f>
        <v>26.42269114990969</v>
      </c>
      <c r="E15" s="41">
        <f>C15-B15</f>
        <v>-488847.64</v>
      </c>
    </row>
    <row r="16" spans="1:5" s="14" customFormat="1" ht="17.25" customHeight="1">
      <c r="A16" s="21" t="s">
        <v>7</v>
      </c>
      <c r="B16" s="79">
        <f>SUM(B18)</f>
        <v>8000</v>
      </c>
      <c r="C16" s="80">
        <f>SUM(C18:C18)</f>
        <v>4007.7</v>
      </c>
      <c r="D16" s="40">
        <f>IF(B16=0,"   ",C16/B16*100)</f>
        <v>50.09625</v>
      </c>
      <c r="E16" s="41">
        <f>C16-B16</f>
        <v>-3992.3</v>
      </c>
    </row>
    <row r="17" spans="1:5" s="13" customFormat="1" ht="12.75" customHeight="1" hidden="1">
      <c r="A17" s="21" t="s">
        <v>8</v>
      </c>
      <c r="B17" s="80">
        <v>103725</v>
      </c>
      <c r="C17" s="82">
        <v>92515</v>
      </c>
      <c r="D17" s="40" t="e">
        <f>IF(#REF!=0,"   ",C17/#REF!)</f>
        <v>#REF!</v>
      </c>
      <c r="E17" s="41" t="e">
        <f>C17-#REF!</f>
        <v>#REF!</v>
      </c>
    </row>
    <row r="18" spans="1:5" s="13" customFormat="1" ht="17.25" customHeight="1">
      <c r="A18" s="21" t="s">
        <v>108</v>
      </c>
      <c r="B18" s="80">
        <v>8000</v>
      </c>
      <c r="C18" s="125">
        <v>4007.7</v>
      </c>
      <c r="D18" s="40">
        <f aca="true" t="shared" si="0" ref="D18:D36">IF(B18=0,"   ",C18/B18*100)</f>
        <v>50.09625</v>
      </c>
      <c r="E18" s="41">
        <f aca="true" t="shared" si="1" ref="E18:E36">C18-B18</f>
        <v>-3992.3</v>
      </c>
    </row>
    <row r="19" spans="1:5" s="13" customFormat="1" ht="18" customHeight="1">
      <c r="A19" s="21" t="s">
        <v>9</v>
      </c>
      <c r="B19" s="80">
        <f>SUM(B20:B21)</f>
        <v>938000</v>
      </c>
      <c r="C19" s="80">
        <f>SUM(C20:C21)</f>
        <v>175536.69</v>
      </c>
      <c r="D19" s="40">
        <f t="shared" si="0"/>
        <v>18.713932835820895</v>
      </c>
      <c r="E19" s="41">
        <f t="shared" si="1"/>
        <v>-762463.31</v>
      </c>
    </row>
    <row r="20" spans="1:5" s="13" customFormat="1" ht="13.5">
      <c r="A20" s="21" t="s">
        <v>109</v>
      </c>
      <c r="B20" s="80">
        <v>503000</v>
      </c>
      <c r="C20" s="125">
        <v>52369.41</v>
      </c>
      <c r="D20" s="40">
        <f t="shared" si="0"/>
        <v>10.41141351888668</v>
      </c>
      <c r="E20" s="41">
        <f t="shared" si="1"/>
        <v>-450630.58999999997</v>
      </c>
    </row>
    <row r="21" spans="1:5" s="13" customFormat="1" ht="16.5" customHeight="1">
      <c r="A21" s="21" t="s">
        <v>151</v>
      </c>
      <c r="B21" s="80">
        <f>SUM(B22:B23)</f>
        <v>435000</v>
      </c>
      <c r="C21" s="80">
        <f>SUM(C22:C23)</f>
        <v>123167.28</v>
      </c>
      <c r="D21" s="40">
        <f t="shared" si="0"/>
        <v>28.31431724137931</v>
      </c>
      <c r="E21" s="41">
        <f t="shared" si="1"/>
        <v>-311832.72</v>
      </c>
    </row>
    <row r="22" spans="1:5" s="13" customFormat="1" ht="13.5">
      <c r="A22" s="21" t="s">
        <v>152</v>
      </c>
      <c r="B22" s="80">
        <v>168000</v>
      </c>
      <c r="C22" s="125">
        <v>68262</v>
      </c>
      <c r="D22" s="40">
        <f t="shared" si="0"/>
        <v>40.63214285714285</v>
      </c>
      <c r="E22" s="41">
        <f t="shared" si="1"/>
        <v>-99738</v>
      </c>
    </row>
    <row r="23" spans="1:5" s="13" customFormat="1" ht="13.5">
      <c r="A23" s="21" t="s">
        <v>153</v>
      </c>
      <c r="B23" s="80">
        <v>267000</v>
      </c>
      <c r="C23" s="125">
        <v>54905.28</v>
      </c>
      <c r="D23" s="40">
        <f t="shared" si="0"/>
        <v>20.563775280898877</v>
      </c>
      <c r="E23" s="41">
        <f t="shared" si="1"/>
        <v>-212094.72</v>
      </c>
    </row>
    <row r="24" spans="1:5" s="13" customFormat="1" ht="13.5">
      <c r="A24" s="21" t="s">
        <v>186</v>
      </c>
      <c r="B24" s="80">
        <v>0</v>
      </c>
      <c r="C24" s="125">
        <v>0</v>
      </c>
      <c r="D24" s="40" t="str">
        <f t="shared" si="0"/>
        <v>   </v>
      </c>
      <c r="E24" s="41">
        <f t="shared" si="1"/>
        <v>0</v>
      </c>
    </row>
    <row r="25" spans="1:5" s="13" customFormat="1" ht="19.5" customHeight="1">
      <c r="A25" s="21" t="s">
        <v>85</v>
      </c>
      <c r="B25" s="80">
        <v>0</v>
      </c>
      <c r="C25" s="80">
        <v>0</v>
      </c>
      <c r="D25" s="40" t="str">
        <f t="shared" si="0"/>
        <v>   </v>
      </c>
      <c r="E25" s="41">
        <f t="shared" si="1"/>
        <v>0</v>
      </c>
    </row>
    <row r="26" spans="1:5" s="13" customFormat="1" ht="24.75" customHeight="1">
      <c r="A26" s="21" t="s">
        <v>28</v>
      </c>
      <c r="B26" s="36">
        <f>SUM(B27:B30)</f>
        <v>466300</v>
      </c>
      <c r="C26" s="36">
        <f>SUM(C27:C30)</f>
        <v>111337.12</v>
      </c>
      <c r="D26" s="40">
        <f t="shared" si="0"/>
        <v>23.87671456144113</v>
      </c>
      <c r="E26" s="41">
        <f t="shared" si="1"/>
        <v>-354962.88</v>
      </c>
    </row>
    <row r="27" spans="1:5" s="13" customFormat="1" ht="13.5">
      <c r="A27" s="21" t="s">
        <v>143</v>
      </c>
      <c r="B27" s="80">
        <v>456300</v>
      </c>
      <c r="C27" s="125">
        <v>92965.3</v>
      </c>
      <c r="D27" s="40">
        <f t="shared" si="0"/>
        <v>20.373723427569583</v>
      </c>
      <c r="E27" s="41">
        <f t="shared" si="1"/>
        <v>-363334.7</v>
      </c>
    </row>
    <row r="28" spans="1:5" s="13" customFormat="1" ht="15.75" customHeight="1">
      <c r="A28" s="21" t="s">
        <v>30</v>
      </c>
      <c r="B28" s="80">
        <v>0</v>
      </c>
      <c r="C28" s="82">
        <v>0</v>
      </c>
      <c r="D28" s="40" t="str">
        <f t="shared" si="0"/>
        <v>   </v>
      </c>
      <c r="E28" s="41">
        <f t="shared" si="1"/>
        <v>0</v>
      </c>
    </row>
    <row r="29" spans="1:5" s="13" customFormat="1" ht="24.75" customHeight="1">
      <c r="A29" s="21" t="s">
        <v>248</v>
      </c>
      <c r="B29" s="36">
        <v>0</v>
      </c>
      <c r="C29" s="164">
        <v>18371.82</v>
      </c>
      <c r="D29" s="40" t="str">
        <f>IF(B29=0,"   ",C29/B29*100)</f>
        <v>   </v>
      </c>
      <c r="E29" s="41">
        <f>C29-B29</f>
        <v>18371.82</v>
      </c>
    </row>
    <row r="30" spans="1:5" s="13" customFormat="1" ht="44.25" customHeight="1">
      <c r="A30" s="21" t="s">
        <v>214</v>
      </c>
      <c r="B30" s="36">
        <v>10000</v>
      </c>
      <c r="C30" s="126">
        <v>0</v>
      </c>
      <c r="D30" s="40">
        <f t="shared" si="0"/>
        <v>0</v>
      </c>
      <c r="E30" s="41">
        <f t="shared" si="1"/>
        <v>-10000</v>
      </c>
    </row>
    <row r="31" spans="1:5" s="13" customFormat="1" ht="18.75" customHeight="1">
      <c r="A31" s="21" t="s">
        <v>88</v>
      </c>
      <c r="B31" s="79">
        <v>0</v>
      </c>
      <c r="C31" s="82">
        <v>10940.19</v>
      </c>
      <c r="D31" s="40" t="str">
        <f t="shared" si="0"/>
        <v>   </v>
      </c>
      <c r="E31" s="41">
        <f t="shared" si="1"/>
        <v>10940.19</v>
      </c>
    </row>
    <row r="32" spans="1:5" s="13" customFormat="1" ht="16.5" customHeight="1">
      <c r="A32" s="21" t="s">
        <v>78</v>
      </c>
      <c r="B32" s="79">
        <f>B33+B34</f>
        <v>0</v>
      </c>
      <c r="C32" s="79">
        <f>C33+C34</f>
        <v>5357646</v>
      </c>
      <c r="D32" s="40" t="str">
        <f t="shared" si="0"/>
        <v>   </v>
      </c>
      <c r="E32" s="41">
        <f t="shared" si="1"/>
        <v>5357646</v>
      </c>
    </row>
    <row r="33" spans="1:5" s="13" customFormat="1" ht="16.5" customHeight="1">
      <c r="A33" s="21" t="s">
        <v>127</v>
      </c>
      <c r="B33" s="79">
        <v>0</v>
      </c>
      <c r="C33" s="125">
        <v>0</v>
      </c>
      <c r="D33" s="40" t="str">
        <f t="shared" si="0"/>
        <v>   </v>
      </c>
      <c r="E33" s="41">
        <f t="shared" si="1"/>
        <v>0</v>
      </c>
    </row>
    <row r="34" spans="1:5" s="13" customFormat="1" ht="27.75" customHeight="1">
      <c r="A34" s="21" t="s">
        <v>194</v>
      </c>
      <c r="B34" s="80">
        <v>0</v>
      </c>
      <c r="C34" s="127">
        <v>5357646</v>
      </c>
      <c r="D34" s="40" t="str">
        <f t="shared" si="0"/>
        <v>   </v>
      </c>
      <c r="E34" s="41">
        <f t="shared" si="1"/>
        <v>5357646</v>
      </c>
    </row>
    <row r="35" spans="1:5" s="13" customFormat="1" ht="15.75" customHeight="1">
      <c r="A35" s="21" t="s">
        <v>31</v>
      </c>
      <c r="B35" s="80">
        <v>0</v>
      </c>
      <c r="C35" s="127">
        <v>0</v>
      </c>
      <c r="D35" s="40" t="str">
        <f t="shared" si="0"/>
        <v>   </v>
      </c>
      <c r="E35" s="41">
        <f t="shared" si="1"/>
        <v>0</v>
      </c>
    </row>
    <row r="36" spans="1:5" s="13" customFormat="1" ht="15" customHeight="1">
      <c r="A36" s="21" t="s">
        <v>32</v>
      </c>
      <c r="B36" s="80">
        <f>B39+B41+B40</f>
        <v>0</v>
      </c>
      <c r="C36" s="80">
        <f>SUM(C39:C41)</f>
        <v>0</v>
      </c>
      <c r="D36" s="40" t="str">
        <f t="shared" si="0"/>
        <v>   </v>
      </c>
      <c r="E36" s="41">
        <f t="shared" si="1"/>
        <v>0</v>
      </c>
    </row>
    <row r="37" spans="1:5" s="13" customFormat="1" ht="12.75" customHeight="1" hidden="1">
      <c r="A37" s="128" t="s">
        <v>33</v>
      </c>
      <c r="B37" s="80"/>
      <c r="C37" s="129"/>
      <c r="D37" s="40" t="e">
        <f>IF(#REF!=0,"   ",C37/#REF!)</f>
        <v>#REF!</v>
      </c>
      <c r="E37" s="41" t="e">
        <f>C37-#REF!</f>
        <v>#REF!</v>
      </c>
    </row>
    <row r="38" spans="1:5" s="8" customFormat="1" ht="12.75" customHeight="1" hidden="1">
      <c r="A38" s="128" t="s">
        <v>16</v>
      </c>
      <c r="B38" s="130" t="e">
        <f>SUM(B46,#REF!,#REF!,#REF!)</f>
        <v>#REF!</v>
      </c>
      <c r="C38" s="83" t="e">
        <f>SUM(C46,#REF!,#REF!,#REF!)</f>
        <v>#REF!</v>
      </c>
      <c r="D38" s="40" t="e">
        <f>IF(#REF!=0,"   ",C38/#REF!)</f>
        <v>#REF!</v>
      </c>
      <c r="E38" s="41" t="e">
        <f>C38-#REF!</f>
        <v>#REF!</v>
      </c>
    </row>
    <row r="39" spans="1:5" s="8" customFormat="1" ht="13.5">
      <c r="A39" s="21" t="s">
        <v>126</v>
      </c>
      <c r="B39" s="80">
        <v>0</v>
      </c>
      <c r="C39" s="79">
        <v>0</v>
      </c>
      <c r="D39" s="40" t="str">
        <f>IF(B39=0,"   ",C39/B39*100)</f>
        <v>   </v>
      </c>
      <c r="E39" s="41">
        <f>C39-B39</f>
        <v>0</v>
      </c>
    </row>
    <row r="40" spans="1:5" s="8" customFormat="1" ht="13.5">
      <c r="A40" s="21" t="s">
        <v>313</v>
      </c>
      <c r="B40" s="80">
        <v>0</v>
      </c>
      <c r="C40" s="79">
        <v>0</v>
      </c>
      <c r="D40" s="40"/>
      <c r="E40" s="41"/>
    </row>
    <row r="41" spans="1:5" s="8" customFormat="1" ht="15" customHeight="1">
      <c r="A41" s="21" t="s">
        <v>103</v>
      </c>
      <c r="B41" s="80">
        <v>0</v>
      </c>
      <c r="C41" s="79">
        <v>0</v>
      </c>
      <c r="D41" s="40" t="str">
        <f>IF(B41=0,"   ",C41/B41*100)</f>
        <v>   </v>
      </c>
      <c r="E41" s="41">
        <f>C41-B41</f>
        <v>0</v>
      </c>
    </row>
    <row r="42" spans="1:5" s="8" customFormat="1" ht="12.75" customHeight="1" hidden="1">
      <c r="A42" s="21" t="s">
        <v>46</v>
      </c>
      <c r="B42" s="130"/>
      <c r="C42" s="79">
        <v>0</v>
      </c>
      <c r="D42" s="40" t="e">
        <f>IF(#REF!=0,"   ",C42/#REF!)</f>
        <v>#REF!</v>
      </c>
      <c r="E42" s="41" t="e">
        <f>C42-#REF!</f>
        <v>#REF!</v>
      </c>
    </row>
    <row r="43" spans="1:5" s="8" customFormat="1" ht="0.75" customHeight="1" hidden="1">
      <c r="A43" s="131" t="s">
        <v>47</v>
      </c>
      <c r="B43" s="132">
        <v>1250</v>
      </c>
      <c r="C43" s="133"/>
      <c r="D43" s="90" t="e">
        <f>IF(#REF!=0,"   ",C43/#REF!)</f>
        <v>#REF!</v>
      </c>
      <c r="E43" s="91" t="e">
        <f>C43-#REF!</f>
        <v>#REF!</v>
      </c>
    </row>
    <row r="44" spans="1:5" s="8" customFormat="1" ht="22.5" customHeight="1">
      <c r="A44" s="64" t="s">
        <v>10</v>
      </c>
      <c r="B44" s="116">
        <f>B7+B16+B19+B25+B26+B31+B32+B36+B14+B35+B24</f>
        <v>2221300</v>
      </c>
      <c r="C44" s="116">
        <f>C7+C16+C19+C25+C26+C31+C32+C36+C14+C35+C24</f>
        <v>6002181.800000001</v>
      </c>
      <c r="D44" s="46">
        <f aca="true" t="shared" si="2" ref="D44:D61">IF(B44=0,"   ",C44/B44*100)</f>
        <v>270.2103182820871</v>
      </c>
      <c r="E44" s="134">
        <f aca="true" t="shared" si="3" ref="E44:E61">C44-B44</f>
        <v>3780881.8000000007</v>
      </c>
    </row>
    <row r="45" spans="1:5" s="8" customFormat="1" ht="18.75" customHeight="1">
      <c r="A45" s="62" t="s">
        <v>132</v>
      </c>
      <c r="B45" s="135">
        <f>SUM(B46:B49,B52:B55,B61)</f>
        <v>5792320</v>
      </c>
      <c r="C45" s="135">
        <f>SUM(C46:C49,C52:C55,C61)</f>
        <v>599634.4</v>
      </c>
      <c r="D45" s="40">
        <f t="shared" si="2"/>
        <v>10.35223192088835</v>
      </c>
      <c r="E45" s="107">
        <f t="shared" si="3"/>
        <v>-5192685.6</v>
      </c>
    </row>
    <row r="46" spans="1:5" s="13" customFormat="1" ht="19.5" customHeight="1">
      <c r="A46" s="136" t="s">
        <v>34</v>
      </c>
      <c r="B46" s="135">
        <v>1418600</v>
      </c>
      <c r="C46" s="125">
        <v>354700</v>
      </c>
      <c r="D46" s="97">
        <f t="shared" si="2"/>
        <v>25.003524601720006</v>
      </c>
      <c r="E46" s="98">
        <f t="shared" si="3"/>
        <v>-1063900</v>
      </c>
    </row>
    <row r="47" spans="1:5" s="13" customFormat="1" ht="19.5" customHeight="1">
      <c r="A47" s="38" t="s">
        <v>217</v>
      </c>
      <c r="B47" s="135">
        <v>0</v>
      </c>
      <c r="C47" s="125">
        <v>0</v>
      </c>
      <c r="D47" s="97" t="str">
        <f>IF(B47=0,"   ",C47/B47*100)</f>
        <v>   </v>
      </c>
      <c r="E47" s="98">
        <f>C47-B47</f>
        <v>0</v>
      </c>
    </row>
    <row r="48" spans="1:5" s="13" customFormat="1" ht="30" customHeight="1">
      <c r="A48" s="52" t="s">
        <v>51</v>
      </c>
      <c r="B48" s="85">
        <v>94300</v>
      </c>
      <c r="C48" s="126">
        <v>29000</v>
      </c>
      <c r="D48" s="54">
        <f t="shared" si="2"/>
        <v>30.75291622481442</v>
      </c>
      <c r="E48" s="55">
        <f t="shared" si="3"/>
        <v>-65300</v>
      </c>
    </row>
    <row r="49" spans="1:5" s="13" customFormat="1" ht="30" customHeight="1">
      <c r="A49" s="52" t="s">
        <v>139</v>
      </c>
      <c r="B49" s="85">
        <f>SUM(B50:B51)</f>
        <v>100</v>
      </c>
      <c r="C49" s="85">
        <f>SUM(C50:C51)</f>
        <v>100</v>
      </c>
      <c r="D49" s="54">
        <f t="shared" si="2"/>
        <v>100</v>
      </c>
      <c r="E49" s="55">
        <f t="shared" si="3"/>
        <v>0</v>
      </c>
    </row>
    <row r="50" spans="1:5" s="13" customFormat="1" ht="18" customHeight="1">
      <c r="A50" s="52" t="s">
        <v>154</v>
      </c>
      <c r="B50" s="85">
        <v>100</v>
      </c>
      <c r="C50" s="85">
        <v>100</v>
      </c>
      <c r="D50" s="54">
        <f t="shared" si="2"/>
        <v>100</v>
      </c>
      <c r="E50" s="55">
        <f t="shared" si="3"/>
        <v>0</v>
      </c>
    </row>
    <row r="51" spans="1:5" s="13" customFormat="1" ht="30" customHeight="1">
      <c r="A51" s="52" t="s">
        <v>155</v>
      </c>
      <c r="B51" s="85">
        <v>0</v>
      </c>
      <c r="C51" s="85">
        <v>0</v>
      </c>
      <c r="D51" s="54" t="str">
        <f t="shared" si="2"/>
        <v>   </v>
      </c>
      <c r="E51" s="55">
        <f t="shared" si="3"/>
        <v>0</v>
      </c>
    </row>
    <row r="52" spans="1:5" s="13" customFormat="1" ht="39.75" customHeight="1">
      <c r="A52" s="21" t="s">
        <v>98</v>
      </c>
      <c r="B52" s="85">
        <v>0</v>
      </c>
      <c r="C52" s="85">
        <v>0</v>
      </c>
      <c r="D52" s="54" t="str">
        <f t="shared" si="2"/>
        <v>   </v>
      </c>
      <c r="E52" s="55">
        <f t="shared" si="3"/>
        <v>0</v>
      </c>
    </row>
    <row r="53" spans="1:5" s="13" customFormat="1" ht="30" customHeight="1">
      <c r="A53" s="21" t="s">
        <v>322</v>
      </c>
      <c r="B53" s="85">
        <v>0</v>
      </c>
      <c r="C53" s="85">
        <v>0</v>
      </c>
      <c r="D53" s="54" t="str">
        <f t="shared" si="2"/>
        <v>   </v>
      </c>
      <c r="E53" s="55">
        <f t="shared" si="3"/>
        <v>0</v>
      </c>
    </row>
    <row r="54" spans="1:5" s="13" customFormat="1" ht="41.25" customHeight="1">
      <c r="A54" s="21" t="s">
        <v>225</v>
      </c>
      <c r="B54" s="85">
        <v>1054600</v>
      </c>
      <c r="C54" s="85">
        <v>0</v>
      </c>
      <c r="D54" s="54">
        <f t="shared" si="2"/>
        <v>0</v>
      </c>
      <c r="E54" s="55">
        <f t="shared" si="3"/>
        <v>-1054600</v>
      </c>
    </row>
    <row r="55" spans="1:5" s="13" customFormat="1" ht="18" customHeight="1">
      <c r="A55" s="21" t="s">
        <v>54</v>
      </c>
      <c r="B55" s="36">
        <f>SUM(B56:B60)</f>
        <v>3224720</v>
      </c>
      <c r="C55" s="36">
        <f>SUM(C56:C60)</f>
        <v>215834.4</v>
      </c>
      <c r="D55" s="40">
        <f t="shared" si="2"/>
        <v>6.6931206430325725</v>
      </c>
      <c r="E55" s="41">
        <f t="shared" si="3"/>
        <v>-3008885.6</v>
      </c>
    </row>
    <row r="56" spans="1:5" s="13" customFormat="1" ht="18" customHeight="1">
      <c r="A56" s="21" t="s">
        <v>178</v>
      </c>
      <c r="B56" s="36">
        <v>0</v>
      </c>
      <c r="C56" s="36">
        <v>0</v>
      </c>
      <c r="D56" s="40" t="str">
        <f t="shared" si="2"/>
        <v>   </v>
      </c>
      <c r="E56" s="41">
        <f t="shared" si="3"/>
        <v>0</v>
      </c>
    </row>
    <row r="57" spans="1:5" s="13" customFormat="1" ht="27" customHeight="1">
      <c r="A57" s="21" t="s">
        <v>258</v>
      </c>
      <c r="B57" s="36">
        <v>0</v>
      </c>
      <c r="C57" s="36">
        <v>0</v>
      </c>
      <c r="D57" s="40" t="str">
        <f>IF(B57=0,"   ",C57/B57*100)</f>
        <v>   </v>
      </c>
      <c r="E57" s="41">
        <f>C57-B57</f>
        <v>0</v>
      </c>
    </row>
    <row r="58" spans="1:5" s="13" customFormat="1" ht="18" customHeight="1">
      <c r="A58" s="21" t="s">
        <v>290</v>
      </c>
      <c r="B58" s="36">
        <v>0</v>
      </c>
      <c r="C58" s="36">
        <v>0</v>
      </c>
      <c r="D58" s="40" t="str">
        <f>IF(B58=0,"   ",C58/B58*100)</f>
        <v>   </v>
      </c>
      <c r="E58" s="41">
        <f>C58-B58</f>
        <v>0</v>
      </c>
    </row>
    <row r="59" spans="1:5" s="13" customFormat="1" ht="18" customHeight="1">
      <c r="A59" s="21" t="s">
        <v>267</v>
      </c>
      <c r="B59" s="36">
        <v>2862620</v>
      </c>
      <c r="C59" s="36">
        <v>0</v>
      </c>
      <c r="D59" s="40">
        <f>IF(B59=0,"   ",C59/B59*100)</f>
        <v>0</v>
      </c>
      <c r="E59" s="41">
        <f>C59-B59</f>
        <v>-2862620</v>
      </c>
    </row>
    <row r="60" spans="1:5" s="13" customFormat="1" ht="20.25" customHeight="1">
      <c r="A60" s="21" t="s">
        <v>104</v>
      </c>
      <c r="B60" s="36">
        <v>362100</v>
      </c>
      <c r="C60" s="36">
        <v>215834.4</v>
      </c>
      <c r="D60" s="40">
        <f t="shared" si="2"/>
        <v>59.6062966031483</v>
      </c>
      <c r="E60" s="41">
        <f t="shared" si="3"/>
        <v>-146265.6</v>
      </c>
    </row>
    <row r="61" spans="1:5" s="13" customFormat="1" ht="24.75" customHeight="1">
      <c r="A61" s="21" t="s">
        <v>188</v>
      </c>
      <c r="B61" s="36">
        <v>0</v>
      </c>
      <c r="C61" s="36">
        <v>0</v>
      </c>
      <c r="D61" s="40" t="str">
        <f t="shared" si="2"/>
        <v>   </v>
      </c>
      <c r="E61" s="41">
        <f t="shared" si="3"/>
        <v>0</v>
      </c>
    </row>
    <row r="62" spans="1:5" s="13" customFormat="1" ht="27" customHeight="1">
      <c r="A62" s="44" t="s">
        <v>11</v>
      </c>
      <c r="B62" s="116">
        <f>B44+B45</f>
        <v>8013620</v>
      </c>
      <c r="C62" s="116">
        <f>C44+C45</f>
        <v>6601816.200000001</v>
      </c>
      <c r="D62" s="46">
        <f aca="true" t="shared" si="4" ref="D62:D95">IF(B62=0,"   ",C62/B62*100)</f>
        <v>82.38244638502951</v>
      </c>
      <c r="E62" s="47">
        <f aca="true" t="shared" si="5" ref="E62:E95">C62-B62</f>
        <v>-1411803.7999999989</v>
      </c>
    </row>
    <row r="63" spans="1:5" s="7" customFormat="1" ht="15" thickBot="1">
      <c r="A63" s="87" t="s">
        <v>12</v>
      </c>
      <c r="B63" s="137"/>
      <c r="C63" s="138"/>
      <c r="D63" s="90"/>
      <c r="E63" s="91"/>
    </row>
    <row r="64" spans="1:5" s="13" customFormat="1" ht="18.75" customHeight="1" thickBot="1">
      <c r="A64" s="92" t="s">
        <v>35</v>
      </c>
      <c r="B64" s="93">
        <f>SUM(B65,B68:B69)</f>
        <v>1252900</v>
      </c>
      <c r="C64" s="93">
        <f>SUM(C65,C68:C69)</f>
        <v>247244.54</v>
      </c>
      <c r="D64" s="94">
        <f t="shared" si="4"/>
        <v>19.733780828477933</v>
      </c>
      <c r="E64" s="95">
        <f t="shared" si="5"/>
        <v>-1005655.46</v>
      </c>
    </row>
    <row r="65" spans="1:5" s="13" customFormat="1" ht="17.25" customHeight="1" thickBot="1">
      <c r="A65" s="68" t="s">
        <v>36</v>
      </c>
      <c r="B65" s="96">
        <v>1237400</v>
      </c>
      <c r="C65" s="93">
        <v>247244.54</v>
      </c>
      <c r="D65" s="97">
        <f t="shared" si="4"/>
        <v>19.98097139162761</v>
      </c>
      <c r="E65" s="98">
        <f t="shared" si="5"/>
        <v>-990155.46</v>
      </c>
    </row>
    <row r="66" spans="1:5" s="13" customFormat="1" ht="18" customHeight="1">
      <c r="A66" s="21" t="s">
        <v>115</v>
      </c>
      <c r="B66" s="36">
        <v>843088</v>
      </c>
      <c r="C66" s="99">
        <v>147012</v>
      </c>
      <c r="D66" s="40">
        <f t="shared" si="4"/>
        <v>17.43732564097698</v>
      </c>
      <c r="E66" s="41">
        <f t="shared" si="5"/>
        <v>-696076</v>
      </c>
    </row>
    <row r="67" spans="1:5" s="13" customFormat="1" ht="18" customHeight="1">
      <c r="A67" s="21" t="s">
        <v>324</v>
      </c>
      <c r="B67" s="36">
        <v>0</v>
      </c>
      <c r="C67" s="99">
        <v>0</v>
      </c>
      <c r="D67" s="40" t="str">
        <f>IF(B67=0,"   ",C67/B67*100)</f>
        <v>   </v>
      </c>
      <c r="E67" s="41">
        <f>C67-B67</f>
        <v>0</v>
      </c>
    </row>
    <row r="68" spans="1:5" s="13" customFormat="1" ht="15.75" customHeight="1">
      <c r="A68" s="21" t="s">
        <v>91</v>
      </c>
      <c r="B68" s="36">
        <v>500</v>
      </c>
      <c r="C68" s="99">
        <v>0</v>
      </c>
      <c r="D68" s="40">
        <f t="shared" si="4"/>
        <v>0</v>
      </c>
      <c r="E68" s="41">
        <f t="shared" si="5"/>
        <v>-500</v>
      </c>
    </row>
    <row r="69" spans="1:5" s="13" customFormat="1" ht="13.5">
      <c r="A69" s="21" t="s">
        <v>52</v>
      </c>
      <c r="B69" s="36">
        <f>SUM(B70:B71)</f>
        <v>15000</v>
      </c>
      <c r="C69" s="36">
        <f>SUM(C70:C71)</f>
        <v>0</v>
      </c>
      <c r="D69" s="40">
        <f t="shared" si="4"/>
        <v>0</v>
      </c>
      <c r="E69" s="41">
        <f t="shared" si="5"/>
        <v>-15000</v>
      </c>
    </row>
    <row r="70" spans="1:5" s="13" customFormat="1" ht="28.5" customHeight="1">
      <c r="A70" s="17" t="s">
        <v>233</v>
      </c>
      <c r="B70" s="36">
        <v>15000</v>
      </c>
      <c r="C70" s="107">
        <v>0</v>
      </c>
      <c r="D70" s="40">
        <f t="shared" si="4"/>
        <v>0</v>
      </c>
      <c r="E70" s="107">
        <f t="shared" si="5"/>
        <v>-15000</v>
      </c>
    </row>
    <row r="71" spans="1:5" s="13" customFormat="1" ht="17.25" customHeight="1" thickBot="1">
      <c r="A71" s="17" t="s">
        <v>211</v>
      </c>
      <c r="B71" s="36">
        <v>0</v>
      </c>
      <c r="C71" s="107">
        <v>0</v>
      </c>
      <c r="D71" s="40" t="str">
        <f t="shared" si="4"/>
        <v>   </v>
      </c>
      <c r="E71" s="107">
        <f t="shared" si="5"/>
        <v>0</v>
      </c>
    </row>
    <row r="72" spans="1:5" s="13" customFormat="1" ht="14.25" thickBot="1">
      <c r="A72" s="92" t="s">
        <v>49</v>
      </c>
      <c r="B72" s="106">
        <f>SUM(B73)</f>
        <v>94300</v>
      </c>
      <c r="C72" s="106">
        <f>SUM(C73)</f>
        <v>20900.78</v>
      </c>
      <c r="D72" s="110">
        <f t="shared" si="4"/>
        <v>22.164135737009545</v>
      </c>
      <c r="E72" s="113">
        <f t="shared" si="5"/>
        <v>-73399.22</v>
      </c>
    </row>
    <row r="73" spans="1:5" s="13" customFormat="1" ht="20.25" customHeight="1" thickBot="1">
      <c r="A73" s="60" t="s">
        <v>102</v>
      </c>
      <c r="B73" s="100">
        <v>94300</v>
      </c>
      <c r="C73" s="101">
        <v>20900.78</v>
      </c>
      <c r="D73" s="103">
        <f t="shared" si="4"/>
        <v>22.164135737009545</v>
      </c>
      <c r="E73" s="104">
        <f t="shared" si="5"/>
        <v>-73399.22</v>
      </c>
    </row>
    <row r="74" spans="1:5" s="13" customFormat="1" ht="14.25" thickBot="1">
      <c r="A74" s="92" t="s">
        <v>37</v>
      </c>
      <c r="B74" s="93">
        <f>SUM(B75)</f>
        <v>5000</v>
      </c>
      <c r="C74" s="93">
        <f>SUM(C75)</f>
        <v>0</v>
      </c>
      <c r="D74" s="94">
        <f t="shared" si="4"/>
        <v>0</v>
      </c>
      <c r="E74" s="95">
        <f t="shared" si="5"/>
        <v>-5000</v>
      </c>
    </row>
    <row r="75" spans="1:5" s="13" customFormat="1" ht="14.25" thickBot="1">
      <c r="A75" s="60" t="s">
        <v>315</v>
      </c>
      <c r="B75" s="100">
        <v>5000</v>
      </c>
      <c r="C75" s="101">
        <v>0</v>
      </c>
      <c r="D75" s="103">
        <f t="shared" si="4"/>
        <v>0</v>
      </c>
      <c r="E75" s="104">
        <f t="shared" si="5"/>
        <v>-5000</v>
      </c>
    </row>
    <row r="76" spans="1:5" s="13" customFormat="1" ht="14.25" thickBot="1">
      <c r="A76" s="92" t="s">
        <v>38</v>
      </c>
      <c r="B76" s="93">
        <f>B77+B84+B96+B82</f>
        <v>2141000</v>
      </c>
      <c r="C76" s="93">
        <f>C77+C84+C96+C82</f>
        <v>251806.8</v>
      </c>
      <c r="D76" s="94">
        <f t="shared" si="4"/>
        <v>11.761177020084073</v>
      </c>
      <c r="E76" s="95">
        <f t="shared" si="5"/>
        <v>-1889193.2</v>
      </c>
    </row>
    <row r="77" spans="1:5" s="13" customFormat="1" ht="19.5" customHeight="1" thickBot="1">
      <c r="A77" s="60" t="s">
        <v>156</v>
      </c>
      <c r="B77" s="93">
        <f>SUM(B78:B81)</f>
        <v>0</v>
      </c>
      <c r="C77" s="93">
        <f>SUM(C78:C81)</f>
        <v>0</v>
      </c>
      <c r="D77" s="94" t="str">
        <f aca="true" t="shared" si="6" ref="D77:D83">IF(B77=0,"   ",C77/B77*100)</f>
        <v>   </v>
      </c>
      <c r="E77" s="95">
        <f aca="true" t="shared" si="7" ref="E77:E83">C77-B77</f>
        <v>0</v>
      </c>
    </row>
    <row r="78" spans="1:5" s="13" customFormat="1" ht="17.25" customHeight="1" thickBot="1">
      <c r="A78" s="62" t="s">
        <v>157</v>
      </c>
      <c r="B78" s="105">
        <v>0</v>
      </c>
      <c r="C78" s="93">
        <v>0</v>
      </c>
      <c r="D78" s="94" t="str">
        <f t="shared" si="6"/>
        <v>   </v>
      </c>
      <c r="E78" s="95">
        <f t="shared" si="7"/>
        <v>0</v>
      </c>
    </row>
    <row r="79" spans="1:5" s="13" customFormat="1" ht="17.25" customHeight="1">
      <c r="A79" s="62" t="s">
        <v>179</v>
      </c>
      <c r="B79" s="100">
        <v>0</v>
      </c>
      <c r="C79" s="109">
        <v>0</v>
      </c>
      <c r="D79" s="97" t="str">
        <f t="shared" si="6"/>
        <v>   </v>
      </c>
      <c r="E79" s="107">
        <f t="shared" si="7"/>
        <v>0</v>
      </c>
    </row>
    <row r="80" spans="1:5" s="13" customFormat="1" ht="17.25" customHeight="1">
      <c r="A80" s="62" t="s">
        <v>291</v>
      </c>
      <c r="B80" s="36">
        <v>0</v>
      </c>
      <c r="C80" s="36">
        <v>0</v>
      </c>
      <c r="D80" s="97" t="str">
        <f t="shared" si="6"/>
        <v>   </v>
      </c>
      <c r="E80" s="107">
        <f t="shared" si="7"/>
        <v>0</v>
      </c>
    </row>
    <row r="81" spans="1:5" s="13" customFormat="1" ht="17.25" customHeight="1">
      <c r="A81" s="62" t="s">
        <v>292</v>
      </c>
      <c r="B81" s="36">
        <v>0</v>
      </c>
      <c r="C81" s="36">
        <v>0</v>
      </c>
      <c r="D81" s="97" t="str">
        <f t="shared" si="6"/>
        <v>   </v>
      </c>
      <c r="E81" s="107">
        <f t="shared" si="7"/>
        <v>0</v>
      </c>
    </row>
    <row r="82" spans="1:5" s="13" customFormat="1" ht="17.25" customHeight="1" thickBot="1">
      <c r="A82" s="62" t="s">
        <v>219</v>
      </c>
      <c r="B82" s="106">
        <f>SUM(B83)</f>
        <v>0</v>
      </c>
      <c r="C82" s="106">
        <f>SUM(C83)</f>
        <v>0</v>
      </c>
      <c r="D82" s="97" t="str">
        <f t="shared" si="6"/>
        <v>   </v>
      </c>
      <c r="E82" s="98">
        <f t="shared" si="7"/>
        <v>0</v>
      </c>
    </row>
    <row r="83" spans="1:5" s="13" customFormat="1" ht="17.25" customHeight="1">
      <c r="A83" s="62" t="s">
        <v>220</v>
      </c>
      <c r="B83" s="100">
        <v>0</v>
      </c>
      <c r="C83" s="100">
        <v>0</v>
      </c>
      <c r="D83" s="97" t="str">
        <f t="shared" si="6"/>
        <v>   </v>
      </c>
      <c r="E83" s="98">
        <f t="shared" si="7"/>
        <v>0</v>
      </c>
    </row>
    <row r="84" spans="1:5" s="13" customFormat="1" ht="18.75" customHeight="1">
      <c r="A84" s="62" t="s">
        <v>124</v>
      </c>
      <c r="B84" s="96">
        <f>SUM(B85:B86,B90:B95)</f>
        <v>2081100</v>
      </c>
      <c r="C84" s="96">
        <f>SUM(C85:C86,C90:C95)</f>
        <v>251806.8</v>
      </c>
      <c r="D84" s="97">
        <f t="shared" si="4"/>
        <v>12.099697275479313</v>
      </c>
      <c r="E84" s="98">
        <f t="shared" si="5"/>
        <v>-1829293.2</v>
      </c>
    </row>
    <row r="85" spans="1:5" s="13" customFormat="1" ht="19.5" customHeight="1">
      <c r="A85" s="60" t="s">
        <v>140</v>
      </c>
      <c r="B85" s="36">
        <v>0</v>
      </c>
      <c r="C85" s="36"/>
      <c r="D85" s="97" t="str">
        <f t="shared" si="4"/>
        <v>   </v>
      </c>
      <c r="E85" s="107">
        <f t="shared" si="5"/>
        <v>0</v>
      </c>
    </row>
    <row r="86" spans="1:5" s="13" customFormat="1" ht="19.5" customHeight="1">
      <c r="A86" s="17" t="s">
        <v>195</v>
      </c>
      <c r="B86" s="36">
        <f>SUM(B87:B89)</f>
        <v>0</v>
      </c>
      <c r="C86" s="36">
        <f>SUM(C87:C89)</f>
        <v>0</v>
      </c>
      <c r="D86" s="97" t="str">
        <f>IF(B86=0,"   ",C86/B86*100)</f>
        <v>   </v>
      </c>
      <c r="E86" s="107">
        <f>C86-B86</f>
        <v>0</v>
      </c>
    </row>
    <row r="87" spans="1:5" s="13" customFormat="1" ht="29.25" customHeight="1">
      <c r="A87" s="17" t="s">
        <v>205</v>
      </c>
      <c r="B87" s="36">
        <v>0</v>
      </c>
      <c r="C87" s="36">
        <v>0</v>
      </c>
      <c r="D87" s="97" t="str">
        <f>IF(B87=0,"   ",C87/B87*100)</f>
        <v>   </v>
      </c>
      <c r="E87" s="107">
        <f>C87-B87</f>
        <v>0</v>
      </c>
    </row>
    <row r="88" spans="1:5" s="13" customFormat="1" ht="27" customHeight="1">
      <c r="A88" s="17" t="s">
        <v>196</v>
      </c>
      <c r="B88" s="36">
        <v>0</v>
      </c>
      <c r="C88" s="36">
        <v>0</v>
      </c>
      <c r="D88" s="97" t="str">
        <f>IF(B88=0,"   ",C88/B88*100)</f>
        <v>   </v>
      </c>
      <c r="E88" s="107">
        <f>C88-B88</f>
        <v>0</v>
      </c>
    </row>
    <row r="89" spans="1:5" s="13" customFormat="1" ht="26.25" customHeight="1">
      <c r="A89" s="17" t="s">
        <v>206</v>
      </c>
      <c r="B89" s="36">
        <v>0</v>
      </c>
      <c r="C89" s="36">
        <v>0</v>
      </c>
      <c r="D89" s="97" t="str">
        <f>IF(B89=0,"   ",C89/B89*100)</f>
        <v>   </v>
      </c>
      <c r="E89" s="107">
        <f>C89-B89</f>
        <v>0</v>
      </c>
    </row>
    <row r="90" spans="1:5" s="13" customFormat="1" ht="33.75" customHeight="1">
      <c r="A90" s="17" t="s">
        <v>236</v>
      </c>
      <c r="B90" s="36">
        <v>407000</v>
      </c>
      <c r="C90" s="36">
        <v>0</v>
      </c>
      <c r="D90" s="97">
        <f t="shared" si="4"/>
        <v>0</v>
      </c>
      <c r="E90" s="114">
        <f t="shared" si="5"/>
        <v>-407000</v>
      </c>
    </row>
    <row r="91" spans="1:5" s="13" customFormat="1" ht="27" customHeight="1">
      <c r="A91" s="17" t="s">
        <v>237</v>
      </c>
      <c r="B91" s="36">
        <v>100000</v>
      </c>
      <c r="C91" s="36">
        <v>0</v>
      </c>
      <c r="D91" s="97">
        <f t="shared" si="4"/>
        <v>0</v>
      </c>
      <c r="E91" s="114">
        <f t="shared" si="5"/>
        <v>-100000</v>
      </c>
    </row>
    <row r="92" spans="1:5" s="13" customFormat="1" ht="27" customHeight="1">
      <c r="A92" s="17" t="s">
        <v>238</v>
      </c>
      <c r="B92" s="36">
        <v>1054600</v>
      </c>
      <c r="C92" s="36">
        <v>0</v>
      </c>
      <c r="D92" s="97">
        <f t="shared" si="4"/>
        <v>0</v>
      </c>
      <c r="E92" s="114">
        <f t="shared" si="5"/>
        <v>-1054600</v>
      </c>
    </row>
    <row r="93" spans="1:5" s="13" customFormat="1" ht="27" customHeight="1">
      <c r="A93" s="17" t="s">
        <v>239</v>
      </c>
      <c r="B93" s="36">
        <v>117200</v>
      </c>
      <c r="C93" s="36">
        <v>0</v>
      </c>
      <c r="D93" s="97">
        <f t="shared" si="4"/>
        <v>0</v>
      </c>
      <c r="E93" s="114">
        <f t="shared" si="5"/>
        <v>-117200</v>
      </c>
    </row>
    <row r="94" spans="1:5" s="13" customFormat="1" ht="27" customHeight="1">
      <c r="A94" s="17" t="s">
        <v>240</v>
      </c>
      <c r="B94" s="36">
        <v>362100</v>
      </c>
      <c r="C94" s="36">
        <v>215834.4</v>
      </c>
      <c r="D94" s="97">
        <f t="shared" si="4"/>
        <v>59.6062966031483</v>
      </c>
      <c r="E94" s="114">
        <f t="shared" si="5"/>
        <v>-146265.6</v>
      </c>
    </row>
    <row r="95" spans="1:5" s="13" customFormat="1" ht="27">
      <c r="A95" s="17" t="s">
        <v>241</v>
      </c>
      <c r="B95" s="36">
        <v>40200</v>
      </c>
      <c r="C95" s="36">
        <v>35972.4</v>
      </c>
      <c r="D95" s="40">
        <f t="shared" si="4"/>
        <v>89.48358208955224</v>
      </c>
      <c r="E95" s="107">
        <f t="shared" si="5"/>
        <v>-4227.5999999999985</v>
      </c>
    </row>
    <row r="96" spans="1:5" s="13" customFormat="1" ht="13.5">
      <c r="A96" s="68" t="s">
        <v>167</v>
      </c>
      <c r="B96" s="36">
        <f>SUM(B97+B98)</f>
        <v>59900</v>
      </c>
      <c r="C96" s="36">
        <f>SUM(C97+C98)</f>
        <v>0</v>
      </c>
      <c r="D96" s="40">
        <f>IF(B96=0,"   ",C96/B96*100)</f>
        <v>0</v>
      </c>
      <c r="E96" s="107">
        <f>C96-B96</f>
        <v>-59900</v>
      </c>
    </row>
    <row r="97" spans="1:5" s="13" customFormat="1" ht="27">
      <c r="A97" s="17" t="s">
        <v>146</v>
      </c>
      <c r="B97" s="36">
        <v>30000</v>
      </c>
      <c r="C97" s="36">
        <v>0</v>
      </c>
      <c r="D97" s="40">
        <f>IF(B97=0,"   ",C97/B97*100)</f>
        <v>0</v>
      </c>
      <c r="E97" s="107">
        <f>C97-B97</f>
        <v>-30000</v>
      </c>
    </row>
    <row r="98" spans="1:5" s="13" customFormat="1" ht="27.75" thickBot="1">
      <c r="A98" s="60" t="s">
        <v>168</v>
      </c>
      <c r="B98" s="36">
        <v>29900</v>
      </c>
      <c r="C98" s="36">
        <v>0</v>
      </c>
      <c r="D98" s="40">
        <f>IF(B98=0,"   ",C98/B98*100)</f>
        <v>0</v>
      </c>
      <c r="E98" s="107">
        <f>C98-B98</f>
        <v>-29900</v>
      </c>
    </row>
    <row r="99" spans="1:5" s="13" customFormat="1" ht="14.25" thickBot="1">
      <c r="A99" s="92" t="s">
        <v>13</v>
      </c>
      <c r="B99" s="36">
        <f>B115+B102+B104+B124</f>
        <v>3652720</v>
      </c>
      <c r="C99" s="36">
        <f>C115+C102+C104+C124</f>
        <v>170682.96</v>
      </c>
      <c r="D99" s="40">
        <f>IF(B99=0,"   ",C99/B99*100)</f>
        <v>4.672763310628792</v>
      </c>
      <c r="E99" s="107">
        <f>C99-B99</f>
        <v>-3482037.04</v>
      </c>
    </row>
    <row r="100" spans="1:5" s="13" customFormat="1" ht="12.75" customHeight="1" hidden="1">
      <c r="A100" s="68" t="s">
        <v>40</v>
      </c>
      <c r="B100" s="96" t="e">
        <f>SUM(#REF!,B115,#REF!)</f>
        <v>#REF!</v>
      </c>
      <c r="C100" s="96" t="e">
        <f>SUM(#REF!,C115,#REF!)</f>
        <v>#REF!</v>
      </c>
      <c r="D100" s="97" t="e">
        <f>IF(#REF!=0,"   ",C100/#REF!)</f>
        <v>#REF!</v>
      </c>
      <c r="E100" s="98" t="e">
        <f>C100-#REF!</f>
        <v>#REF!</v>
      </c>
    </row>
    <row r="101" spans="1:5" s="13" customFormat="1" ht="12.75" customHeight="1" hidden="1">
      <c r="A101" s="21" t="s">
        <v>18</v>
      </c>
      <c r="B101" s="36">
        <v>851563</v>
      </c>
      <c r="C101" s="107">
        <v>851563</v>
      </c>
      <c r="D101" s="40" t="e">
        <f>IF(#REF!=0,"   ",C101/#REF!)</f>
        <v>#REF!</v>
      </c>
      <c r="E101" s="41" t="e">
        <f>C101-#REF!</f>
        <v>#REF!</v>
      </c>
    </row>
    <row r="102" spans="1:5" s="13" customFormat="1" ht="12.75" customHeight="1">
      <c r="A102" s="21" t="s">
        <v>147</v>
      </c>
      <c r="B102" s="36">
        <f>SUM(B103)</f>
        <v>30000</v>
      </c>
      <c r="C102" s="36">
        <f>SUM(C103)</f>
        <v>0</v>
      </c>
      <c r="D102" s="40">
        <f aca="true" t="shared" si="8" ref="D102:D112">IF(B102=0,"   ",C102/B102*100)</f>
        <v>0</v>
      </c>
      <c r="E102" s="107">
        <f aca="true" t="shared" si="9" ref="E102:E114">C102-B102</f>
        <v>-30000</v>
      </c>
    </row>
    <row r="103" spans="1:5" s="13" customFormat="1" ht="12.75" customHeight="1">
      <c r="A103" s="21" t="s">
        <v>148</v>
      </c>
      <c r="B103" s="36">
        <v>30000</v>
      </c>
      <c r="C103" s="36">
        <v>0</v>
      </c>
      <c r="D103" s="40">
        <f t="shared" si="8"/>
        <v>0</v>
      </c>
      <c r="E103" s="107">
        <f t="shared" si="9"/>
        <v>-30000</v>
      </c>
    </row>
    <row r="104" spans="1:5" s="13" customFormat="1" ht="12.75" customHeight="1">
      <c r="A104" s="21" t="s">
        <v>141</v>
      </c>
      <c r="B104" s="36">
        <f>SUM(B105:B110,B114)</f>
        <v>3332620</v>
      </c>
      <c r="C104" s="36">
        <f>SUM(C105:C110,C114)</f>
        <v>0</v>
      </c>
      <c r="D104" s="40">
        <f t="shared" si="8"/>
        <v>0</v>
      </c>
      <c r="E104" s="107">
        <f t="shared" si="9"/>
        <v>-3332620</v>
      </c>
    </row>
    <row r="105" spans="1:5" s="13" customFormat="1" ht="26.25" customHeight="1">
      <c r="A105" s="21" t="s">
        <v>185</v>
      </c>
      <c r="B105" s="36">
        <v>20000</v>
      </c>
      <c r="C105" s="36">
        <v>0</v>
      </c>
      <c r="D105" s="40">
        <f>IF(B105=0,"   ",C105/B105*100)</f>
        <v>0</v>
      </c>
      <c r="E105" s="107">
        <f>C105-B105</f>
        <v>-20000</v>
      </c>
    </row>
    <row r="106" spans="1:5" s="13" customFormat="1" ht="12.75" customHeight="1">
      <c r="A106" s="38" t="s">
        <v>150</v>
      </c>
      <c r="B106" s="36">
        <v>0</v>
      </c>
      <c r="C106" s="36">
        <v>0</v>
      </c>
      <c r="D106" s="40" t="str">
        <f>IF(B106=0,"   ",C106/B106*100)</f>
        <v>   </v>
      </c>
      <c r="E106" s="107">
        <f>C106-B106</f>
        <v>0</v>
      </c>
    </row>
    <row r="107" spans="1:5" s="13" customFormat="1" ht="12.75" customHeight="1">
      <c r="A107" s="21" t="s">
        <v>316</v>
      </c>
      <c r="B107" s="36">
        <v>450000</v>
      </c>
      <c r="C107" s="36"/>
      <c r="D107" s="40"/>
      <c r="E107" s="107"/>
    </row>
    <row r="108" spans="1:5" s="13" customFormat="1" ht="12.75" customHeight="1">
      <c r="A108" s="21" t="s">
        <v>270</v>
      </c>
      <c r="B108" s="36">
        <v>2862620</v>
      </c>
      <c r="C108" s="36">
        <v>0</v>
      </c>
      <c r="D108" s="40">
        <f t="shared" si="8"/>
        <v>0</v>
      </c>
      <c r="E108" s="107">
        <f t="shared" si="9"/>
        <v>-2862620</v>
      </c>
    </row>
    <row r="109" spans="1:5" s="13" customFormat="1" ht="12.75" customHeight="1">
      <c r="A109" s="21" t="s">
        <v>278</v>
      </c>
      <c r="B109" s="96">
        <v>0</v>
      </c>
      <c r="C109" s="96">
        <v>0</v>
      </c>
      <c r="D109" s="40" t="str">
        <f t="shared" si="8"/>
        <v>   </v>
      </c>
      <c r="E109" s="107">
        <f t="shared" si="9"/>
        <v>0</v>
      </c>
    </row>
    <row r="110" spans="1:5" s="13" customFormat="1" ht="18.75" customHeight="1">
      <c r="A110" s="17" t="s">
        <v>195</v>
      </c>
      <c r="B110" s="96">
        <f>SUM(B111+B112+B113)</f>
        <v>0</v>
      </c>
      <c r="C110" s="96">
        <f>SUM(C111+C112+C113)</f>
        <v>0</v>
      </c>
      <c r="D110" s="40" t="str">
        <f t="shared" si="8"/>
        <v>   </v>
      </c>
      <c r="E110" s="107">
        <f t="shared" si="9"/>
        <v>0</v>
      </c>
    </row>
    <row r="111" spans="1:5" s="13" customFormat="1" ht="22.5" customHeight="1">
      <c r="A111" s="17" t="s">
        <v>177</v>
      </c>
      <c r="B111" s="36">
        <v>0</v>
      </c>
      <c r="C111" s="36">
        <v>0</v>
      </c>
      <c r="D111" s="40" t="str">
        <f t="shared" si="8"/>
        <v>   </v>
      </c>
      <c r="E111" s="107">
        <f t="shared" si="9"/>
        <v>0</v>
      </c>
    </row>
    <row r="112" spans="1:5" s="13" customFormat="1" ht="27" customHeight="1">
      <c r="A112" s="17" t="s">
        <v>196</v>
      </c>
      <c r="B112" s="36">
        <v>0</v>
      </c>
      <c r="C112" s="36">
        <v>0</v>
      </c>
      <c r="D112" s="40" t="str">
        <f t="shared" si="8"/>
        <v>   </v>
      </c>
      <c r="E112" s="107">
        <f t="shared" si="9"/>
        <v>0</v>
      </c>
    </row>
    <row r="113" spans="1:5" s="13" customFormat="1" ht="28.5" customHeight="1">
      <c r="A113" s="17" t="s">
        <v>206</v>
      </c>
      <c r="B113" s="36">
        <v>0</v>
      </c>
      <c r="C113" s="36">
        <v>0</v>
      </c>
      <c r="D113" s="40" t="str">
        <f>IF(B113=0,"   ",C113/B113*100)</f>
        <v>   </v>
      </c>
      <c r="E113" s="107">
        <f t="shared" si="9"/>
        <v>0</v>
      </c>
    </row>
    <row r="114" spans="1:5" s="13" customFormat="1" ht="12.75" customHeight="1">
      <c r="A114" s="21" t="s">
        <v>300</v>
      </c>
      <c r="B114" s="36">
        <v>0</v>
      </c>
      <c r="C114" s="36">
        <v>0</v>
      </c>
      <c r="D114" s="40" t="str">
        <f>IF(B114=0,"   ",C114/B114*100)</f>
        <v>   </v>
      </c>
      <c r="E114" s="107">
        <f t="shared" si="9"/>
        <v>0</v>
      </c>
    </row>
    <row r="115" spans="1:5" s="13" customFormat="1" ht="13.5">
      <c r="A115" s="21" t="s">
        <v>58</v>
      </c>
      <c r="B115" s="36">
        <f>SUM(B116:B120)</f>
        <v>290000</v>
      </c>
      <c r="C115" s="36">
        <f>SUM(C116:C120)</f>
        <v>170682.96</v>
      </c>
      <c r="D115" s="40">
        <f aca="true" t="shared" si="10" ref="D115:D130">IF(B115=0,"   ",C115/B115*100)</f>
        <v>58.85619310344828</v>
      </c>
      <c r="E115" s="41">
        <f aca="true" t="shared" si="11" ref="E115:E130">C115-B115</f>
        <v>-119317.04000000001</v>
      </c>
    </row>
    <row r="116" spans="1:5" s="13" customFormat="1" ht="15" customHeight="1">
      <c r="A116" s="21" t="s">
        <v>56</v>
      </c>
      <c r="B116" s="36">
        <v>290000</v>
      </c>
      <c r="C116" s="107">
        <v>170682.96</v>
      </c>
      <c r="D116" s="40">
        <f t="shared" si="10"/>
        <v>58.85619310344828</v>
      </c>
      <c r="E116" s="41">
        <f t="shared" si="11"/>
        <v>-119317.04000000001</v>
      </c>
    </row>
    <row r="117" spans="1:5" s="13" customFormat="1" ht="32.25" customHeight="1">
      <c r="A117" s="17" t="s">
        <v>158</v>
      </c>
      <c r="B117" s="108">
        <v>0</v>
      </c>
      <c r="C117" s="139">
        <v>0</v>
      </c>
      <c r="D117" s="90" t="str">
        <f t="shared" si="10"/>
        <v>   </v>
      </c>
      <c r="E117" s="91">
        <f t="shared" si="11"/>
        <v>0</v>
      </c>
    </row>
    <row r="118" spans="1:5" s="13" customFormat="1" ht="17.25" customHeight="1">
      <c r="A118" s="17" t="s">
        <v>57</v>
      </c>
      <c r="B118" s="36">
        <v>0</v>
      </c>
      <c r="C118" s="99">
        <v>0</v>
      </c>
      <c r="D118" s="90" t="str">
        <f t="shared" si="10"/>
        <v>   </v>
      </c>
      <c r="E118" s="91">
        <f t="shared" si="11"/>
        <v>0</v>
      </c>
    </row>
    <row r="119" spans="1:5" s="13" customFormat="1" ht="17.25" customHeight="1">
      <c r="A119" s="17" t="s">
        <v>271</v>
      </c>
      <c r="B119" s="36">
        <v>0</v>
      </c>
      <c r="C119" s="99">
        <v>0</v>
      </c>
      <c r="D119" s="90" t="str">
        <f t="shared" si="10"/>
        <v>   </v>
      </c>
      <c r="E119" s="107">
        <f t="shared" si="11"/>
        <v>0</v>
      </c>
    </row>
    <row r="120" spans="1:5" s="13" customFormat="1" ht="17.25" customHeight="1">
      <c r="A120" s="17" t="s">
        <v>195</v>
      </c>
      <c r="B120" s="36">
        <f>SUM(B121+B122+B123)</f>
        <v>0</v>
      </c>
      <c r="C120" s="36">
        <f>SUM(C121+C122+C123)</f>
        <v>0</v>
      </c>
      <c r="D120" s="40" t="str">
        <f t="shared" si="10"/>
        <v>   </v>
      </c>
      <c r="E120" s="107">
        <f t="shared" si="11"/>
        <v>0</v>
      </c>
    </row>
    <row r="121" spans="1:5" s="13" customFormat="1" ht="15.75" customHeight="1">
      <c r="A121" s="17" t="s">
        <v>177</v>
      </c>
      <c r="B121" s="36">
        <v>0</v>
      </c>
      <c r="C121" s="99">
        <v>0</v>
      </c>
      <c r="D121" s="40" t="str">
        <f t="shared" si="10"/>
        <v>   </v>
      </c>
      <c r="E121" s="107">
        <f t="shared" si="11"/>
        <v>0</v>
      </c>
    </row>
    <row r="122" spans="1:5" s="13" customFormat="1" ht="27.75" customHeight="1">
      <c r="A122" s="17" t="s">
        <v>196</v>
      </c>
      <c r="B122" s="36">
        <v>0</v>
      </c>
      <c r="C122" s="99">
        <v>0</v>
      </c>
      <c r="D122" s="40" t="str">
        <f>IF(B122=0,"   ",C122/B122*100)</f>
        <v>   </v>
      </c>
      <c r="E122" s="107">
        <f>C122-B122</f>
        <v>0</v>
      </c>
    </row>
    <row r="123" spans="1:5" s="13" customFormat="1" ht="27" customHeight="1" thickBot="1">
      <c r="A123" s="17" t="s">
        <v>206</v>
      </c>
      <c r="B123" s="36">
        <v>0</v>
      </c>
      <c r="C123" s="99">
        <v>0</v>
      </c>
      <c r="D123" s="40" t="str">
        <f t="shared" si="10"/>
        <v>   </v>
      </c>
      <c r="E123" s="107">
        <f t="shared" si="11"/>
        <v>0</v>
      </c>
    </row>
    <row r="124" spans="1:5" s="13" customFormat="1" ht="18" customHeight="1" thickBot="1">
      <c r="A124" s="62" t="s">
        <v>302</v>
      </c>
      <c r="B124" s="111">
        <f>SUM(B125)</f>
        <v>100</v>
      </c>
      <c r="C124" s="111">
        <f>SUM(C125)</f>
        <v>0</v>
      </c>
      <c r="D124" s="40">
        <f>IF(B124=0,"   ",C124/B124*100)</f>
        <v>0</v>
      </c>
      <c r="E124" s="107">
        <f>C124-B124</f>
        <v>-100</v>
      </c>
    </row>
    <row r="125" spans="1:5" s="13" customFormat="1" ht="15" customHeight="1">
      <c r="A125" s="62" t="s">
        <v>259</v>
      </c>
      <c r="B125" s="36">
        <v>100</v>
      </c>
      <c r="C125" s="99">
        <v>0</v>
      </c>
      <c r="D125" s="40">
        <f>IF(B125=0,"   ",C125/B125*100)</f>
        <v>0</v>
      </c>
      <c r="E125" s="107">
        <f>C125-B125</f>
        <v>-100</v>
      </c>
    </row>
    <row r="126" spans="1:5" s="13" customFormat="1" ht="15" customHeight="1" thickBot="1">
      <c r="A126" s="112" t="s">
        <v>17</v>
      </c>
      <c r="B126" s="106">
        <v>8000</v>
      </c>
      <c r="C126" s="106">
        <v>0</v>
      </c>
      <c r="D126" s="110">
        <f t="shared" si="10"/>
        <v>0</v>
      </c>
      <c r="E126" s="113">
        <f t="shared" si="11"/>
        <v>-8000</v>
      </c>
    </row>
    <row r="127" spans="1:5" s="13" customFormat="1" ht="14.25" thickBot="1">
      <c r="A127" s="92" t="s">
        <v>41</v>
      </c>
      <c r="B127" s="111">
        <f>SUM(B128)</f>
        <v>844700</v>
      </c>
      <c r="C127" s="93">
        <f>SUM(C128)</f>
        <v>396780</v>
      </c>
      <c r="D127" s="94">
        <f t="shared" si="10"/>
        <v>46.972889783355036</v>
      </c>
      <c r="E127" s="95">
        <f t="shared" si="11"/>
        <v>-447920</v>
      </c>
    </row>
    <row r="128" spans="1:5" s="13" customFormat="1" ht="14.25" thickBot="1">
      <c r="A128" s="68" t="s">
        <v>42</v>
      </c>
      <c r="B128" s="96">
        <v>844700</v>
      </c>
      <c r="C128" s="114">
        <v>396780</v>
      </c>
      <c r="D128" s="97">
        <f t="shared" si="10"/>
        <v>46.972889783355036</v>
      </c>
      <c r="E128" s="98">
        <f t="shared" si="11"/>
        <v>-447920</v>
      </c>
    </row>
    <row r="129" spans="1:5" s="13" customFormat="1" ht="19.5" customHeight="1" thickBot="1">
      <c r="A129" s="92" t="s">
        <v>119</v>
      </c>
      <c r="B129" s="111">
        <f>SUM(B130)</f>
        <v>15000</v>
      </c>
      <c r="C129" s="111">
        <f>SUM(C130)</f>
        <v>0</v>
      </c>
      <c r="D129" s="94">
        <f t="shared" si="10"/>
        <v>0</v>
      </c>
      <c r="E129" s="95">
        <f t="shared" si="11"/>
        <v>-15000</v>
      </c>
    </row>
    <row r="130" spans="1:5" s="13" customFormat="1" ht="16.5" customHeight="1">
      <c r="A130" s="60" t="s">
        <v>43</v>
      </c>
      <c r="B130" s="100">
        <v>15000</v>
      </c>
      <c r="C130" s="115">
        <v>0</v>
      </c>
      <c r="D130" s="103">
        <f t="shared" si="10"/>
        <v>0</v>
      </c>
      <c r="E130" s="104">
        <f t="shared" si="11"/>
        <v>-15000</v>
      </c>
    </row>
    <row r="131" spans="1:5" s="13" customFormat="1" ht="16.5" customHeight="1">
      <c r="A131" s="44" t="s">
        <v>15</v>
      </c>
      <c r="B131" s="116">
        <f>SUM(B64,B72,B74,B76,B99,B126,B127,B129,)</f>
        <v>8013620</v>
      </c>
      <c r="C131" s="116">
        <f>SUM(C64,C72,C74,C76,C99,C126,C127,C129,)</f>
        <v>1087415.08</v>
      </c>
      <c r="D131" s="46">
        <f>IF(B131=0,"   ",C131/B131*100)</f>
        <v>13.569586279359392</v>
      </c>
      <c r="E131" s="47">
        <f>C131-B131</f>
        <v>-6926204.92</v>
      </c>
    </row>
    <row r="132" spans="1:5" s="13" customFormat="1" ht="12.75" customHeight="1" hidden="1">
      <c r="A132" s="60" t="s">
        <v>21</v>
      </c>
      <c r="B132" s="140"/>
      <c r="C132" s="101"/>
      <c r="D132" s="97" t="e">
        <f>IF(#REF!=0,"   ",C132/#REF!)</f>
        <v>#REF!</v>
      </c>
      <c r="E132" s="98" t="e">
        <f>C132-#REF!</f>
        <v>#REF!</v>
      </c>
    </row>
    <row r="133" spans="1:5" s="13" customFormat="1" ht="12.75" customHeight="1" hidden="1">
      <c r="A133" s="17" t="s">
        <v>22</v>
      </c>
      <c r="B133" s="141">
        <v>1122919</v>
      </c>
      <c r="C133" s="139">
        <v>815256</v>
      </c>
      <c r="D133" s="40" t="e">
        <f>IF(#REF!=0,"   ",C133/#REF!)</f>
        <v>#REF!</v>
      </c>
      <c r="E133" s="41" t="e">
        <f>C133-#REF!</f>
        <v>#REF!</v>
      </c>
    </row>
    <row r="134" spans="1:5" s="13" customFormat="1" ht="13.5" customHeight="1" hidden="1" thickBot="1">
      <c r="A134" s="17" t="s">
        <v>23</v>
      </c>
      <c r="B134" s="141">
        <v>1700000</v>
      </c>
      <c r="C134" s="142">
        <v>1700000</v>
      </c>
      <c r="D134" s="90" t="e">
        <f>IF(#REF!=0,"   ",C134/#REF!)</f>
        <v>#REF!</v>
      </c>
      <c r="E134" s="91" t="e">
        <f>C134-#REF!</f>
        <v>#REF!</v>
      </c>
    </row>
    <row r="135" spans="1:5" s="13" customFormat="1" ht="33" customHeight="1">
      <c r="A135" s="71" t="s">
        <v>288</v>
      </c>
      <c r="B135" s="71"/>
      <c r="C135" s="167"/>
      <c r="D135" s="167"/>
      <c r="E135" s="167"/>
    </row>
    <row r="136" spans="1:5" s="13" customFormat="1" ht="15.75" customHeight="1">
      <c r="A136" s="71" t="s">
        <v>145</v>
      </c>
      <c r="B136" s="71"/>
      <c r="C136" s="72" t="s">
        <v>289</v>
      </c>
      <c r="D136" s="73"/>
      <c r="E136" s="74"/>
    </row>
    <row r="137" spans="1:5" s="6" customFormat="1" ht="13.5">
      <c r="A137" s="71"/>
      <c r="B137" s="71"/>
      <c r="C137" s="117"/>
      <c r="D137" s="71"/>
      <c r="E137" s="118"/>
    </row>
    <row r="138" spans="1:5" s="6" customFormat="1" ht="13.5">
      <c r="A138" s="71"/>
      <c r="B138" s="71"/>
      <c r="C138" s="117"/>
      <c r="D138" s="71"/>
      <c r="E138" s="118"/>
    </row>
    <row r="139" spans="1:5" s="6" customFormat="1" ht="13.5">
      <c r="A139" s="71"/>
      <c r="B139" s="71"/>
      <c r="C139" s="117"/>
      <c r="D139" s="71"/>
      <c r="E139" s="118"/>
    </row>
    <row r="140" spans="1:5" s="6" customFormat="1" ht="13.5">
      <c r="A140" s="71"/>
      <c r="B140" s="71"/>
      <c r="C140" s="117"/>
      <c r="D140" s="71"/>
      <c r="E140" s="118"/>
    </row>
    <row r="141" spans="1:5" s="6" customFormat="1" ht="13.5">
      <c r="A141" s="71"/>
      <c r="B141" s="71"/>
      <c r="C141" s="117"/>
      <c r="D141" s="71"/>
      <c r="E141" s="118"/>
    </row>
    <row r="142" spans="1:5" s="6" customFormat="1" ht="13.5">
      <c r="A142" s="71"/>
      <c r="B142" s="71"/>
      <c r="C142" s="117"/>
      <c r="D142" s="71"/>
      <c r="E142" s="118"/>
    </row>
    <row r="143" spans="3:5" s="6" customFormat="1" ht="12.75">
      <c r="C143" s="5"/>
      <c r="E143" s="2"/>
    </row>
    <row r="144" spans="3:5" s="6" customFormat="1" ht="12.75">
      <c r="C144" s="5"/>
      <c r="E144" s="2"/>
    </row>
    <row r="145" spans="3:5" s="6" customFormat="1" ht="12.75">
      <c r="C145" s="5"/>
      <c r="E145" s="2"/>
    </row>
    <row r="146" spans="3:5" s="6" customFormat="1" ht="12.75">
      <c r="C146" s="5"/>
      <c r="E146" s="2"/>
    </row>
  </sheetData>
  <sheetProtection/>
  <mergeCells count="2">
    <mergeCell ref="C135:E135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zoomScalePageLayoutView="0" workbookViewId="0" topLeftCell="A85">
      <selection activeCell="C100" sqref="C100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50390625" style="0" customWidth="1"/>
    <col min="5" max="5" width="19.375" style="0" customWidth="1"/>
  </cols>
  <sheetData>
    <row r="1" spans="1:5" ht="13.5">
      <c r="A1" s="168" t="s">
        <v>361</v>
      </c>
      <c r="B1" s="168"/>
      <c r="C1" s="168"/>
      <c r="D1" s="168"/>
      <c r="E1" s="168"/>
    </row>
    <row r="2" spans="1:5" ht="3" customHeight="1" thickBot="1">
      <c r="A2" s="22"/>
      <c r="B2" s="22"/>
      <c r="C2" s="148"/>
      <c r="D2" s="148"/>
      <c r="E2" s="148"/>
    </row>
    <row r="3" spans="1:5" ht="14.25" hidden="1" thickBot="1">
      <c r="A3" s="22"/>
      <c r="B3" s="22"/>
      <c r="C3" s="23"/>
      <c r="D3" s="22"/>
      <c r="E3" s="22" t="s">
        <v>0</v>
      </c>
    </row>
    <row r="4" spans="1:5" ht="66.75" customHeight="1">
      <c r="A4" s="24" t="s">
        <v>1</v>
      </c>
      <c r="B4" s="25" t="s">
        <v>331</v>
      </c>
      <c r="C4" s="26" t="s">
        <v>351</v>
      </c>
      <c r="D4" s="25" t="s">
        <v>332</v>
      </c>
      <c r="E4" s="27" t="s">
        <v>333</v>
      </c>
    </row>
    <row r="5" spans="1:5" ht="13.5">
      <c r="A5" s="28">
        <v>1</v>
      </c>
      <c r="B5" s="29"/>
      <c r="C5" s="30">
        <v>3</v>
      </c>
      <c r="D5" s="31">
        <v>4</v>
      </c>
      <c r="E5" s="32">
        <v>5</v>
      </c>
    </row>
    <row r="6" spans="1:5" ht="13.5" customHeight="1">
      <c r="A6" s="33" t="s">
        <v>2</v>
      </c>
      <c r="B6" s="34"/>
      <c r="C6" s="35"/>
      <c r="D6" s="36"/>
      <c r="E6" s="37"/>
    </row>
    <row r="7" spans="1:5" ht="18.75" customHeight="1">
      <c r="A7" s="38" t="s">
        <v>45</v>
      </c>
      <c r="B7" s="143">
        <f>SUM(B8)</f>
        <v>12300</v>
      </c>
      <c r="C7" s="143">
        <f>SUM(C8)</f>
        <v>4725.83</v>
      </c>
      <c r="D7" s="40">
        <f aca="true" t="shared" si="0" ref="D7:D103">IF(B7=0,"   ",C7/B7*100)</f>
        <v>38.42138211382114</v>
      </c>
      <c r="E7" s="41">
        <f aca="true" t="shared" si="1" ref="E7:E104">C7-B7</f>
        <v>-7574.17</v>
      </c>
    </row>
    <row r="8" spans="1:5" ht="13.5">
      <c r="A8" s="21" t="s">
        <v>44</v>
      </c>
      <c r="B8" s="36">
        <v>12300</v>
      </c>
      <c r="C8" s="86">
        <v>4725.83</v>
      </c>
      <c r="D8" s="40">
        <f t="shared" si="0"/>
        <v>38.42138211382114</v>
      </c>
      <c r="E8" s="41">
        <f t="shared" si="1"/>
        <v>-7574.17</v>
      </c>
    </row>
    <row r="9" spans="1:5" ht="16.5" customHeight="1">
      <c r="A9" s="38" t="s">
        <v>129</v>
      </c>
      <c r="B9" s="143">
        <f>SUM(B10)</f>
        <v>573500</v>
      </c>
      <c r="C9" s="143">
        <f>SUM(C10)</f>
        <v>151545.19</v>
      </c>
      <c r="D9" s="40">
        <f t="shared" si="0"/>
        <v>26.42461900610288</v>
      </c>
      <c r="E9" s="41">
        <f t="shared" si="1"/>
        <v>-421954.81</v>
      </c>
    </row>
    <row r="10" spans="1:5" ht="13.5">
      <c r="A10" s="21" t="s">
        <v>130</v>
      </c>
      <c r="B10" s="36">
        <v>573500</v>
      </c>
      <c r="C10" s="86">
        <v>151545.19</v>
      </c>
      <c r="D10" s="40">
        <f t="shared" si="0"/>
        <v>26.42461900610288</v>
      </c>
      <c r="E10" s="41">
        <f t="shared" si="1"/>
        <v>-421954.81</v>
      </c>
    </row>
    <row r="11" spans="1:5" ht="16.5" customHeight="1">
      <c r="A11" s="21" t="s">
        <v>7</v>
      </c>
      <c r="B11" s="36">
        <f>SUM(B12:B12)</f>
        <v>700</v>
      </c>
      <c r="C11" s="36">
        <f>SUM(C12:C12)</f>
        <v>0</v>
      </c>
      <c r="D11" s="40">
        <f t="shared" si="0"/>
        <v>0</v>
      </c>
      <c r="E11" s="41">
        <f t="shared" si="1"/>
        <v>-700</v>
      </c>
    </row>
    <row r="12" spans="1:5" ht="15" customHeight="1">
      <c r="A12" s="21" t="s">
        <v>26</v>
      </c>
      <c r="B12" s="36">
        <v>700</v>
      </c>
      <c r="C12" s="107">
        <v>0</v>
      </c>
      <c r="D12" s="40">
        <f t="shared" si="0"/>
        <v>0</v>
      </c>
      <c r="E12" s="41">
        <f t="shared" si="1"/>
        <v>-700</v>
      </c>
    </row>
    <row r="13" spans="1:5" ht="15" customHeight="1">
      <c r="A13" s="21" t="s">
        <v>9</v>
      </c>
      <c r="B13" s="36">
        <f>SUM(B14:B15)</f>
        <v>239000</v>
      </c>
      <c r="C13" s="36">
        <f>SUM(C14:C15)</f>
        <v>26604.45</v>
      </c>
      <c r="D13" s="40">
        <f t="shared" si="0"/>
        <v>11.131569037656904</v>
      </c>
      <c r="E13" s="41">
        <f t="shared" si="1"/>
        <v>-212395.55</v>
      </c>
    </row>
    <row r="14" spans="1:5" ht="15" customHeight="1">
      <c r="A14" s="21" t="s">
        <v>106</v>
      </c>
      <c r="B14" s="36">
        <v>27000</v>
      </c>
      <c r="C14" s="86">
        <v>773.22</v>
      </c>
      <c r="D14" s="40">
        <f t="shared" si="0"/>
        <v>2.863777777777778</v>
      </c>
      <c r="E14" s="41">
        <f t="shared" si="1"/>
        <v>-26226.78</v>
      </c>
    </row>
    <row r="15" spans="1:5" ht="15.75" customHeight="1">
      <c r="A15" s="21" t="s">
        <v>151</v>
      </c>
      <c r="B15" s="36">
        <f>SUM(B16:B17)</f>
        <v>212000</v>
      </c>
      <c r="C15" s="36">
        <f>SUM(C16:C17)</f>
        <v>25831.23</v>
      </c>
      <c r="D15" s="40">
        <f t="shared" si="0"/>
        <v>12.184542452830188</v>
      </c>
      <c r="E15" s="41">
        <f t="shared" si="1"/>
        <v>-186168.77</v>
      </c>
    </row>
    <row r="16" spans="1:5" ht="15.75" customHeight="1">
      <c r="A16" s="21" t="s">
        <v>152</v>
      </c>
      <c r="B16" s="36">
        <v>121000</v>
      </c>
      <c r="C16" s="86">
        <v>23071.51</v>
      </c>
      <c r="D16" s="40">
        <f t="shared" si="0"/>
        <v>19.067363636363634</v>
      </c>
      <c r="E16" s="41">
        <f t="shared" si="1"/>
        <v>-97928.49</v>
      </c>
    </row>
    <row r="17" spans="1:5" ht="15.75" customHeight="1">
      <c r="A17" s="21" t="s">
        <v>153</v>
      </c>
      <c r="B17" s="36">
        <v>91000</v>
      </c>
      <c r="C17" s="86">
        <v>2759.72</v>
      </c>
      <c r="D17" s="40">
        <f t="shared" si="0"/>
        <v>3.0326593406593405</v>
      </c>
      <c r="E17" s="41">
        <f t="shared" si="1"/>
        <v>-88240.28</v>
      </c>
    </row>
    <row r="18" spans="1:5" ht="15.75" customHeight="1">
      <c r="A18" s="21" t="s">
        <v>186</v>
      </c>
      <c r="B18" s="36">
        <v>0</v>
      </c>
      <c r="C18" s="107">
        <v>0</v>
      </c>
      <c r="D18" s="40" t="str">
        <f t="shared" si="0"/>
        <v>   </v>
      </c>
      <c r="E18" s="41">
        <f t="shared" si="1"/>
        <v>0</v>
      </c>
    </row>
    <row r="19" spans="1:5" ht="28.5" customHeight="1">
      <c r="A19" s="21" t="s">
        <v>86</v>
      </c>
      <c r="B19" s="36">
        <v>0</v>
      </c>
      <c r="C19" s="36">
        <v>0</v>
      </c>
      <c r="D19" s="40" t="str">
        <f t="shared" si="0"/>
        <v>   </v>
      </c>
      <c r="E19" s="41">
        <f t="shared" si="1"/>
        <v>0</v>
      </c>
    </row>
    <row r="20" spans="1:5" ht="25.5" customHeight="1">
      <c r="A20" s="21" t="s">
        <v>28</v>
      </c>
      <c r="B20" s="36">
        <f>SUM(B21:B23)</f>
        <v>243800</v>
      </c>
      <c r="C20" s="36">
        <f>SUM(C21:C23)</f>
        <v>64947.65</v>
      </c>
      <c r="D20" s="40">
        <f t="shared" si="0"/>
        <v>26.63972518457752</v>
      </c>
      <c r="E20" s="41">
        <f t="shared" si="1"/>
        <v>-178852.35</v>
      </c>
    </row>
    <row r="21" spans="1:5" ht="13.5">
      <c r="A21" s="21" t="s">
        <v>142</v>
      </c>
      <c r="B21" s="36">
        <v>0</v>
      </c>
      <c r="C21" s="107">
        <v>0</v>
      </c>
      <c r="D21" s="40" t="str">
        <f t="shared" si="0"/>
        <v>   </v>
      </c>
      <c r="E21" s="41">
        <f t="shared" si="1"/>
        <v>0</v>
      </c>
    </row>
    <row r="22" spans="1:5" ht="27">
      <c r="A22" s="21" t="s">
        <v>248</v>
      </c>
      <c r="B22" s="36">
        <v>0</v>
      </c>
      <c r="C22" s="107">
        <v>0</v>
      </c>
      <c r="D22" s="40" t="str">
        <f>IF(B22=0,"   ",C22/B22*100)</f>
        <v>   </v>
      </c>
      <c r="E22" s="41">
        <f>C22-B22</f>
        <v>0</v>
      </c>
    </row>
    <row r="23" spans="1:5" ht="16.5" customHeight="1">
      <c r="A23" s="21" t="s">
        <v>143</v>
      </c>
      <c r="B23" s="36">
        <v>243800</v>
      </c>
      <c r="C23" s="107">
        <v>64947.65</v>
      </c>
      <c r="D23" s="40">
        <f t="shared" si="0"/>
        <v>26.63972518457752</v>
      </c>
      <c r="E23" s="41">
        <f t="shared" si="1"/>
        <v>-178852.35</v>
      </c>
    </row>
    <row r="24" spans="1:5" ht="17.25" customHeight="1">
      <c r="A24" s="21" t="s">
        <v>88</v>
      </c>
      <c r="B24" s="36">
        <v>0</v>
      </c>
      <c r="C24" s="107">
        <v>0</v>
      </c>
      <c r="D24" s="40" t="str">
        <f t="shared" si="0"/>
        <v>   </v>
      </c>
      <c r="E24" s="41">
        <f t="shared" si="1"/>
        <v>0</v>
      </c>
    </row>
    <row r="25" spans="1:5" ht="14.25" customHeight="1">
      <c r="A25" s="21" t="s">
        <v>78</v>
      </c>
      <c r="B25" s="36">
        <f>SUM(B26)</f>
        <v>0</v>
      </c>
      <c r="C25" s="36">
        <f>SUM(C26)</f>
        <v>0</v>
      </c>
      <c r="D25" s="40" t="str">
        <f t="shared" si="0"/>
        <v>   </v>
      </c>
      <c r="E25" s="41">
        <f t="shared" si="1"/>
        <v>0</v>
      </c>
    </row>
    <row r="26" spans="1:5" ht="27" customHeight="1">
      <c r="A26" s="21" t="s">
        <v>159</v>
      </c>
      <c r="B26" s="143">
        <v>0</v>
      </c>
      <c r="C26" s="107">
        <v>0</v>
      </c>
      <c r="D26" s="40" t="str">
        <f t="shared" si="0"/>
        <v>   </v>
      </c>
      <c r="E26" s="41">
        <f t="shared" si="1"/>
        <v>0</v>
      </c>
    </row>
    <row r="27" spans="1:5" ht="15.75" customHeight="1">
      <c r="A27" s="21" t="s">
        <v>32</v>
      </c>
      <c r="B27" s="36">
        <f>SUM(B29)</f>
        <v>0</v>
      </c>
      <c r="C27" s="36">
        <f>C29+C28</f>
        <v>0</v>
      </c>
      <c r="D27" s="40" t="str">
        <f t="shared" si="0"/>
        <v>   </v>
      </c>
      <c r="E27" s="41">
        <f t="shared" si="1"/>
        <v>0</v>
      </c>
    </row>
    <row r="28" spans="1:5" ht="15.75" customHeight="1">
      <c r="A28" s="21" t="s">
        <v>121</v>
      </c>
      <c r="B28" s="36">
        <v>0</v>
      </c>
      <c r="C28" s="36">
        <v>0</v>
      </c>
      <c r="D28" s="40"/>
      <c r="E28" s="41">
        <f t="shared" si="1"/>
        <v>0</v>
      </c>
    </row>
    <row r="29" spans="1:5" ht="17.25" customHeight="1">
      <c r="A29" s="21" t="s">
        <v>50</v>
      </c>
      <c r="B29" s="36">
        <v>0</v>
      </c>
      <c r="C29" s="107">
        <v>0</v>
      </c>
      <c r="D29" s="40" t="str">
        <f t="shared" si="0"/>
        <v>   </v>
      </c>
      <c r="E29" s="41">
        <f t="shared" si="1"/>
        <v>0</v>
      </c>
    </row>
    <row r="30" spans="1:5" ht="24" customHeight="1">
      <c r="A30" s="44" t="s">
        <v>10</v>
      </c>
      <c r="B30" s="156">
        <f>B7+B11+B13+B20+B24+B25+B27+B9+B19+B18</f>
        <v>1069300</v>
      </c>
      <c r="C30" s="156">
        <f>C7+C11+C13+C20+C24+C25+C27+C9+C19+C18</f>
        <v>247823.12</v>
      </c>
      <c r="D30" s="46">
        <f t="shared" si="0"/>
        <v>23.17620125315627</v>
      </c>
      <c r="E30" s="47">
        <f t="shared" si="1"/>
        <v>-821476.88</v>
      </c>
    </row>
    <row r="31" spans="1:5" ht="21" customHeight="1">
      <c r="A31" s="62" t="s">
        <v>132</v>
      </c>
      <c r="B31" s="145">
        <f>SUM(B32:B35,B38,B39,B44+B45+B46+B47)</f>
        <v>2829278.8</v>
      </c>
      <c r="C31" s="145">
        <f>SUM(C32:C35,C38,C39,C44+C45+C46+C47)</f>
        <v>492950</v>
      </c>
      <c r="D31" s="46">
        <f t="shared" si="0"/>
        <v>17.42316805257934</v>
      </c>
      <c r="E31" s="47">
        <f t="shared" si="1"/>
        <v>-2336328.8</v>
      </c>
    </row>
    <row r="32" spans="1:5" ht="15.75" customHeight="1">
      <c r="A32" s="38" t="s">
        <v>34</v>
      </c>
      <c r="B32" s="143">
        <v>1406100</v>
      </c>
      <c r="C32" s="86">
        <v>351455</v>
      </c>
      <c r="D32" s="40">
        <f t="shared" si="0"/>
        <v>24.995021691202616</v>
      </c>
      <c r="E32" s="41">
        <f t="shared" si="1"/>
        <v>-1054645</v>
      </c>
    </row>
    <row r="33" spans="1:5" ht="15.75" customHeight="1">
      <c r="A33" s="38" t="s">
        <v>217</v>
      </c>
      <c r="B33" s="143">
        <v>0</v>
      </c>
      <c r="C33" s="86">
        <v>0</v>
      </c>
      <c r="D33" s="40" t="str">
        <f>IF(B33=0,"   ",C33/B33*100)</f>
        <v>   </v>
      </c>
      <c r="E33" s="41">
        <f>C33-B33</f>
        <v>0</v>
      </c>
    </row>
    <row r="34" spans="1:5" ht="26.25" customHeight="1">
      <c r="A34" s="52" t="s">
        <v>51</v>
      </c>
      <c r="B34" s="85">
        <v>94300</v>
      </c>
      <c r="C34" s="161">
        <v>29000</v>
      </c>
      <c r="D34" s="54">
        <f t="shared" si="0"/>
        <v>30.75291622481442</v>
      </c>
      <c r="E34" s="55">
        <f t="shared" si="1"/>
        <v>-65300</v>
      </c>
    </row>
    <row r="35" spans="1:5" ht="29.25" customHeight="1">
      <c r="A35" s="52" t="s">
        <v>139</v>
      </c>
      <c r="B35" s="36">
        <f>SUM(B36:B37)</f>
        <v>100</v>
      </c>
      <c r="C35" s="36">
        <f>SUM(C36:C37)</f>
        <v>0</v>
      </c>
      <c r="D35" s="40">
        <f t="shared" si="0"/>
        <v>0</v>
      </c>
      <c r="E35" s="41">
        <f t="shared" si="1"/>
        <v>-100</v>
      </c>
    </row>
    <row r="36" spans="1:5" ht="14.25" customHeight="1">
      <c r="A36" s="52" t="s">
        <v>154</v>
      </c>
      <c r="B36" s="36">
        <v>100</v>
      </c>
      <c r="C36" s="107">
        <v>0</v>
      </c>
      <c r="D36" s="40">
        <f>IF(B36=0,"   ",C36/B36*100)</f>
        <v>0</v>
      </c>
      <c r="E36" s="41">
        <f>C36-B36</f>
        <v>-100</v>
      </c>
    </row>
    <row r="37" spans="1:5" ht="29.25" customHeight="1">
      <c r="A37" s="52" t="s">
        <v>155</v>
      </c>
      <c r="B37" s="36">
        <v>0</v>
      </c>
      <c r="C37" s="107">
        <v>0</v>
      </c>
      <c r="D37" s="40" t="str">
        <f>IF(B37=0,"   ",C37/B37*100)</f>
        <v>   </v>
      </c>
      <c r="E37" s="41">
        <f>C37-B37</f>
        <v>0</v>
      </c>
    </row>
    <row r="38" spans="1:5" ht="54.75" customHeight="1">
      <c r="A38" s="21" t="s">
        <v>225</v>
      </c>
      <c r="B38" s="36">
        <v>921700</v>
      </c>
      <c r="C38" s="107">
        <v>0</v>
      </c>
      <c r="D38" s="40">
        <f>IF(B38=0,"   ",C38/B38*100)</f>
        <v>0</v>
      </c>
      <c r="E38" s="41">
        <f>C38-B38</f>
        <v>-921700</v>
      </c>
    </row>
    <row r="39" spans="1:5" ht="18" customHeight="1">
      <c r="A39" s="21" t="s">
        <v>82</v>
      </c>
      <c r="B39" s="36">
        <f>SUM(B40:B43)</f>
        <v>407078.8</v>
      </c>
      <c r="C39" s="36">
        <f>SUM(C40:C43)</f>
        <v>112495</v>
      </c>
      <c r="D39" s="40">
        <f t="shared" si="0"/>
        <v>27.634698736460855</v>
      </c>
      <c r="E39" s="41">
        <f t="shared" si="1"/>
        <v>-294583.8</v>
      </c>
    </row>
    <row r="40" spans="1:5" ht="27" customHeight="1">
      <c r="A40" s="21" t="s">
        <v>178</v>
      </c>
      <c r="B40" s="36">
        <v>85078.8</v>
      </c>
      <c r="C40" s="36">
        <v>0</v>
      </c>
      <c r="D40" s="40">
        <f>IF(B40=0,"   ",C40/B40*100)</f>
        <v>0</v>
      </c>
      <c r="E40" s="41">
        <f>C40-B40</f>
        <v>-85078.8</v>
      </c>
    </row>
    <row r="41" spans="1:5" ht="18.75" customHeight="1">
      <c r="A41" s="21" t="s">
        <v>290</v>
      </c>
      <c r="B41" s="36">
        <v>9100</v>
      </c>
      <c r="C41" s="36">
        <v>0</v>
      </c>
      <c r="D41" s="40">
        <f>IF(B41=0,"   ",C41/B41*100)</f>
        <v>0</v>
      </c>
      <c r="E41" s="41">
        <f>C41-B41</f>
        <v>-9100</v>
      </c>
    </row>
    <row r="42" spans="1:5" ht="17.25" customHeight="1">
      <c r="A42" s="21" t="s">
        <v>267</v>
      </c>
      <c r="B42" s="36">
        <v>0</v>
      </c>
      <c r="C42" s="36">
        <v>0</v>
      </c>
      <c r="D42" s="40" t="str">
        <f>IF(B42=0,"   ",C42/B42*100)</f>
        <v>   </v>
      </c>
      <c r="E42" s="41">
        <f>C42-B42</f>
        <v>0</v>
      </c>
    </row>
    <row r="43" spans="1:5" ht="17.25" customHeight="1">
      <c r="A43" s="21" t="s">
        <v>104</v>
      </c>
      <c r="B43" s="36">
        <v>312900</v>
      </c>
      <c r="C43" s="36">
        <v>112495</v>
      </c>
      <c r="D43" s="40">
        <f t="shared" si="0"/>
        <v>35.95238095238095</v>
      </c>
      <c r="E43" s="41">
        <f t="shared" si="1"/>
        <v>-200405</v>
      </c>
    </row>
    <row r="44" spans="1:5" ht="30.75" customHeight="1">
      <c r="A44" s="21" t="s">
        <v>322</v>
      </c>
      <c r="B44" s="36">
        <v>0</v>
      </c>
      <c r="C44" s="36">
        <v>0</v>
      </c>
      <c r="D44" s="40" t="str">
        <f t="shared" si="0"/>
        <v>   </v>
      </c>
      <c r="E44" s="41">
        <f t="shared" si="1"/>
        <v>0</v>
      </c>
    </row>
    <row r="45" spans="1:5" ht="30.75" customHeight="1">
      <c r="A45" s="21" t="s">
        <v>330</v>
      </c>
      <c r="B45" s="36">
        <v>0</v>
      </c>
      <c r="C45" s="36">
        <v>0</v>
      </c>
      <c r="D45" s="40" t="str">
        <f t="shared" si="0"/>
        <v>   </v>
      </c>
      <c r="E45" s="41">
        <f t="shared" si="1"/>
        <v>0</v>
      </c>
    </row>
    <row r="46" spans="1:5" s="6" customFormat="1" ht="42" customHeight="1">
      <c r="A46" s="21" t="s">
        <v>98</v>
      </c>
      <c r="B46" s="36">
        <v>0</v>
      </c>
      <c r="C46" s="107">
        <v>0</v>
      </c>
      <c r="D46" s="40" t="str">
        <f t="shared" si="0"/>
        <v>   </v>
      </c>
      <c r="E46" s="41">
        <f t="shared" si="1"/>
        <v>0</v>
      </c>
    </row>
    <row r="47" spans="1:5" s="6" customFormat="1" ht="21" customHeight="1">
      <c r="A47" s="21" t="s">
        <v>188</v>
      </c>
      <c r="B47" s="36">
        <v>0</v>
      </c>
      <c r="C47" s="107">
        <v>0</v>
      </c>
      <c r="D47" s="40" t="str">
        <f t="shared" si="0"/>
        <v>   </v>
      </c>
      <c r="E47" s="41">
        <f t="shared" si="1"/>
        <v>0</v>
      </c>
    </row>
    <row r="48" spans="1:5" ht="26.25" customHeight="1">
      <c r="A48" s="44" t="s">
        <v>11</v>
      </c>
      <c r="B48" s="116">
        <f>SUM(B30,B31,)</f>
        <v>3898578.8</v>
      </c>
      <c r="C48" s="116">
        <f>SUM(C30,C31,)</f>
        <v>740773.12</v>
      </c>
      <c r="D48" s="46">
        <f t="shared" si="0"/>
        <v>19.00110676228989</v>
      </c>
      <c r="E48" s="47">
        <f t="shared" si="1"/>
        <v>-3157805.6799999997</v>
      </c>
    </row>
    <row r="49" spans="1:5" ht="37.5" customHeight="1">
      <c r="A49" s="44"/>
      <c r="B49" s="143"/>
      <c r="C49" s="36"/>
      <c r="D49" s="40" t="str">
        <f t="shared" si="0"/>
        <v>   </v>
      </c>
      <c r="E49" s="41"/>
    </row>
    <row r="50" spans="1:5" ht="36.75" customHeight="1">
      <c r="A50" s="33" t="s">
        <v>12</v>
      </c>
      <c r="B50" s="154"/>
      <c r="C50" s="155"/>
      <c r="D50" s="40" t="str">
        <f t="shared" si="0"/>
        <v>   </v>
      </c>
      <c r="E50" s="41"/>
    </row>
    <row r="51" spans="1:5" ht="18.75" customHeight="1">
      <c r="A51" s="21" t="s">
        <v>35</v>
      </c>
      <c r="B51" s="107">
        <f>SUM(B52,B55,B56)</f>
        <v>1227300</v>
      </c>
      <c r="C51" s="107">
        <f>SUM(C52,C56)</f>
        <v>213745.46</v>
      </c>
      <c r="D51" s="40">
        <f t="shared" si="0"/>
        <v>17.415909720524727</v>
      </c>
      <c r="E51" s="41">
        <f t="shared" si="1"/>
        <v>-1013554.54</v>
      </c>
    </row>
    <row r="52" spans="1:5" ht="16.5" customHeight="1">
      <c r="A52" s="21" t="s">
        <v>36</v>
      </c>
      <c r="B52" s="36">
        <v>1216800</v>
      </c>
      <c r="C52" s="36">
        <v>213745.46</v>
      </c>
      <c r="D52" s="40">
        <f t="shared" si="0"/>
        <v>17.56619493754109</v>
      </c>
      <c r="E52" s="41">
        <f t="shared" si="1"/>
        <v>-1003054.54</v>
      </c>
    </row>
    <row r="53" spans="1:5" ht="13.5">
      <c r="A53" s="21" t="s">
        <v>117</v>
      </c>
      <c r="B53" s="36">
        <v>813825</v>
      </c>
      <c r="C53" s="99">
        <v>155115</v>
      </c>
      <c r="D53" s="40">
        <f t="shared" si="0"/>
        <v>19.059994470555708</v>
      </c>
      <c r="E53" s="41">
        <f t="shared" si="1"/>
        <v>-658710</v>
      </c>
    </row>
    <row r="54" spans="1:5" ht="13.5">
      <c r="A54" s="21" t="s">
        <v>324</v>
      </c>
      <c r="B54" s="36">
        <v>0</v>
      </c>
      <c r="C54" s="99">
        <v>0</v>
      </c>
      <c r="D54" s="40" t="str">
        <f>IF(B54=0,"   ",C54/B54*100)</f>
        <v>   </v>
      </c>
      <c r="E54" s="41">
        <f>C54-B54</f>
        <v>0</v>
      </c>
    </row>
    <row r="55" spans="1:5" ht="13.5">
      <c r="A55" s="21" t="s">
        <v>97</v>
      </c>
      <c r="B55" s="36">
        <v>500</v>
      </c>
      <c r="C55" s="107">
        <v>0</v>
      </c>
      <c r="D55" s="40">
        <f t="shared" si="0"/>
        <v>0</v>
      </c>
      <c r="E55" s="41">
        <f t="shared" si="1"/>
        <v>-500</v>
      </c>
    </row>
    <row r="56" spans="1:5" ht="13.5">
      <c r="A56" s="21" t="s">
        <v>52</v>
      </c>
      <c r="B56" s="107">
        <f>SUM(B57)</f>
        <v>10000</v>
      </c>
      <c r="C56" s="107">
        <f>SUM(C57)</f>
        <v>0</v>
      </c>
      <c r="D56" s="40">
        <f t="shared" si="0"/>
        <v>0</v>
      </c>
      <c r="E56" s="41">
        <f t="shared" si="1"/>
        <v>-10000</v>
      </c>
    </row>
    <row r="57" spans="1:5" ht="27">
      <c r="A57" s="17" t="s">
        <v>231</v>
      </c>
      <c r="B57" s="36">
        <v>10000</v>
      </c>
      <c r="C57" s="107">
        <v>0</v>
      </c>
      <c r="D57" s="40">
        <f t="shared" si="0"/>
        <v>0</v>
      </c>
      <c r="E57" s="41">
        <f t="shared" si="1"/>
        <v>-10000</v>
      </c>
    </row>
    <row r="58" spans="1:5" ht="19.5" customHeight="1">
      <c r="A58" s="21" t="s">
        <v>49</v>
      </c>
      <c r="B58" s="107">
        <f>SUM(B59)</f>
        <v>94300</v>
      </c>
      <c r="C58" s="107">
        <f>SUM(C59)</f>
        <v>20901.82</v>
      </c>
      <c r="D58" s="40">
        <f t="shared" si="0"/>
        <v>22.16523860021209</v>
      </c>
      <c r="E58" s="41">
        <f t="shared" si="1"/>
        <v>-73398.18</v>
      </c>
    </row>
    <row r="59" spans="1:5" ht="19.5" customHeight="1">
      <c r="A59" s="21" t="s">
        <v>102</v>
      </c>
      <c r="B59" s="36">
        <v>94300</v>
      </c>
      <c r="C59" s="107">
        <v>20901.82</v>
      </c>
      <c r="D59" s="40">
        <f t="shared" si="0"/>
        <v>22.16523860021209</v>
      </c>
      <c r="E59" s="41">
        <f t="shared" si="1"/>
        <v>-73398.18</v>
      </c>
    </row>
    <row r="60" spans="1:5" ht="16.5" customHeight="1">
      <c r="A60" s="21" t="s">
        <v>37</v>
      </c>
      <c r="B60" s="36">
        <f>SUM(B61)</f>
        <v>5000</v>
      </c>
      <c r="C60" s="107">
        <f>SUM(C61)</f>
        <v>0</v>
      </c>
      <c r="D60" s="40">
        <f t="shared" si="0"/>
        <v>0</v>
      </c>
      <c r="E60" s="41">
        <f t="shared" si="1"/>
        <v>-5000</v>
      </c>
    </row>
    <row r="61" spans="1:5" ht="30" customHeight="1">
      <c r="A61" s="60" t="s">
        <v>315</v>
      </c>
      <c r="B61" s="36">
        <v>5000</v>
      </c>
      <c r="C61" s="107">
        <v>0</v>
      </c>
      <c r="D61" s="40">
        <f t="shared" si="0"/>
        <v>0</v>
      </c>
      <c r="E61" s="41">
        <f t="shared" si="1"/>
        <v>-5000</v>
      </c>
    </row>
    <row r="62" spans="1:5" ht="19.5" customHeight="1">
      <c r="A62" s="21" t="s">
        <v>38</v>
      </c>
      <c r="B62" s="36">
        <f>B68+B63+B76</f>
        <v>1888600</v>
      </c>
      <c r="C62" s="36">
        <f>C68+C63+C76</f>
        <v>144260.34</v>
      </c>
      <c r="D62" s="40">
        <f t="shared" si="0"/>
        <v>7.638480355819125</v>
      </c>
      <c r="E62" s="41">
        <f t="shared" si="1"/>
        <v>-1744339.66</v>
      </c>
    </row>
    <row r="63" spans="1:5" ht="19.5" customHeight="1">
      <c r="A63" s="62" t="s">
        <v>156</v>
      </c>
      <c r="B63" s="36">
        <f>SUM(B64:B67)</f>
        <v>9700</v>
      </c>
      <c r="C63" s="36">
        <f>SUM(C64:C67)</f>
        <v>0</v>
      </c>
      <c r="D63" s="40">
        <f>IF(B63=0,"   ",C63/B63*100)</f>
        <v>0</v>
      </c>
      <c r="E63" s="41">
        <f>C63-B63</f>
        <v>-9700</v>
      </c>
    </row>
    <row r="64" spans="1:5" ht="15" customHeight="1">
      <c r="A64" s="62" t="s">
        <v>160</v>
      </c>
      <c r="B64" s="36">
        <v>0</v>
      </c>
      <c r="C64" s="36">
        <v>0</v>
      </c>
      <c r="D64" s="40" t="str">
        <f>IF(B64=0,"   ",C64/B64*100)</f>
        <v>   </v>
      </c>
      <c r="E64" s="41">
        <f>C64-B64</f>
        <v>0</v>
      </c>
    </row>
    <row r="65" spans="1:5" ht="13.5" customHeight="1">
      <c r="A65" s="62" t="s">
        <v>157</v>
      </c>
      <c r="B65" s="36">
        <v>0</v>
      </c>
      <c r="C65" s="36">
        <v>0</v>
      </c>
      <c r="D65" s="40" t="str">
        <f>IF(B65=0,"   ",C65/B65*100)</f>
        <v>   </v>
      </c>
      <c r="E65" s="41">
        <f>C65-B65</f>
        <v>0</v>
      </c>
    </row>
    <row r="66" spans="1:5" ht="13.5" customHeight="1">
      <c r="A66" s="60" t="s">
        <v>291</v>
      </c>
      <c r="B66" s="36">
        <v>9100</v>
      </c>
      <c r="C66" s="36">
        <v>0</v>
      </c>
      <c r="D66" s="40">
        <f>IF(B66=0,"   ",C66/B66*100)</f>
        <v>0</v>
      </c>
      <c r="E66" s="41">
        <f>C66-B66</f>
        <v>-9100</v>
      </c>
    </row>
    <row r="67" spans="1:5" ht="13.5" customHeight="1">
      <c r="A67" s="60" t="s">
        <v>292</v>
      </c>
      <c r="B67" s="36">
        <v>600</v>
      </c>
      <c r="C67" s="36">
        <v>0</v>
      </c>
      <c r="D67" s="40">
        <f>IF(B67=0,"   ",C67/B67*100)</f>
        <v>0</v>
      </c>
      <c r="E67" s="41">
        <f>C67-B67</f>
        <v>-600</v>
      </c>
    </row>
    <row r="68" spans="1:5" ht="13.5">
      <c r="A68" s="62" t="s">
        <v>124</v>
      </c>
      <c r="B68" s="36">
        <f>SUM(B69:B75)</f>
        <v>1808100</v>
      </c>
      <c r="C68" s="36">
        <f>SUM(C69:C75)</f>
        <v>144260.34</v>
      </c>
      <c r="D68" s="40">
        <f t="shared" si="0"/>
        <v>7.97855981416957</v>
      </c>
      <c r="E68" s="41">
        <f t="shared" si="1"/>
        <v>-1663839.66</v>
      </c>
    </row>
    <row r="69" spans="1:5" ht="19.5" customHeight="1">
      <c r="A69" s="60" t="s">
        <v>140</v>
      </c>
      <c r="B69" s="36">
        <v>0</v>
      </c>
      <c r="C69" s="36">
        <v>0</v>
      </c>
      <c r="D69" s="40" t="str">
        <f t="shared" si="0"/>
        <v>   </v>
      </c>
      <c r="E69" s="41">
        <f t="shared" si="1"/>
        <v>0</v>
      </c>
    </row>
    <row r="70" spans="1:5" ht="25.5" customHeight="1">
      <c r="A70" s="17" t="s">
        <v>236</v>
      </c>
      <c r="B70" s="36">
        <v>386200</v>
      </c>
      <c r="C70" s="36">
        <v>14260.34</v>
      </c>
      <c r="D70" s="40">
        <f t="shared" si="0"/>
        <v>3.6924754013464525</v>
      </c>
      <c r="E70" s="41">
        <f t="shared" si="1"/>
        <v>-371939.66</v>
      </c>
    </row>
    <row r="71" spans="1:5" ht="27.75" customHeight="1">
      <c r="A71" s="17" t="s">
        <v>237</v>
      </c>
      <c r="B71" s="36">
        <v>50000</v>
      </c>
      <c r="C71" s="36">
        <v>0</v>
      </c>
      <c r="D71" s="40">
        <f t="shared" si="0"/>
        <v>0</v>
      </c>
      <c r="E71" s="41">
        <f t="shared" si="1"/>
        <v>-50000</v>
      </c>
    </row>
    <row r="72" spans="1:5" ht="31.5" customHeight="1">
      <c r="A72" s="17" t="s">
        <v>238</v>
      </c>
      <c r="B72" s="36">
        <v>921700</v>
      </c>
      <c r="C72" s="36">
        <v>0</v>
      </c>
      <c r="D72" s="40">
        <f t="shared" si="0"/>
        <v>0</v>
      </c>
      <c r="E72" s="41">
        <f t="shared" si="1"/>
        <v>-921700</v>
      </c>
    </row>
    <row r="73" spans="1:5" ht="27.75" customHeight="1">
      <c r="A73" s="17" t="s">
        <v>239</v>
      </c>
      <c r="B73" s="36">
        <v>102500</v>
      </c>
      <c r="C73" s="36">
        <v>0</v>
      </c>
      <c r="D73" s="40">
        <f t="shared" si="0"/>
        <v>0</v>
      </c>
      <c r="E73" s="41">
        <f t="shared" si="1"/>
        <v>-102500</v>
      </c>
    </row>
    <row r="74" spans="1:5" ht="28.5" customHeight="1">
      <c r="A74" s="17" t="s">
        <v>240</v>
      </c>
      <c r="B74" s="36">
        <v>312900</v>
      </c>
      <c r="C74" s="36">
        <v>112495</v>
      </c>
      <c r="D74" s="40">
        <f t="shared" si="0"/>
        <v>35.95238095238095</v>
      </c>
      <c r="E74" s="41">
        <f t="shared" si="1"/>
        <v>-200405</v>
      </c>
    </row>
    <row r="75" spans="1:5" ht="30" customHeight="1">
      <c r="A75" s="17" t="s">
        <v>241</v>
      </c>
      <c r="B75" s="36">
        <v>34800</v>
      </c>
      <c r="C75" s="36">
        <v>17505</v>
      </c>
      <c r="D75" s="40">
        <f t="shared" si="0"/>
        <v>50.30172413793104</v>
      </c>
      <c r="E75" s="41">
        <f t="shared" si="1"/>
        <v>-17295</v>
      </c>
    </row>
    <row r="76" spans="1:5" ht="24" customHeight="1">
      <c r="A76" s="68" t="s">
        <v>167</v>
      </c>
      <c r="B76" s="36">
        <f>SUM(B77+B78)</f>
        <v>70800</v>
      </c>
      <c r="C76" s="36">
        <f>SUM(C77+C78)</f>
        <v>0</v>
      </c>
      <c r="D76" s="40">
        <f>IF(B76=0,"   ",C76/B76*100)</f>
        <v>0</v>
      </c>
      <c r="E76" s="41">
        <f>C76-B76</f>
        <v>-70800</v>
      </c>
    </row>
    <row r="77" spans="1:5" ht="24" customHeight="1">
      <c r="A77" s="62" t="s">
        <v>146</v>
      </c>
      <c r="B77" s="36">
        <v>40000</v>
      </c>
      <c r="C77" s="36">
        <v>0</v>
      </c>
      <c r="D77" s="40">
        <f>IF(B77=0,"   ",C77/B77*100)</f>
        <v>0</v>
      </c>
      <c r="E77" s="41">
        <f>C77-B77</f>
        <v>-40000</v>
      </c>
    </row>
    <row r="78" spans="1:5" ht="30" customHeight="1">
      <c r="A78" s="60" t="s">
        <v>168</v>
      </c>
      <c r="B78" s="36">
        <v>30800</v>
      </c>
      <c r="C78" s="36">
        <v>0</v>
      </c>
      <c r="D78" s="40">
        <f>IF(B78=0,"   ",C78/B78*100)</f>
        <v>0</v>
      </c>
      <c r="E78" s="41">
        <f>C78-B78</f>
        <v>-30800</v>
      </c>
    </row>
    <row r="79" spans="1:5" ht="15" customHeight="1">
      <c r="A79" s="21" t="s">
        <v>13</v>
      </c>
      <c r="B79" s="36">
        <f>SUM(B86,B80+B95)</f>
        <v>325178.8</v>
      </c>
      <c r="C79" s="36">
        <f>SUM(C86,C80+C95)</f>
        <v>50922.36</v>
      </c>
      <c r="D79" s="40">
        <f t="shared" si="0"/>
        <v>15.659803160599647</v>
      </c>
      <c r="E79" s="41">
        <f t="shared" si="1"/>
        <v>-274256.44</v>
      </c>
    </row>
    <row r="80" spans="1:5" ht="15.75" customHeight="1">
      <c r="A80" s="21" t="s">
        <v>87</v>
      </c>
      <c r="B80" s="36">
        <f>SUM(B81:B85)</f>
        <v>20000</v>
      </c>
      <c r="C80" s="36">
        <f>SUM(C81:C85)</f>
        <v>0</v>
      </c>
      <c r="D80" s="40">
        <f aca="true" t="shared" si="2" ref="D80:D85">IF(B80=0,"   ",C80/B80*100)</f>
        <v>0</v>
      </c>
      <c r="E80" s="41">
        <f aca="true" t="shared" si="3" ref="E80:E85">C80-B80</f>
        <v>-20000</v>
      </c>
    </row>
    <row r="81" spans="1:5" ht="33.75" customHeight="1">
      <c r="A81" s="21" t="s">
        <v>185</v>
      </c>
      <c r="B81" s="36">
        <v>20000</v>
      </c>
      <c r="C81" s="36">
        <v>0</v>
      </c>
      <c r="D81" s="40">
        <f t="shared" si="2"/>
        <v>0</v>
      </c>
      <c r="E81" s="41">
        <f t="shared" si="3"/>
        <v>-20000</v>
      </c>
    </row>
    <row r="82" spans="1:5" ht="25.5" customHeight="1">
      <c r="A82" s="21" t="s">
        <v>270</v>
      </c>
      <c r="B82" s="36">
        <v>0</v>
      </c>
      <c r="C82" s="36">
        <v>0</v>
      </c>
      <c r="D82" s="40" t="str">
        <f t="shared" si="2"/>
        <v>   </v>
      </c>
      <c r="E82" s="41">
        <f t="shared" si="3"/>
        <v>0</v>
      </c>
    </row>
    <row r="83" spans="1:5" ht="16.5" customHeight="1">
      <c r="A83" s="21" t="s">
        <v>279</v>
      </c>
      <c r="B83" s="36">
        <v>0</v>
      </c>
      <c r="C83" s="36">
        <v>0</v>
      </c>
      <c r="D83" s="40" t="str">
        <f t="shared" si="2"/>
        <v>   </v>
      </c>
      <c r="E83" s="41">
        <f t="shared" si="3"/>
        <v>0</v>
      </c>
    </row>
    <row r="84" spans="1:5" ht="16.5" customHeight="1">
      <c r="A84" s="38" t="s">
        <v>150</v>
      </c>
      <c r="B84" s="36">
        <v>0</v>
      </c>
      <c r="C84" s="36">
        <v>0</v>
      </c>
      <c r="D84" s="40" t="str">
        <f t="shared" si="2"/>
        <v>   </v>
      </c>
      <c r="E84" s="41">
        <f t="shared" si="3"/>
        <v>0</v>
      </c>
    </row>
    <row r="85" spans="1:5" ht="16.5" customHeight="1">
      <c r="A85" s="21" t="s">
        <v>316</v>
      </c>
      <c r="B85" s="36">
        <v>0</v>
      </c>
      <c r="C85" s="36">
        <v>0</v>
      </c>
      <c r="D85" s="40" t="str">
        <f t="shared" si="2"/>
        <v>   </v>
      </c>
      <c r="E85" s="41">
        <f t="shared" si="3"/>
        <v>0</v>
      </c>
    </row>
    <row r="86" spans="1:5" ht="13.5">
      <c r="A86" s="21" t="s">
        <v>58</v>
      </c>
      <c r="B86" s="36">
        <f>B87+B89+B88+B90+B91</f>
        <v>305078.8</v>
      </c>
      <c r="C86" s="36">
        <f>C87+C89+C88+C90+C91</f>
        <v>50922.36</v>
      </c>
      <c r="D86" s="40">
        <f t="shared" si="0"/>
        <v>16.69154329963275</v>
      </c>
      <c r="E86" s="41">
        <f t="shared" si="1"/>
        <v>-254156.44</v>
      </c>
    </row>
    <row r="87" spans="1:5" ht="13.5">
      <c r="A87" s="21" t="s">
        <v>60</v>
      </c>
      <c r="B87" s="36">
        <v>170000</v>
      </c>
      <c r="C87" s="107">
        <v>37745.46</v>
      </c>
      <c r="D87" s="40">
        <f t="shared" si="0"/>
        <v>22.203211764705884</v>
      </c>
      <c r="E87" s="41">
        <f t="shared" si="1"/>
        <v>-132254.54</v>
      </c>
    </row>
    <row r="88" spans="1:5" ht="27">
      <c r="A88" s="17" t="s">
        <v>271</v>
      </c>
      <c r="B88" s="36">
        <v>0</v>
      </c>
      <c r="C88" s="107">
        <v>0</v>
      </c>
      <c r="D88" s="40" t="str">
        <f t="shared" si="0"/>
        <v>   </v>
      </c>
      <c r="E88" s="41">
        <f t="shared" si="1"/>
        <v>0</v>
      </c>
    </row>
    <row r="89" spans="1:5" ht="13.5">
      <c r="A89" s="21" t="s">
        <v>59</v>
      </c>
      <c r="B89" s="36">
        <v>50000</v>
      </c>
      <c r="C89" s="107">
        <v>13176.9</v>
      </c>
      <c r="D89" s="40">
        <f t="shared" si="0"/>
        <v>26.3538</v>
      </c>
      <c r="E89" s="41">
        <f t="shared" si="1"/>
        <v>-36823.1</v>
      </c>
    </row>
    <row r="90" spans="1:5" ht="13.5">
      <c r="A90" s="21" t="s">
        <v>329</v>
      </c>
      <c r="B90" s="36">
        <v>0</v>
      </c>
      <c r="C90" s="107">
        <v>0</v>
      </c>
      <c r="D90" s="40" t="str">
        <f t="shared" si="0"/>
        <v>   </v>
      </c>
      <c r="E90" s="41">
        <f t="shared" si="1"/>
        <v>0</v>
      </c>
    </row>
    <row r="91" spans="1:5" ht="13.5">
      <c r="A91" s="17" t="s">
        <v>341</v>
      </c>
      <c r="B91" s="36">
        <f>B92+B93+B94</f>
        <v>85078.8</v>
      </c>
      <c r="C91" s="36">
        <f>C92+C93+C94</f>
        <v>0</v>
      </c>
      <c r="D91" s="40">
        <f>IF(B91=0,"   ",C91/B91*100)</f>
        <v>0</v>
      </c>
      <c r="E91" s="41">
        <f>C91-B91</f>
        <v>-85078.8</v>
      </c>
    </row>
    <row r="92" spans="1:5" ht="13.5">
      <c r="A92" s="17" t="s">
        <v>347</v>
      </c>
      <c r="B92" s="36">
        <v>85078.8</v>
      </c>
      <c r="C92" s="107">
        <v>0</v>
      </c>
      <c r="D92" s="40">
        <f>IF(B92=0,"   ",C92/B92*100)</f>
        <v>0</v>
      </c>
      <c r="E92" s="41">
        <f>C92-B92</f>
        <v>-85078.8</v>
      </c>
    </row>
    <row r="93" spans="1:5" ht="13.5">
      <c r="A93" s="17" t="s">
        <v>348</v>
      </c>
      <c r="B93" s="36">
        <v>0</v>
      </c>
      <c r="C93" s="107">
        <v>0</v>
      </c>
      <c r="D93" s="40" t="str">
        <f>IF(B93=0,"   ",C93/B93*100)</f>
        <v>   </v>
      </c>
      <c r="E93" s="41">
        <f>C93-B93</f>
        <v>0</v>
      </c>
    </row>
    <row r="94" spans="1:5" ht="24.75" customHeight="1" thickBot="1">
      <c r="A94" s="17" t="s">
        <v>349</v>
      </c>
      <c r="B94" s="36">
        <v>0</v>
      </c>
      <c r="C94" s="36">
        <v>0</v>
      </c>
      <c r="D94" s="40" t="str">
        <f t="shared" si="0"/>
        <v>   </v>
      </c>
      <c r="E94" s="41">
        <f t="shared" si="1"/>
        <v>0</v>
      </c>
    </row>
    <row r="95" spans="1:5" ht="18" customHeight="1" thickBot="1">
      <c r="A95" s="62" t="s">
        <v>302</v>
      </c>
      <c r="B95" s="111">
        <f>SUM(B96)</f>
        <v>100</v>
      </c>
      <c r="C95" s="111">
        <f>SUM(C96)</f>
        <v>0</v>
      </c>
      <c r="D95" s="40">
        <f>IF(B95=0,"   ",C95/B95*100)</f>
        <v>0</v>
      </c>
      <c r="E95" s="41">
        <f>C95-B95</f>
        <v>-100</v>
      </c>
    </row>
    <row r="96" spans="1:5" ht="18" customHeight="1">
      <c r="A96" s="62" t="s">
        <v>259</v>
      </c>
      <c r="B96" s="36">
        <v>100</v>
      </c>
      <c r="C96" s="36">
        <v>0</v>
      </c>
      <c r="D96" s="40">
        <f>IF(B96=0,"   ",C96/B96*100)</f>
        <v>0</v>
      </c>
      <c r="E96" s="41">
        <f>C96-B96</f>
        <v>-100</v>
      </c>
    </row>
    <row r="97" spans="1:5" ht="24.75" customHeight="1">
      <c r="A97" s="21" t="s">
        <v>17</v>
      </c>
      <c r="B97" s="36">
        <v>8000</v>
      </c>
      <c r="C97" s="36">
        <v>0</v>
      </c>
      <c r="D97" s="40">
        <f t="shared" si="0"/>
        <v>0</v>
      </c>
      <c r="E97" s="41">
        <f t="shared" si="1"/>
        <v>-8000</v>
      </c>
    </row>
    <row r="98" spans="1:5" ht="15" customHeight="1">
      <c r="A98" s="21" t="s">
        <v>41</v>
      </c>
      <c r="B98" s="143">
        <f>SUM(B99,)</f>
        <v>294200</v>
      </c>
      <c r="C98" s="143">
        <f>SUM(C99,)</f>
        <v>73695</v>
      </c>
      <c r="D98" s="40">
        <f t="shared" si="0"/>
        <v>25.049286199864042</v>
      </c>
      <c r="E98" s="41">
        <f t="shared" si="1"/>
        <v>-220505</v>
      </c>
    </row>
    <row r="99" spans="1:5" ht="13.5">
      <c r="A99" s="21" t="s">
        <v>42</v>
      </c>
      <c r="B99" s="36">
        <v>294200</v>
      </c>
      <c r="C99" s="107">
        <v>73695</v>
      </c>
      <c r="D99" s="40">
        <f t="shared" si="0"/>
        <v>25.049286199864042</v>
      </c>
      <c r="E99" s="41">
        <f t="shared" si="1"/>
        <v>-220505</v>
      </c>
    </row>
    <row r="100" spans="1:5" ht="13.5">
      <c r="A100" s="21" t="s">
        <v>221</v>
      </c>
      <c r="B100" s="143">
        <f>SUM(B101,)</f>
        <v>6000</v>
      </c>
      <c r="C100" s="143">
        <f>SUM(C101,)</f>
        <v>0</v>
      </c>
      <c r="D100" s="40">
        <f>IF(B100=0,"   ",C100/B100*100)</f>
        <v>0</v>
      </c>
      <c r="E100" s="41">
        <f>C100-B100</f>
        <v>-6000</v>
      </c>
    </row>
    <row r="101" spans="1:5" ht="13.5">
      <c r="A101" s="21" t="s">
        <v>222</v>
      </c>
      <c r="B101" s="36">
        <v>6000</v>
      </c>
      <c r="C101" s="107">
        <v>0</v>
      </c>
      <c r="D101" s="40">
        <f>IF(B101=0,"   ",C101/B101*100)</f>
        <v>0</v>
      </c>
      <c r="E101" s="41">
        <f>C101-B101</f>
        <v>-6000</v>
      </c>
    </row>
    <row r="102" spans="1:5" ht="18" customHeight="1">
      <c r="A102" s="21" t="s">
        <v>119</v>
      </c>
      <c r="B102" s="143">
        <f>SUM(B103,)</f>
        <v>50000</v>
      </c>
      <c r="C102" s="143">
        <f>SUM(C103,)</f>
        <v>0</v>
      </c>
      <c r="D102" s="40">
        <f t="shared" si="0"/>
        <v>0</v>
      </c>
      <c r="E102" s="41">
        <f t="shared" si="1"/>
        <v>-50000</v>
      </c>
    </row>
    <row r="103" spans="1:5" ht="13.5">
      <c r="A103" s="21" t="s">
        <v>43</v>
      </c>
      <c r="B103" s="36">
        <v>50000</v>
      </c>
      <c r="C103" s="99">
        <v>0</v>
      </c>
      <c r="D103" s="40">
        <f t="shared" si="0"/>
        <v>0</v>
      </c>
      <c r="E103" s="41">
        <f t="shared" si="1"/>
        <v>-50000</v>
      </c>
    </row>
    <row r="104" spans="1:5" ht="21" customHeight="1">
      <c r="A104" s="44" t="s">
        <v>15</v>
      </c>
      <c r="B104" s="116">
        <f>SUM(B51,B58,B60,B62,B79,B97,B98,B100,B102,)</f>
        <v>3898578.8</v>
      </c>
      <c r="C104" s="116">
        <f>SUM(C51,C58,C60,C62,C79,C97,C98,C100,C102,)</f>
        <v>503524.98</v>
      </c>
      <c r="D104" s="46">
        <f>IF(B104=0,"   ",C104/B104*100)</f>
        <v>12.915603501460584</v>
      </c>
      <c r="E104" s="47">
        <f t="shared" si="1"/>
        <v>-3395053.82</v>
      </c>
    </row>
    <row r="105" spans="1:5" s="13" customFormat="1" ht="31.5" customHeight="1">
      <c r="A105" s="71" t="s">
        <v>288</v>
      </c>
      <c r="B105" s="71"/>
      <c r="C105" s="167"/>
      <c r="D105" s="167"/>
      <c r="E105" s="167"/>
    </row>
    <row r="106" spans="1:5" s="13" customFormat="1" ht="12" customHeight="1">
      <c r="A106" s="71" t="s">
        <v>145</v>
      </c>
      <c r="B106" s="71"/>
      <c r="C106" s="72" t="s">
        <v>289</v>
      </c>
      <c r="D106" s="73"/>
      <c r="E106" s="74"/>
    </row>
    <row r="107" spans="1:5" ht="13.5">
      <c r="A107" s="71"/>
      <c r="B107" s="71"/>
      <c r="C107" s="117"/>
      <c r="D107" s="71"/>
      <c r="E107" s="118"/>
    </row>
    <row r="108" spans="1:5" ht="13.5">
      <c r="A108" s="71"/>
      <c r="B108" s="71"/>
      <c r="C108" s="117"/>
      <c r="D108" s="71"/>
      <c r="E108" s="118"/>
    </row>
    <row r="109" spans="1:5" ht="12.75">
      <c r="A109" s="6"/>
      <c r="B109" s="6"/>
      <c r="C109" s="5"/>
      <c r="D109" s="6"/>
      <c r="E109" s="2"/>
    </row>
    <row r="110" spans="1:5" ht="12.75">
      <c r="A110" s="6"/>
      <c r="B110" s="6"/>
      <c r="C110" s="5"/>
      <c r="D110" s="6"/>
      <c r="E110" s="2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</sheetData>
  <sheetProtection/>
  <mergeCells count="2">
    <mergeCell ref="A1:E1"/>
    <mergeCell ref="C105:E105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5"/>
  <sheetViews>
    <sheetView tabSelected="1" zoomScalePageLayoutView="0" workbookViewId="0" topLeftCell="A186">
      <selection activeCell="B195" sqref="B195"/>
    </sheetView>
  </sheetViews>
  <sheetFormatPr defaultColWidth="9.00390625" defaultRowHeight="12.75"/>
  <cols>
    <col min="1" max="1" width="64.50390625" style="0" customWidth="1"/>
    <col min="2" max="2" width="16.50390625" style="0" customWidth="1"/>
    <col min="3" max="3" width="15.625" style="0" customWidth="1"/>
    <col min="4" max="4" width="11.375" style="0" customWidth="1"/>
    <col min="5" max="5" width="15.50390625" style="0" customWidth="1"/>
    <col min="6" max="6" width="12.625" style="0" bestFit="1" customWidth="1"/>
  </cols>
  <sheetData>
    <row r="1" spans="1:5" ht="13.5">
      <c r="A1" s="168" t="s">
        <v>362</v>
      </c>
      <c r="B1" s="168"/>
      <c r="C1" s="168"/>
      <c r="D1" s="168"/>
      <c r="E1" s="168"/>
    </row>
    <row r="2" spans="1:5" ht="9.75" customHeight="1" thickBot="1">
      <c r="A2" s="22"/>
      <c r="B2" s="22"/>
      <c r="C2" s="23"/>
      <c r="D2" s="22"/>
      <c r="E2" s="22" t="s">
        <v>0</v>
      </c>
    </row>
    <row r="3" spans="1:5" ht="108" customHeight="1">
      <c r="A3" s="24" t="s">
        <v>1</v>
      </c>
      <c r="B3" s="25" t="s">
        <v>331</v>
      </c>
      <c r="C3" s="26" t="s">
        <v>351</v>
      </c>
      <c r="D3" s="25" t="s">
        <v>332</v>
      </c>
      <c r="E3" s="27" t="s">
        <v>333</v>
      </c>
    </row>
    <row r="4" spans="1:5" ht="13.5">
      <c r="A4" s="28">
        <v>1</v>
      </c>
      <c r="B4" s="29">
        <v>2</v>
      </c>
      <c r="C4" s="30">
        <v>3</v>
      </c>
      <c r="D4" s="31">
        <v>4</v>
      </c>
      <c r="E4" s="32">
        <v>5</v>
      </c>
    </row>
    <row r="5" spans="1:5" ht="15.75" customHeight="1">
      <c r="A5" s="33" t="s">
        <v>2</v>
      </c>
      <c r="B5" s="34"/>
      <c r="C5" s="35"/>
      <c r="D5" s="36"/>
      <c r="E5" s="37"/>
    </row>
    <row r="6" spans="1:5" ht="13.5">
      <c r="A6" s="38" t="s">
        <v>45</v>
      </c>
      <c r="B6" s="39">
        <f>SUM(B7)</f>
        <v>12055900</v>
      </c>
      <c r="C6" s="39">
        <f>SUM(C7)</f>
        <v>3209448.4699999997</v>
      </c>
      <c r="D6" s="40">
        <f aca="true" t="shared" si="0" ref="D6:D32">IF(B6=0,"   ",C6/B6*100)</f>
        <v>26.621392596156234</v>
      </c>
      <c r="E6" s="41">
        <f aca="true" t="shared" si="1" ref="E6:E39">C6-B6</f>
        <v>-8846451.530000001</v>
      </c>
    </row>
    <row r="7" spans="1:5" ht="13.5">
      <c r="A7" s="21" t="s">
        <v>44</v>
      </c>
      <c r="B7" s="42">
        <f>Лист1!B9+Лист2!B7+Лист3!B7+Лист4!B8+Лист5!B8+Лист6!B8+Лист7!B8+Лист8!B8+Лист9!B8+Лист10!B8</f>
        <v>12055900</v>
      </c>
      <c r="C7" s="42">
        <f>Лист1!C9+Лист2!C7+Лист3!C7+Лист4!C8+Лист5!C8+Лист6!C8+Лист7!C8+Лист8!C8+Лист9!C8+Лист10!C8</f>
        <v>3209448.4699999997</v>
      </c>
      <c r="D7" s="40">
        <f t="shared" si="0"/>
        <v>26.621392596156234</v>
      </c>
      <c r="E7" s="41">
        <f t="shared" si="1"/>
        <v>-8846451.530000001</v>
      </c>
    </row>
    <row r="8" spans="1:5" ht="31.5" customHeight="1">
      <c r="A8" s="38" t="s">
        <v>129</v>
      </c>
      <c r="B8" s="39">
        <f>SUM(B9)</f>
        <v>8304900</v>
      </c>
      <c r="C8" s="39">
        <f>SUM(C9)</f>
        <v>2194404.4899999998</v>
      </c>
      <c r="D8" s="40">
        <f t="shared" si="0"/>
        <v>26.423009187347223</v>
      </c>
      <c r="E8" s="41">
        <f t="shared" si="1"/>
        <v>-6110495.51</v>
      </c>
    </row>
    <row r="9" spans="1:5" ht="27">
      <c r="A9" s="21" t="s">
        <v>130</v>
      </c>
      <c r="B9" s="42">
        <f>Лист1!B15+Лист2!B9+Лист3!B9+Лист4!B10+Лист5!B10+Лист6!B10+Лист7!B10+Лист8!B10+Лист9!B10+Лист10!B10</f>
        <v>8304900</v>
      </c>
      <c r="C9" s="42">
        <f>Лист1!C15+Лист2!C9+Лист3!C9+Лист4!C10+Лист5!C10+Лист6!C10+Лист7!C10+Лист8!C10+Лист9!C10+Лист10!C10</f>
        <v>2194404.4899999998</v>
      </c>
      <c r="D9" s="40">
        <f t="shared" si="0"/>
        <v>26.423009187347223</v>
      </c>
      <c r="E9" s="41">
        <f t="shared" si="1"/>
        <v>-6110495.51</v>
      </c>
    </row>
    <row r="10" spans="1:5" ht="13.5">
      <c r="A10" s="21" t="s">
        <v>7</v>
      </c>
      <c r="B10" s="42">
        <f>B11</f>
        <v>398400</v>
      </c>
      <c r="C10" s="42">
        <f>SUM(C11:C11)</f>
        <v>221707.37</v>
      </c>
      <c r="D10" s="40">
        <f t="shared" si="0"/>
        <v>55.649440261044184</v>
      </c>
      <c r="E10" s="41">
        <f t="shared" si="1"/>
        <v>-176692.63</v>
      </c>
    </row>
    <row r="11" spans="1:5" ht="13.5">
      <c r="A11" s="21" t="s">
        <v>26</v>
      </c>
      <c r="B11" s="42">
        <f>Лист1!B18+Лист2!B11+Лист3!B11+Лист4!B12+Лист5!B12+Лист6!B12+Лист7!B12+Лист8!B12+Лист9!B12+Лист10!B12</f>
        <v>398400</v>
      </c>
      <c r="C11" s="42">
        <f>Лист1!C18+Лист2!C11+Лист3!C11+Лист4!C12+Лист5!C12+Лист6!C12+Лист7!C12+Лист8!C12+Лист9!C12+Лист10!C12</f>
        <v>221707.37</v>
      </c>
      <c r="D11" s="40">
        <f t="shared" si="0"/>
        <v>55.649440261044184</v>
      </c>
      <c r="E11" s="41">
        <f t="shared" si="1"/>
        <v>-176692.63</v>
      </c>
    </row>
    <row r="12" spans="1:5" ht="13.5">
      <c r="A12" s="21" t="s">
        <v>9</v>
      </c>
      <c r="B12" s="42">
        <f>SUM(B13:B14)</f>
        <v>10842000</v>
      </c>
      <c r="C12" s="42">
        <f>SUM(C13:C14)</f>
        <v>877397.6799999999</v>
      </c>
      <c r="D12" s="40">
        <f t="shared" si="0"/>
        <v>8.092581442538277</v>
      </c>
      <c r="E12" s="41">
        <f t="shared" si="1"/>
        <v>-9964602.32</v>
      </c>
    </row>
    <row r="13" spans="1:5" ht="13.5">
      <c r="A13" s="21" t="s">
        <v>27</v>
      </c>
      <c r="B13" s="42">
        <f>Лист1!B20+Лист2!B13+Лист3!B13+Лист4!B14+Лист5!B14+Лист6!B14+Лист7!B14+Лист8!B14+Лист9!B14+Лист10!B14</f>
        <v>6031000</v>
      </c>
      <c r="C13" s="42">
        <f>Лист1!C20+Лист2!C13+Лист3!C13+Лист4!C14+Лист5!C14+Лист6!C14+Лист7!C14+Лист8!C14+Лист9!C14+Лист10!C14</f>
        <v>353549.54</v>
      </c>
      <c r="D13" s="40">
        <f t="shared" si="0"/>
        <v>5.862204277897529</v>
      </c>
      <c r="E13" s="41">
        <f t="shared" si="1"/>
        <v>-5677450.46</v>
      </c>
    </row>
    <row r="14" spans="1:5" ht="13.5">
      <c r="A14" s="21" t="s">
        <v>151</v>
      </c>
      <c r="B14" s="42">
        <f>Лист1!B21+Лист2!B14+Лист3!B14+Лист4!B15+Лист5!B15+Лист6!B15+Лист7!B15+Лист8!B15+Лист9!B15+Лист10!B15</f>
        <v>4811000</v>
      </c>
      <c r="C14" s="42">
        <f>Лист1!C21+Лист2!C14+Лист3!C14+Лист4!C15+Лист5!C15+Лист6!C15+Лист7!C15+Лист8!C15+Лист9!C15+Лист10!C15</f>
        <v>523848.13999999996</v>
      </c>
      <c r="D14" s="40">
        <f t="shared" si="0"/>
        <v>10.88854998960715</v>
      </c>
      <c r="E14" s="41">
        <f t="shared" si="1"/>
        <v>-4287151.86</v>
      </c>
    </row>
    <row r="15" spans="1:5" ht="13.5">
      <c r="A15" s="21" t="s">
        <v>152</v>
      </c>
      <c r="B15" s="42">
        <f>Лист1!B22+Лист2!B15+Лист3!B15+Лист4!B16+Лист5!B16+Лист6!B16+Лист7!B16+Лист8!B16+Лист9!B16+Лист10!B16</f>
        <v>1820000</v>
      </c>
      <c r="C15" s="42">
        <f>Лист1!C22+Лист2!C15+Лист3!C15+Лист4!C16+Лист5!C16+Лист6!C16+Лист7!C16+Лист8!C16+Лист9!C16+Лист10!C16</f>
        <v>302633.79000000004</v>
      </c>
      <c r="D15" s="40">
        <f t="shared" si="0"/>
        <v>16.62823021978022</v>
      </c>
      <c r="E15" s="41">
        <f t="shared" si="1"/>
        <v>-1517366.21</v>
      </c>
    </row>
    <row r="16" spans="1:5" ht="13.5">
      <c r="A16" s="21" t="s">
        <v>153</v>
      </c>
      <c r="B16" s="42">
        <f>Лист1!B23+Лист2!B16+Лист3!B16+Лист4!B17+Лист5!B17+Лист6!B17+Лист7!B17+Лист8!B17+Лист9!B17+Лист10!B17</f>
        <v>2991000</v>
      </c>
      <c r="C16" s="42">
        <f>Лист1!C23+Лист2!C16+Лист3!C16+Лист4!C17+Лист5!C17+Лист6!C17+Лист7!C17+Лист8!C17+Лист9!C17+Лист10!C17</f>
        <v>221214.34999999998</v>
      </c>
      <c r="D16" s="40">
        <f t="shared" si="0"/>
        <v>7.395999665663656</v>
      </c>
      <c r="E16" s="41">
        <f t="shared" si="1"/>
        <v>-2769785.65</v>
      </c>
    </row>
    <row r="17" spans="1:5" ht="13.5">
      <c r="A17" s="21" t="s">
        <v>186</v>
      </c>
      <c r="B17" s="43">
        <f>Лист8!B18+Лист5!B18+Лист9!B18+Лист3!B17+Лист4!B18+Лист2!B17+Лист10!B18+Лист1!B24+Лист6!B18</f>
        <v>0</v>
      </c>
      <c r="C17" s="43">
        <f>Лист8!C18+Лист5!C18+Лист9!C18+Лист3!C17+Лист4!C18+Лист2!C17+Лист10!C18+Лист1!C24+Лист6!C18</f>
        <v>1000</v>
      </c>
      <c r="D17" s="40" t="str">
        <f>IF(B17=0,"   ",C17/B17*100)</f>
        <v>   </v>
      </c>
      <c r="E17" s="41">
        <f t="shared" si="1"/>
        <v>1000</v>
      </c>
    </row>
    <row r="18" spans="1:5" ht="28.5" customHeight="1">
      <c r="A18" s="21" t="s">
        <v>90</v>
      </c>
      <c r="B18" s="43">
        <f>Лист1!B25+Лист2!B18+Лист3!B18+Лист4!B19+Лист5!B19+Лист6!B19+Лист7!B18+Лист8!B19+Лист9!B19+Лист10!B19</f>
        <v>0</v>
      </c>
      <c r="C18" s="43">
        <f>Лист1!C25+Лист2!C18+Лист3!C18+Лист4!C19+Лист5!C19+Лист6!C19+Лист7!C18+Лист8!C19+Лист9!C19+Лист10!C19</f>
        <v>0</v>
      </c>
      <c r="D18" s="40" t="str">
        <f t="shared" si="0"/>
        <v>   </v>
      </c>
      <c r="E18" s="41">
        <f t="shared" si="1"/>
        <v>0</v>
      </c>
    </row>
    <row r="19" spans="1:5" ht="30" customHeight="1">
      <c r="A19" s="21" t="s">
        <v>28</v>
      </c>
      <c r="B19" s="42">
        <f>SUM(B20:B25)</f>
        <v>3252500</v>
      </c>
      <c r="C19" s="42">
        <f>SUM(C20:C25)</f>
        <v>698038.9299999999</v>
      </c>
      <c r="D19" s="40">
        <f t="shared" si="0"/>
        <v>21.461611990776326</v>
      </c>
      <c r="E19" s="41">
        <f t="shared" si="1"/>
        <v>-2554461.0700000003</v>
      </c>
    </row>
    <row r="20" spans="1:5" ht="13.5">
      <c r="A20" s="21" t="s">
        <v>144</v>
      </c>
      <c r="B20" s="42">
        <f>Лист7!B20</f>
        <v>525800</v>
      </c>
      <c r="C20" s="42">
        <f>Лист7!C20</f>
        <v>72206.4</v>
      </c>
      <c r="D20" s="40">
        <f t="shared" si="0"/>
        <v>13.732674020540129</v>
      </c>
      <c r="E20" s="41">
        <f t="shared" si="1"/>
        <v>-453593.6</v>
      </c>
    </row>
    <row r="21" spans="1:5" ht="13.5">
      <c r="A21" s="21" t="s">
        <v>131</v>
      </c>
      <c r="B21" s="42">
        <f>Лист1!B27+Лист2!B23+Лист3!B20+Лист4!B21+Лист5!B21+Лист6!B21+Лист7!B21+Лист8!B21+Лист9!B22+Лист10!B23</f>
        <v>1425100</v>
      </c>
      <c r="C21" s="42">
        <f>Лист1!C27+Лист2!C23+Лист3!C20+Лист4!C21+Лист5!C21+Лист6!C21+Лист7!C21+Лист8!C21+Лист9!C22+Лист10!C23</f>
        <v>205546</v>
      </c>
      <c r="D21" s="40">
        <f t="shared" si="0"/>
        <v>14.423268542558418</v>
      </c>
      <c r="E21" s="41">
        <f t="shared" si="1"/>
        <v>-1219554</v>
      </c>
    </row>
    <row r="22" spans="1:5" ht="33" customHeight="1">
      <c r="A22" s="21" t="s">
        <v>30</v>
      </c>
      <c r="B22" s="42">
        <f>Лист1!B28+Лист2!B25+Лист3!B21+Лист4!B22+Лист5!B22+Лист6!B22+Лист7!B22+Лист8!B22+Лист9!B23+Лист10!B21</f>
        <v>204800</v>
      </c>
      <c r="C22" s="42">
        <f>Лист1!C28+Лист2!C25+Лист3!C21+Лист4!C22+Лист5!C22+Лист6!C22+Лист7!C22+Лист8!C22+Лист9!C23+Лист10!C21</f>
        <v>33019.72</v>
      </c>
      <c r="D22" s="40">
        <f t="shared" si="0"/>
        <v>16.12291015625</v>
      </c>
      <c r="E22" s="41">
        <f t="shared" si="1"/>
        <v>-171780.28</v>
      </c>
    </row>
    <row r="23" spans="1:5" ht="33" customHeight="1">
      <c r="A23" s="21" t="s">
        <v>248</v>
      </c>
      <c r="B23" s="42">
        <f>Лист8!B23+Лист10!B22+Лист1!B29+Лист7!B23+Лист4!B23+Лист2!B24</f>
        <v>0</v>
      </c>
      <c r="C23" s="42">
        <f>Лист8!C23+Лист10!C22+Лист1!C29+Лист7!C23+Лист4!C23+Лист2!C24</f>
        <v>25250.67</v>
      </c>
      <c r="D23" s="40" t="str">
        <f>IF(B23=0,"   ",C23/B23*100)</f>
        <v>   </v>
      </c>
      <c r="E23" s="41">
        <f t="shared" si="1"/>
        <v>25250.67</v>
      </c>
    </row>
    <row r="24" spans="1:5" ht="73.5" customHeight="1">
      <c r="A24" s="21" t="s">
        <v>190</v>
      </c>
      <c r="B24" s="42">
        <f>Лист7!B24</f>
        <v>1066800</v>
      </c>
      <c r="C24" s="42">
        <f>Лист7!C24</f>
        <v>356210.7</v>
      </c>
      <c r="D24" s="40">
        <f>IF(B24=0,"   ",C24/B24*100)</f>
        <v>33.39057930258718</v>
      </c>
      <c r="E24" s="41">
        <f t="shared" si="1"/>
        <v>-710589.3</v>
      </c>
    </row>
    <row r="25" spans="1:5" ht="72" customHeight="1">
      <c r="A25" s="21" t="s">
        <v>214</v>
      </c>
      <c r="B25" s="42">
        <f>Лист1!B30+Лист9!B24</f>
        <v>30000</v>
      </c>
      <c r="C25" s="42">
        <f>Лист1!C30+Лист9!C24</f>
        <v>5805.44</v>
      </c>
      <c r="D25" s="40">
        <f>IF(B25=0,"   ",C25/B25*100)</f>
        <v>19.351466666666663</v>
      </c>
      <c r="E25" s="41">
        <f t="shared" si="1"/>
        <v>-24194.56</v>
      </c>
    </row>
    <row r="26" spans="1:5" ht="30.75" customHeight="1">
      <c r="A26" s="21" t="s">
        <v>83</v>
      </c>
      <c r="B26" s="42">
        <f>Лист1!B31+Лист3!B22+Лист9!B25</f>
        <v>0</v>
      </c>
      <c r="C26" s="42">
        <f>Лист1!C31+Лист3!C22+Лист9!C25</f>
        <v>10940.19</v>
      </c>
      <c r="D26" s="40" t="str">
        <f t="shared" si="0"/>
        <v>   </v>
      </c>
      <c r="E26" s="41">
        <f t="shared" si="1"/>
        <v>10940.19</v>
      </c>
    </row>
    <row r="27" spans="1:5" ht="31.5" customHeight="1">
      <c r="A27" s="21" t="s">
        <v>76</v>
      </c>
      <c r="B27" s="42">
        <f>SUM(B29+B28+B30)</f>
        <v>45600</v>
      </c>
      <c r="C27" s="42">
        <f>SUM(C29+C28+C30)</f>
        <v>5404294.94</v>
      </c>
      <c r="D27" s="40">
        <f t="shared" si="0"/>
        <v>11851.52399122807</v>
      </c>
      <c r="E27" s="41">
        <f t="shared" si="1"/>
        <v>5358694.94</v>
      </c>
    </row>
    <row r="28" spans="1:5" ht="30.75" customHeight="1">
      <c r="A28" s="21" t="s">
        <v>127</v>
      </c>
      <c r="B28" s="42">
        <f>Лист7!B27+Лист1!B33+Лист9!B27+Лист4!B26+Лист3!B25</f>
        <v>0</v>
      </c>
      <c r="C28" s="42">
        <f>Лист7!C27+Лист1!C33+Лист9!C27+Лист4!C26+Лист3!C25</f>
        <v>0</v>
      </c>
      <c r="D28" s="40" t="str">
        <f t="shared" si="0"/>
        <v>   </v>
      </c>
      <c r="E28" s="41">
        <f t="shared" si="1"/>
        <v>0</v>
      </c>
    </row>
    <row r="29" spans="1:5" ht="42" customHeight="1">
      <c r="A29" s="21" t="s">
        <v>215</v>
      </c>
      <c r="B29" s="42">
        <f>Лист7!B28</f>
        <v>45600</v>
      </c>
      <c r="C29" s="42">
        <f>Лист7!C28</f>
        <v>46648.94</v>
      </c>
      <c r="D29" s="40">
        <f t="shared" si="0"/>
        <v>102.30030701754387</v>
      </c>
      <c r="E29" s="41">
        <f t="shared" si="1"/>
        <v>1048.9400000000023</v>
      </c>
    </row>
    <row r="30" spans="1:5" ht="39" customHeight="1">
      <c r="A30" s="21" t="s">
        <v>216</v>
      </c>
      <c r="B30" s="42">
        <f>Лист2!B21+Лист8!B26+Лист4!B27+Лист3!B24</f>
        <v>0</v>
      </c>
      <c r="C30" s="42">
        <f>Лист1!C34+Лист2!C21+Лист3!C24+Лист4!C27+Лист6!C25+Лист8!C26+Лист9!C28+Лист10!C26</f>
        <v>5357646</v>
      </c>
      <c r="D30" s="40" t="str">
        <f t="shared" si="0"/>
        <v>   </v>
      </c>
      <c r="E30" s="41">
        <f t="shared" si="1"/>
        <v>5357646</v>
      </c>
    </row>
    <row r="31" spans="1:5" ht="13.5">
      <c r="A31" s="21" t="s">
        <v>31</v>
      </c>
      <c r="B31" s="42">
        <f>Лист9!B29+Лист7!B29</f>
        <v>0</v>
      </c>
      <c r="C31" s="42">
        <f>Лист9!C29+Лист7!C29</f>
        <v>0</v>
      </c>
      <c r="D31" s="40" t="str">
        <f t="shared" si="0"/>
        <v>   </v>
      </c>
      <c r="E31" s="41">
        <f t="shared" si="1"/>
        <v>0</v>
      </c>
    </row>
    <row r="32" spans="1:5" ht="13.5">
      <c r="A32" s="21" t="s">
        <v>32</v>
      </c>
      <c r="B32" s="42">
        <f>B33+B35+B34</f>
        <v>413595.6</v>
      </c>
      <c r="C32" s="42">
        <f>C33+C35+C34</f>
        <v>100</v>
      </c>
      <c r="D32" s="40">
        <f t="shared" si="0"/>
        <v>0.02417820692483189</v>
      </c>
      <c r="E32" s="41">
        <f t="shared" si="1"/>
        <v>-413495.6</v>
      </c>
    </row>
    <row r="33" spans="1:5" ht="13.5">
      <c r="A33" s="21" t="s">
        <v>46</v>
      </c>
      <c r="B33" s="42">
        <v>0</v>
      </c>
      <c r="C33" s="42">
        <f>Лист1!C39+Лист2!C30+Лист4!C29+Лист6!C28+Лист7!C31+Лист8!C28+Лист9!C31+Лист3!C28+Лист10!C28+Лист5!C27</f>
        <v>100</v>
      </c>
      <c r="D33" s="40"/>
      <c r="E33" s="41">
        <f t="shared" si="1"/>
        <v>100</v>
      </c>
    </row>
    <row r="34" spans="1:5" ht="13.5">
      <c r="A34" s="21" t="s">
        <v>314</v>
      </c>
      <c r="B34" s="42">
        <f>Лист7!B32+Лист2!B31+Лист4!B30+Лист3!B29+Лист9!B32+Лист1!B40</f>
        <v>413595.6</v>
      </c>
      <c r="C34" s="42">
        <f>Лист7!C32+Лист2!C31+Лист4!C30+Лист3!C29+Лист9!C32+Лист1!C40</f>
        <v>0</v>
      </c>
      <c r="D34" s="40"/>
      <c r="E34" s="41">
        <f t="shared" si="1"/>
        <v>-413595.6</v>
      </c>
    </row>
    <row r="35" spans="1:5" ht="13.5">
      <c r="A35" s="21" t="s">
        <v>50</v>
      </c>
      <c r="B35" s="42">
        <f>Лист1!B41+Лист2!B32+Лист3!B30+Лист4!B31+Лист5!B27+Лист6!B29+Лист7!B33+Лист8!B29+Лист9!B33+Лист10!B29</f>
        <v>0</v>
      </c>
      <c r="C35" s="42">
        <f>Лист1!C41+Лист2!C32+Лист3!C30+Лист4!C31+Лист6!C29+Лист7!C33+Лист8!C29+Лист9!C33+Лист10!C29</f>
        <v>0</v>
      </c>
      <c r="D35" s="40" t="str">
        <f>IF(B35=0,"   ",C35/B35*100)</f>
        <v>   </v>
      </c>
      <c r="E35" s="41">
        <f t="shared" si="1"/>
        <v>0</v>
      </c>
    </row>
    <row r="36" spans="1:5" ht="18" customHeight="1">
      <c r="A36" s="44" t="s">
        <v>10</v>
      </c>
      <c r="B36" s="45">
        <f>SUM(B6,B8,B10,B12,B18,B19,B26,B27,B32,+B31+B17)</f>
        <v>35312895.6</v>
      </c>
      <c r="C36" s="45">
        <f>SUM(C6,C8,C10,C12,C18,C19,C26,C27,C32,+C31+C17)</f>
        <v>12617332.07</v>
      </c>
      <c r="D36" s="46">
        <f>IF(B36=0,"   ",C36/B36*100)</f>
        <v>35.73009761906923</v>
      </c>
      <c r="E36" s="47">
        <f t="shared" si="1"/>
        <v>-22695563.53</v>
      </c>
    </row>
    <row r="37" spans="1:5" ht="33" customHeight="1">
      <c r="A37" s="38" t="s">
        <v>34</v>
      </c>
      <c r="B37" s="39">
        <f>Лист1!B46+Лист2!B35+Лист3!B34+Лист4!B35+Лист5!B31+Лист6!B32+Лист7!B36+Лист8!B33+Лист9!B36+Лист10!B32</f>
        <v>29908100</v>
      </c>
      <c r="C37" s="39">
        <f>Лист1!C46+Лист2!C35+Лист3!C34+Лист4!C35+Лист5!C31+Лист6!C32+Лист7!C36+Лист8!C33+Лист9!C36+Лист10!C32</f>
        <v>7476875</v>
      </c>
      <c r="D37" s="40">
        <f>IF(B37=0,"   ",C37/B37*100)</f>
        <v>24.99949846362691</v>
      </c>
      <c r="E37" s="41">
        <f t="shared" si="1"/>
        <v>-22431225</v>
      </c>
    </row>
    <row r="38" spans="1:5" ht="33" customHeight="1">
      <c r="A38" s="38" t="s">
        <v>217</v>
      </c>
      <c r="B38" s="39">
        <f>Лист1!B47+Лист2!B36+Лист3!B35+Лист4!B36+Лист5!B32+Лист6!B33+Лист7!B37+Лист8!B34+Лист9!B37+Лист10!B33</f>
        <v>0</v>
      </c>
      <c r="C38" s="39">
        <f>Лист1!C47+Лист2!C36+Лист3!C35+Лист4!C36+Лист5!C32+Лист6!C33+Лист7!C37+Лист8!C34+Лист9!C37+Лист10!C33</f>
        <v>0</v>
      </c>
      <c r="D38" s="40" t="str">
        <f>IF(B38=0,"   ",C38/B38*100)</f>
        <v>   </v>
      </c>
      <c r="E38" s="41">
        <f t="shared" si="1"/>
        <v>0</v>
      </c>
    </row>
    <row r="39" spans="1:5" ht="13.5">
      <c r="A39" s="48" t="s">
        <v>110</v>
      </c>
      <c r="B39" s="39">
        <f>SUM(B41:B48)</f>
        <v>66692191.74</v>
      </c>
      <c r="C39" s="39">
        <f>SUM(C41:C48)</f>
        <v>18950025.240000002</v>
      </c>
      <c r="D39" s="40">
        <f>IF(B39=0,"   ",C39/B39*100)</f>
        <v>28.414158757710066</v>
      </c>
      <c r="E39" s="41">
        <f t="shared" si="1"/>
        <v>-47742166.5</v>
      </c>
    </row>
    <row r="40" spans="1:5" ht="13.5">
      <c r="A40" s="38" t="s">
        <v>111</v>
      </c>
      <c r="B40" s="39"/>
      <c r="C40" s="39"/>
      <c r="D40" s="40"/>
      <c r="E40" s="41"/>
    </row>
    <row r="41" spans="1:5" ht="33" customHeight="1">
      <c r="A41" s="21" t="s">
        <v>226</v>
      </c>
      <c r="B41" s="42">
        <v>0</v>
      </c>
      <c r="C41" s="42">
        <f>Лист2!C46</f>
        <v>0</v>
      </c>
      <c r="D41" s="40" t="str">
        <f>IF(B41=0,"   ",C41/B41*100)</f>
        <v>   </v>
      </c>
      <c r="E41" s="41">
        <f aca="true" t="shared" si="2" ref="E41:E48">C41-B41</f>
        <v>0</v>
      </c>
    </row>
    <row r="42" spans="1:5" ht="45" customHeight="1">
      <c r="A42" s="21" t="s">
        <v>169</v>
      </c>
      <c r="B42" s="49">
        <v>0</v>
      </c>
      <c r="C42" s="49">
        <v>0</v>
      </c>
      <c r="D42" s="50" t="str">
        <f>IF(B42=0,"   ",C42/B42)</f>
        <v>   </v>
      </c>
      <c r="E42" s="51">
        <f t="shared" si="2"/>
        <v>0</v>
      </c>
    </row>
    <row r="43" spans="1:5" ht="90" customHeight="1">
      <c r="A43" s="21" t="s">
        <v>225</v>
      </c>
      <c r="B43" s="42">
        <f>Лист1!B54+Лист2!B45+Лист3!B42+Лист4!B43+Лист5!B37+Лист6!B38+Лист7!B47+Лист8!B41+Лист9!B42+Лист10!B38</f>
        <v>25548700</v>
      </c>
      <c r="C43" s="42">
        <f>Лист1!C54+Лист2!C45+Лист3!C42+Лист4!C43+Лист5!C37+Лист6!C38+Лист7!C47+Лист8!C41+Лист9!C42+Лист10!C38</f>
        <v>0</v>
      </c>
      <c r="D43" s="40">
        <f aca="true" t="shared" si="3" ref="D43:D48">IF(B43=0,"   ",C43/B43*100)</f>
        <v>0</v>
      </c>
      <c r="E43" s="41">
        <f t="shared" si="2"/>
        <v>-25548700</v>
      </c>
    </row>
    <row r="44" spans="1:5" ht="96" customHeight="1">
      <c r="A44" s="21" t="s">
        <v>227</v>
      </c>
      <c r="B44" s="42">
        <f>Лист7!B48</f>
        <v>1741900</v>
      </c>
      <c r="C44" s="42">
        <f>Лист7!C48</f>
        <v>0</v>
      </c>
      <c r="D44" s="40">
        <f t="shared" si="3"/>
        <v>0</v>
      </c>
      <c r="E44" s="41">
        <f t="shared" si="2"/>
        <v>-1741900</v>
      </c>
    </row>
    <row r="45" spans="1:5" ht="72" customHeight="1">
      <c r="A45" s="21" t="s">
        <v>363</v>
      </c>
      <c r="B45" s="42">
        <f>Лист7!B49</f>
        <v>9548369.6</v>
      </c>
      <c r="C45" s="42">
        <v>0</v>
      </c>
      <c r="D45" s="40">
        <f t="shared" si="3"/>
        <v>0</v>
      </c>
      <c r="E45" s="41">
        <f t="shared" si="2"/>
        <v>-9548369.6</v>
      </c>
    </row>
    <row r="46" spans="1:5" ht="49.5" customHeight="1">
      <c r="A46" s="21" t="s">
        <v>250</v>
      </c>
      <c r="B46" s="42">
        <f>Лист2!B46+Лист4!B44+Лист9!B43</f>
        <v>0</v>
      </c>
      <c r="C46" s="42">
        <f>Лист2!C46+Лист4!C44+Лист9!C43</f>
        <v>0</v>
      </c>
      <c r="D46" s="40" t="str">
        <f t="shared" si="3"/>
        <v>   </v>
      </c>
      <c r="E46" s="41">
        <f t="shared" si="2"/>
        <v>0</v>
      </c>
    </row>
    <row r="47" spans="1:5" ht="49.5" customHeight="1">
      <c r="A47" s="21" t="s">
        <v>280</v>
      </c>
      <c r="B47" s="42">
        <f>Лист6!B39</f>
        <v>0</v>
      </c>
      <c r="C47" s="42">
        <f>Лист6!C39</f>
        <v>0</v>
      </c>
      <c r="D47" s="40" t="str">
        <f t="shared" si="3"/>
        <v>   </v>
      </c>
      <c r="E47" s="41">
        <f>C47-B47</f>
        <v>0</v>
      </c>
    </row>
    <row r="48" spans="1:5" ht="13.5">
      <c r="A48" s="21" t="s">
        <v>101</v>
      </c>
      <c r="B48" s="42">
        <f>SUM(B50:B58)</f>
        <v>29853222.14</v>
      </c>
      <c r="C48" s="42">
        <f>SUM(C50:C58)</f>
        <v>18950025.240000002</v>
      </c>
      <c r="D48" s="40">
        <f t="shared" si="3"/>
        <v>63.47731963783257</v>
      </c>
      <c r="E48" s="41">
        <f t="shared" si="2"/>
        <v>-10903196.899999999</v>
      </c>
    </row>
    <row r="49" spans="1:5" ht="13.5">
      <c r="A49" s="21" t="s">
        <v>112</v>
      </c>
      <c r="B49" s="42"/>
      <c r="C49" s="42"/>
      <c r="D49" s="40"/>
      <c r="E49" s="41"/>
    </row>
    <row r="50" spans="1:5" ht="27">
      <c r="A50" s="21" t="s">
        <v>210</v>
      </c>
      <c r="B50" s="42">
        <f>Лист7!B52</f>
        <v>0</v>
      </c>
      <c r="C50" s="42">
        <f>Лист7!C52</f>
        <v>0</v>
      </c>
      <c r="D50" s="40" t="str">
        <f>IF(B50=0,"   ",C50/B50*100)</f>
        <v>   </v>
      </c>
      <c r="E50" s="41">
        <f>C50-B50</f>
        <v>0</v>
      </c>
    </row>
    <row r="51" spans="1:5" ht="27" customHeight="1">
      <c r="A51" s="21" t="s">
        <v>209</v>
      </c>
      <c r="B51" s="42">
        <f>Лист1!B56+Лист2!B48+Лист3!B44+Лист4!B46+Лист5!B42+Лист6!B44+Лист7!B51+Лист8!B43+Лист9!B45+Лист10!B40</f>
        <v>1378730.4</v>
      </c>
      <c r="C51" s="42">
        <f>Лист1!C56+Лист2!C48+Лист3!C44+Лист4!C46+Лист5!C42+Лист6!C44+Лист7!C51+Лист8!C43+Лист9!C45+Лист10!C40</f>
        <v>0</v>
      </c>
      <c r="D51" s="42" t="str">
        <f>Лист7!D51</f>
        <v>   </v>
      </c>
      <c r="E51" s="41">
        <f>C51-B51</f>
        <v>-1378730.4</v>
      </c>
    </row>
    <row r="52" spans="1:5" ht="23.25" customHeight="1">
      <c r="A52" s="21" t="s">
        <v>252</v>
      </c>
      <c r="B52" s="42">
        <f>Лист7!B53</f>
        <v>0</v>
      </c>
      <c r="C52" s="42">
        <f>Лист7!C53</f>
        <v>0</v>
      </c>
      <c r="D52" s="42" t="str">
        <f>Лист7!D53</f>
        <v>   </v>
      </c>
      <c r="E52" s="42">
        <f>Лист7!E53</f>
        <v>0</v>
      </c>
    </row>
    <row r="53" spans="1:5" ht="23.25" customHeight="1">
      <c r="A53" s="21" t="s">
        <v>282</v>
      </c>
      <c r="B53" s="42">
        <f>Лист7!B54</f>
        <v>16201061.74</v>
      </c>
      <c r="C53" s="42">
        <f>Лист7!C54</f>
        <v>16201061.74</v>
      </c>
      <c r="D53" s="42">
        <f>Лист7!D54</f>
        <v>100</v>
      </c>
      <c r="E53" s="42">
        <f>Лист7!E54</f>
        <v>0</v>
      </c>
    </row>
    <row r="54" spans="1:5" ht="28.5" customHeight="1">
      <c r="A54" s="21" t="s">
        <v>293</v>
      </c>
      <c r="B54" s="42">
        <f>Лист7!B55</f>
        <v>1107600</v>
      </c>
      <c r="C54" s="42">
        <f>Лист7!C55</f>
        <v>0</v>
      </c>
      <c r="D54" s="40">
        <f>IF(B54=0,"   ",C54/B54*100)</f>
        <v>0</v>
      </c>
      <c r="E54" s="41">
        <f aca="true" t="shared" si="4" ref="E54:E59">C54-B54</f>
        <v>-1107600</v>
      </c>
    </row>
    <row r="55" spans="1:5" ht="32.25" customHeight="1">
      <c r="A55" s="21" t="s">
        <v>294</v>
      </c>
      <c r="B55" s="42">
        <f>Лист7!B56</f>
        <v>0</v>
      </c>
      <c r="C55" s="42">
        <f>Лист7!C56</f>
        <v>0</v>
      </c>
      <c r="D55" s="40" t="str">
        <f>IF(B55=0,"   ",C55/B55*100)</f>
        <v>   </v>
      </c>
      <c r="E55" s="41">
        <f t="shared" si="4"/>
        <v>0</v>
      </c>
    </row>
    <row r="56" spans="1:5" ht="32.25" customHeight="1">
      <c r="A56" s="21" t="s">
        <v>269</v>
      </c>
      <c r="B56" s="42">
        <f>Лист1!B59+Лист2!B50+Лист3!B46+Лист5!B41+Лист6!B43+Лист7!B57+Лист8!B45+Лист9!B47+Лист10!B42</f>
        <v>5314830</v>
      </c>
      <c r="C56" s="42">
        <f>Лист1!C59+Лист2!C50+Лист3!C46+Лист5!C41+Лист6!C43+Лист7!C57+Лист8!C45+Лист9!C47+Лист10!C42</f>
        <v>0</v>
      </c>
      <c r="D56" s="42" t="str">
        <f>Лист7!D57</f>
        <v>   </v>
      </c>
      <c r="E56" s="41">
        <f t="shared" si="4"/>
        <v>-5314830</v>
      </c>
    </row>
    <row r="57" spans="1:5" ht="32.25" customHeight="1">
      <c r="A57" s="21" t="s">
        <v>290</v>
      </c>
      <c r="B57" s="42">
        <f>Лист2!B49+Лист3!B45+Лист5!B40+Лист6!B42+Лист7!B58+Лист8!B44+Лист1!B58+Лист4!B47+Лист9!B46+Лист10!B41</f>
        <v>1319900</v>
      </c>
      <c r="C57" s="42">
        <f>Лист2!C49+Лист3!C45+Лист5!C40+Лист6!C42+Лист7!C58+Лист8!C44+Лист1!C58+Лист4!C47+Лист9!C46+Лист10!C41</f>
        <v>0</v>
      </c>
      <c r="D57" s="40">
        <f>IF(B57=0,"   ",C57/B57*100)</f>
        <v>0</v>
      </c>
      <c r="E57" s="41">
        <f t="shared" si="4"/>
        <v>-1319900</v>
      </c>
    </row>
    <row r="58" spans="1:5" s="13" customFormat="1" ht="48" customHeight="1">
      <c r="A58" s="21" t="s">
        <v>113</v>
      </c>
      <c r="B58" s="42">
        <f>Лист1!B60+Лист2!B51+Лист3!B47+Лист4!B48+Лист5!B39+Лист6!B41+Лист7!B59+Лист8!B46+Лист9!B48+Лист10!B43</f>
        <v>4531100</v>
      </c>
      <c r="C58" s="42">
        <f>Лист1!C60+Лист2!C51+Лист3!C47+Лист4!C48+Лист5!C39+Лист6!C41+Лист7!C59+Лист8!C46+Лист9!C48+Лист10!C43</f>
        <v>2748963.5</v>
      </c>
      <c r="D58" s="40">
        <f>IF(B58=0,"   ",C58/B58*100)</f>
        <v>60.66878903577497</v>
      </c>
      <c r="E58" s="41">
        <f t="shared" si="4"/>
        <v>-1782136.5</v>
      </c>
    </row>
    <row r="59" spans="1:5" s="13" customFormat="1" ht="13.5">
      <c r="A59" s="48" t="s">
        <v>19</v>
      </c>
      <c r="B59" s="42">
        <f>B61+B62</f>
        <v>1621500</v>
      </c>
      <c r="C59" s="42">
        <f>C61+C62</f>
        <v>364475</v>
      </c>
      <c r="D59" s="40">
        <f>IF(B59=0,"   ",C59/B59*100)</f>
        <v>22.477644156645084</v>
      </c>
      <c r="E59" s="41">
        <f t="shared" si="4"/>
        <v>-1257025</v>
      </c>
    </row>
    <row r="60" spans="1:5" ht="13.5">
      <c r="A60" s="38" t="s">
        <v>111</v>
      </c>
      <c r="B60" s="39"/>
      <c r="C60" s="39"/>
      <c r="D60" s="40"/>
      <c r="E60" s="41"/>
    </row>
    <row r="61" spans="1:5" ht="48.75" customHeight="1">
      <c r="A61" s="52" t="s">
        <v>51</v>
      </c>
      <c r="B61" s="53">
        <f>Лист1!B48+Лист2!B38+Лист3!B36+Лист4!B37+Лист5!B33+Лист6!B34+Лист7!B38+Лист8!B35+Лист9!B38+Лист10!B34</f>
        <v>1462000</v>
      </c>
      <c r="C61" s="53">
        <f>Лист1!C48+Лист2!C38+Лист3!C36+Лист4!C37+Лист5!C33+Лист6!C34+Лист7!C38+Лист8!C35+Лист9!C38+Лист10!C34</f>
        <v>363900</v>
      </c>
      <c r="D61" s="54">
        <f>IF(B61=0,"   ",C61/B61*100)</f>
        <v>24.890560875512996</v>
      </c>
      <c r="E61" s="55">
        <f>C61-B61</f>
        <v>-1098100</v>
      </c>
    </row>
    <row r="62" spans="1:5" ht="45" customHeight="1">
      <c r="A62" s="52" t="s">
        <v>139</v>
      </c>
      <c r="B62" s="53">
        <f>Лист1!B49+Лист2!B39+Лист3!B37+Лист4!B38+Лист5!B34+Лист6!B35+Лист7!B39+Лист8!B36+Лист9!B39+Лист10!B35</f>
        <v>159500</v>
      </c>
      <c r="C62" s="53">
        <f>Лист1!C49+Лист2!C39+Лист3!C37+Лист4!C38+Лист5!C34+Лист6!C35+Лист7!C39+Лист8!C36+Лист9!C39+Лист10!C35</f>
        <v>575</v>
      </c>
      <c r="D62" s="54">
        <f>IF(B62=0,"   ",C62/B62*100)</f>
        <v>0.3605015673981191</v>
      </c>
      <c r="E62" s="55">
        <f>C62-B62</f>
        <v>-158925</v>
      </c>
    </row>
    <row r="63" spans="1:5" ht="27.75" customHeight="1">
      <c r="A63" s="52" t="s">
        <v>154</v>
      </c>
      <c r="B63" s="53">
        <f>Лист1!B50+Лист2!B40+Лист3!B38+Лист4!B39+Лист5!B35+Лист6!B36+Лист7!B40+Лист8!B37+Лист9!B40+Лист10!B36</f>
        <v>2300</v>
      </c>
      <c r="C63" s="53">
        <f>Лист1!C50+Лист2!C40+Лист3!C38+Лист4!C39+Лист5!C35+Лист6!C36+Лист7!C40+Лист8!C37+Лист9!C40+Лист10!C36</f>
        <v>575</v>
      </c>
      <c r="D63" s="54">
        <f>IF(B63=0,"   ",C63/B63*100)</f>
        <v>25</v>
      </c>
      <c r="E63" s="55">
        <f>C63-B63</f>
        <v>-1725</v>
      </c>
    </row>
    <row r="64" spans="1:5" ht="47.25" customHeight="1">
      <c r="A64" s="52" t="s">
        <v>155</v>
      </c>
      <c r="B64" s="53">
        <f>Лист1!B51+Лист2!B41+Лист3!B39+Лист4!B40+Лист5!B36+Лист6!B37+Лист7!B41+Лист8!B38+Лист9!B41+Лист10!B37</f>
        <v>157200</v>
      </c>
      <c r="C64" s="53">
        <f>Лист1!C51+Лист2!C41+Лист3!C39+Лист4!C40+Лист5!C36+Лист6!C37+Лист7!C41+Лист8!C38+Лист9!C41+Лист10!C37</f>
        <v>0</v>
      </c>
      <c r="D64" s="54">
        <f>IF(B64=0,"   ",C64/B64*100)</f>
        <v>0</v>
      </c>
      <c r="E64" s="55">
        <f>C64-B64</f>
        <v>-157200</v>
      </c>
    </row>
    <row r="65" spans="1:5" ht="13.5">
      <c r="A65" s="48" t="s">
        <v>114</v>
      </c>
      <c r="B65" s="42">
        <f>B72+B67+B68+B70+B69+B71</f>
        <v>55739532.75</v>
      </c>
      <c r="C65" s="42">
        <f>C72+C67+C68+C70+C69+C71</f>
        <v>0</v>
      </c>
      <c r="D65" s="40">
        <f>IF(B65=0,"   ",C65/B65*100)</f>
        <v>0</v>
      </c>
      <c r="E65" s="41">
        <f>C65-B65</f>
        <v>-55739532.75</v>
      </c>
    </row>
    <row r="66" spans="1:5" ht="13.5">
      <c r="A66" s="38" t="s">
        <v>111</v>
      </c>
      <c r="B66" s="39"/>
      <c r="C66" s="39"/>
      <c r="D66" s="40"/>
      <c r="E66" s="41"/>
    </row>
    <row r="67" spans="1:5" ht="85.5" customHeight="1">
      <c r="A67" s="21" t="s">
        <v>247</v>
      </c>
      <c r="B67" s="49">
        <f>Лист7!B45</f>
        <v>5739532.75</v>
      </c>
      <c r="C67" s="49">
        <f>Лист7!C45</f>
        <v>0</v>
      </c>
      <c r="D67" s="40">
        <f>IF(B67=0,"   ",C67/B67*100)</f>
        <v>0</v>
      </c>
      <c r="E67" s="41">
        <f aca="true" t="shared" si="5" ref="E67:E73">C67-B67</f>
        <v>-5739532.75</v>
      </c>
    </row>
    <row r="68" spans="1:5" ht="69" customHeight="1">
      <c r="A68" s="21" t="s">
        <v>334</v>
      </c>
      <c r="B68" s="49">
        <f>Лист7!B46</f>
        <v>50000000</v>
      </c>
      <c r="C68" s="49">
        <f>Лист7!C46</f>
        <v>0</v>
      </c>
      <c r="D68" s="40">
        <f>IF(B68=0,"   ",C68/B68*100)</f>
        <v>0</v>
      </c>
      <c r="E68" s="41">
        <f>C68-B68</f>
        <v>-50000000</v>
      </c>
    </row>
    <row r="69" spans="1:5" ht="63" customHeight="1">
      <c r="A69" s="21" t="s">
        <v>272</v>
      </c>
      <c r="B69" s="53">
        <f>Лист2!B42+Лист4!B41+Лист9!B49</f>
        <v>0</v>
      </c>
      <c r="C69" s="53">
        <f>Лист2!C42+Лист4!C41+Лист9!C49</f>
        <v>0</v>
      </c>
      <c r="D69" s="40" t="str">
        <f>IF(B69=0,"   ",C69/B69*100)</f>
        <v>   </v>
      </c>
      <c r="E69" s="41">
        <f t="shared" si="5"/>
        <v>0</v>
      </c>
    </row>
    <row r="70" spans="1:5" ht="50.25" customHeight="1">
      <c r="A70" s="21" t="s">
        <v>268</v>
      </c>
      <c r="B70" s="49">
        <f>Лист7!B44</f>
        <v>0</v>
      </c>
      <c r="C70" s="49">
        <f>Лист7!C44</f>
        <v>0</v>
      </c>
      <c r="D70" s="40" t="str">
        <f>IF(B70=0,"   ",C70/B70*100)</f>
        <v>   </v>
      </c>
      <c r="E70" s="41">
        <f t="shared" si="5"/>
        <v>0</v>
      </c>
    </row>
    <row r="71" spans="1:5" ht="50.25" customHeight="1">
      <c r="A71" s="21" t="s">
        <v>330</v>
      </c>
      <c r="B71" s="49">
        <f>Лист2!B44+Лист5!B45+Лист10!B45</f>
        <v>0</v>
      </c>
      <c r="C71" s="49">
        <f>Лист2!C44+Лист5!C45+Лист10!C45</f>
        <v>0</v>
      </c>
      <c r="D71" s="40" t="str">
        <f>IF(B71=0,"   ",C71/B71*100)</f>
        <v>   </v>
      </c>
      <c r="E71" s="41">
        <f t="shared" si="5"/>
        <v>0</v>
      </c>
    </row>
    <row r="72" spans="1:5" ht="33" customHeight="1">
      <c r="A72" s="21" t="s">
        <v>161</v>
      </c>
      <c r="B72" s="53">
        <f>Лист1!B53+Лист2!B43+Лист3!B41+Лист6!B45+Лист8!B40+Лист10!B44+Лист4!B42+Лист5!B44+Лист7!B43+Лист9!B50</f>
        <v>0</v>
      </c>
      <c r="C72" s="53">
        <f>Лист1!C53+Лист2!C43+Лист3!C41+Лист6!C45+Лист8!C40+Лист10!C44+Лист4!C42+Лист5!C44+Лист7!C43+Лист9!C50</f>
        <v>0</v>
      </c>
      <c r="D72" s="40" t="str">
        <f aca="true" t="shared" si="6" ref="D72:D102">IF(B72=0,"   ",C72/B72*100)</f>
        <v>   </v>
      </c>
      <c r="E72" s="41">
        <f t="shared" si="5"/>
        <v>0</v>
      </c>
    </row>
    <row r="73" spans="1:5" ht="21" customHeight="1">
      <c r="A73" s="44" t="s">
        <v>176</v>
      </c>
      <c r="B73" s="42">
        <f>Лист1!B61+Лист2!B52+Лист3!B48+Лист4!B49+Лист5!B46+Лист6!B47+Лист7!B60+Лист8!B47+Лист9!B51+Лист10!B47</f>
        <v>0</v>
      </c>
      <c r="C73" s="42">
        <f>Лист1!C61+Лист2!C52+Лист3!C48+Лист4!C49+Лист5!C46+Лист6!C47+Лист7!C60+Лист8!C47+Лист9!C51+Лист10!C47</f>
        <v>0</v>
      </c>
      <c r="D73" s="40" t="str">
        <f>IF(B73=0,"   ",C73/B73*100)</f>
        <v>   </v>
      </c>
      <c r="E73" s="41">
        <f t="shared" si="5"/>
        <v>0</v>
      </c>
    </row>
    <row r="74" spans="1:5" ht="13.5">
      <c r="A74" s="44" t="s">
        <v>99</v>
      </c>
      <c r="B74" s="45">
        <f>B37+B39+B59+B65+B73+B38</f>
        <v>153961324.49</v>
      </c>
      <c r="C74" s="45">
        <f>C37+C39+C59+C65+C73+C38</f>
        <v>26791375.240000002</v>
      </c>
      <c r="D74" s="46">
        <f t="shared" si="6"/>
        <v>17.40136708277028</v>
      </c>
      <c r="E74" s="47">
        <f aca="true" t="shared" si="7" ref="E74:E120">C74-B74</f>
        <v>-127169949.25</v>
      </c>
    </row>
    <row r="75" spans="1:5" ht="23.25" customHeight="1">
      <c r="A75" s="44" t="s">
        <v>11</v>
      </c>
      <c r="B75" s="45">
        <f>B36+B74</f>
        <v>189274220.09</v>
      </c>
      <c r="C75" s="45">
        <f>C36+C74</f>
        <v>39408707.31</v>
      </c>
      <c r="D75" s="46">
        <f t="shared" si="6"/>
        <v>20.820958760924302</v>
      </c>
      <c r="E75" s="47">
        <f t="shared" si="7"/>
        <v>-149865512.78</v>
      </c>
    </row>
    <row r="76" spans="1:5" ht="13.5" hidden="1">
      <c r="A76" s="44" t="s">
        <v>48</v>
      </c>
      <c r="B76" s="42"/>
      <c r="C76" s="42"/>
      <c r="D76" s="40" t="str">
        <f t="shared" si="6"/>
        <v>   </v>
      </c>
      <c r="E76" s="41">
        <f t="shared" si="7"/>
        <v>0</v>
      </c>
    </row>
    <row r="77" spans="1:5" ht="14.25">
      <c r="A77" s="56" t="s">
        <v>12</v>
      </c>
      <c r="B77" s="57"/>
      <c r="C77" s="58"/>
      <c r="D77" s="40" t="str">
        <f t="shared" si="6"/>
        <v>   </v>
      </c>
      <c r="E77" s="41"/>
    </row>
    <row r="78" spans="1:5" ht="13.5">
      <c r="A78" s="21" t="s">
        <v>35</v>
      </c>
      <c r="B78" s="42">
        <f>Лист1!B64+Лист2!B56+Лист3!B51+Лист4!B52+Лист5!B50+Лист6!B50+Лист7!B64+Лист8!B50+Лист9!B54+Лист10!B51</f>
        <v>15698100</v>
      </c>
      <c r="C78" s="42">
        <f>Лист1!C64+Лист2!C56+Лист3!C51+Лист4!C52+Лист5!C50+Лист6!C50+Лист7!C64+Лист8!C50+Лист9!C54+Лист10!C51</f>
        <v>2760365.33</v>
      </c>
      <c r="D78" s="40">
        <f t="shared" si="6"/>
        <v>17.584072785878547</v>
      </c>
      <c r="E78" s="41">
        <f t="shared" si="7"/>
        <v>-12937734.67</v>
      </c>
    </row>
    <row r="79" spans="1:5" ht="13.5" customHeight="1">
      <c r="A79" s="21" t="s">
        <v>36</v>
      </c>
      <c r="B79" s="42">
        <f>Лист1!B65+Лист2!B57+Лист3!B52+Лист4!B53+Лист5!B51+Лист6!B51+Лист7!B65+Лист8!B51+Лист9!B55+Лист10!B52</f>
        <v>15363800</v>
      </c>
      <c r="C79" s="42">
        <f>Лист1!C65+Лист2!C57+Лист3!C52+Лист4!C53+Лист5!C51+Лист6!C51+Лист7!C65+Лист8!C51+Лист9!C55+Лист10!C52</f>
        <v>2760365.33</v>
      </c>
      <c r="D79" s="40">
        <f t="shared" si="6"/>
        <v>17.966683567867324</v>
      </c>
      <c r="E79" s="41">
        <f t="shared" si="7"/>
        <v>-12603434.67</v>
      </c>
    </row>
    <row r="80" spans="1:5" ht="13.5">
      <c r="A80" s="21" t="s">
        <v>116</v>
      </c>
      <c r="B80" s="42">
        <f>Лист1!B66+Лист2!B58+Лист3!B53+Лист4!B54+Лист5!B52+Лист6!B52+Лист7!B66+Лист8!B52+Лист9!B56+Лист10!B53</f>
        <v>9544778</v>
      </c>
      <c r="C80" s="42">
        <f>Лист1!C66+Лист2!C58+Лист3!C53+Лист4!C54+Лист5!C52+Лист6!C52+Лист7!C66+Лист8!C52+Лист9!C56+Лист10!C53</f>
        <v>1628096.1900000002</v>
      </c>
      <c r="D80" s="40">
        <f t="shared" si="6"/>
        <v>17.057454767413134</v>
      </c>
      <c r="E80" s="41">
        <f t="shared" si="7"/>
        <v>-7916681.81</v>
      </c>
    </row>
    <row r="81" spans="1:5" ht="27">
      <c r="A81" s="21" t="s">
        <v>324</v>
      </c>
      <c r="B81" s="42">
        <f>Лист1!B67+Лист2!B59+Лист3!B54+Лист4!B55+Лист5!B53+Лист6!B53+Лист7!B67+Лист8!B53+Лист9!B57+Лист10!B54</f>
        <v>0</v>
      </c>
      <c r="C81" s="42">
        <f>Лист1!C67+Лист2!C59+Лист3!C54+Лист4!C55+Лист5!C53+Лист6!C53+Лист7!C67+Лист8!C53+Лист9!C57+Лист10!C54</f>
        <v>0</v>
      </c>
      <c r="D81" s="40" t="str">
        <f>IF(B81=0,"   ",C81/B81*100)</f>
        <v>   </v>
      </c>
      <c r="E81" s="41">
        <f>C81-B81</f>
        <v>0</v>
      </c>
    </row>
    <row r="82" spans="1:5" ht="27">
      <c r="A82" s="21" t="s">
        <v>329</v>
      </c>
      <c r="B82" s="42">
        <f>+Лист2!B60+Лист5!B54</f>
        <v>0</v>
      </c>
      <c r="C82" s="42">
        <f>+Лист2!C60+Лист5!C54</f>
        <v>0</v>
      </c>
      <c r="D82" s="40" t="str">
        <f>IF(B82=0,"   ",C82/B82*100)</f>
        <v>   </v>
      </c>
      <c r="E82" s="41">
        <f>C82-B82</f>
        <v>0</v>
      </c>
    </row>
    <row r="83" spans="1:5" ht="13.5">
      <c r="A83" s="21" t="s">
        <v>91</v>
      </c>
      <c r="B83" s="42">
        <f>Лист1!B68+Лист2!B61+Лист3!B55+Лист4!B56+Лист5!B55+Лист6!B54+Лист7!B68+Лист8!B54+Лист9!B58+Лист10!B55</f>
        <v>14500</v>
      </c>
      <c r="C83" s="42">
        <f>Лист1!C68+Лист2!C61+Лист3!C55+Лист4!C56+Лист5!C55+Лист6!C54+Лист7!C68+Лист8!C54+Лист9!C58+Лист10!C55</f>
        <v>0</v>
      </c>
      <c r="D83" s="40">
        <f t="shared" si="6"/>
        <v>0</v>
      </c>
      <c r="E83" s="41">
        <f t="shared" si="7"/>
        <v>-14500</v>
      </c>
    </row>
    <row r="84" spans="1:5" ht="13.5">
      <c r="A84" s="21" t="s">
        <v>52</v>
      </c>
      <c r="B84" s="43">
        <f>SUM(B85:B89)</f>
        <v>319800</v>
      </c>
      <c r="C84" s="43">
        <f>SUM(C85:C89)</f>
        <v>0</v>
      </c>
      <c r="D84" s="40">
        <f t="shared" si="6"/>
        <v>0</v>
      </c>
      <c r="E84" s="41">
        <f t="shared" si="7"/>
        <v>-319800</v>
      </c>
    </row>
    <row r="85" spans="1:5" ht="27">
      <c r="A85" s="17" t="s">
        <v>230</v>
      </c>
      <c r="B85" s="42">
        <f>Лист7!B71+Лист8!B57</f>
        <v>2000</v>
      </c>
      <c r="C85" s="42">
        <f>Лист7!C71+Лист8!C57</f>
        <v>0</v>
      </c>
      <c r="D85" s="40">
        <f>IF(B85=0,"   ",C85/B85*100)</f>
        <v>0</v>
      </c>
      <c r="E85" s="41">
        <f>C85-B85</f>
        <v>-2000</v>
      </c>
    </row>
    <row r="86" spans="1:5" ht="47.25" customHeight="1">
      <c r="A86" s="17" t="s">
        <v>231</v>
      </c>
      <c r="B86" s="42">
        <f>Лист3!B57+Лист7!B70+Лист1!B70+Лист2!B63+Лист4!B59+Лист5!B57+Лист6!B56+Лист8!B56+Лист9!B60+Лист10!B57</f>
        <v>317800</v>
      </c>
      <c r="C86" s="42">
        <f>Лист3!C57+Лист7!C70+Лист1!C70+Лист2!C63+Лист4!C59+Лист5!C57+Лист6!C56+Лист8!C56+Лист9!C60+Лист10!C57</f>
        <v>0</v>
      </c>
      <c r="D86" s="40">
        <f>IF(B86=0,"   ",C86/B86*100)</f>
        <v>0</v>
      </c>
      <c r="E86" s="41">
        <f>C86-B86</f>
        <v>-317800</v>
      </c>
    </row>
    <row r="87" spans="1:5" ht="26.25" customHeight="1">
      <c r="A87" s="17" t="s">
        <v>274</v>
      </c>
      <c r="B87" s="42">
        <f>Лист3!B58</f>
        <v>0</v>
      </c>
      <c r="C87" s="42">
        <f>Лист3!C58</f>
        <v>0</v>
      </c>
      <c r="D87" s="40" t="str">
        <f t="shared" si="6"/>
        <v>   </v>
      </c>
      <c r="E87" s="41">
        <f>C87-B87</f>
        <v>0</v>
      </c>
    </row>
    <row r="88" spans="1:5" ht="22.5" customHeight="1">
      <c r="A88" s="17" t="s">
        <v>212</v>
      </c>
      <c r="B88" s="42">
        <f>Лист4!B58+Лист7!B73+Лист5!B58+Лист1!B71</f>
        <v>0</v>
      </c>
      <c r="C88" s="42">
        <f>Лист4!C58+Лист7!C73+Лист5!C58+Лист1!C71</f>
        <v>0</v>
      </c>
      <c r="D88" s="40" t="str">
        <f>IF(B88=0,"   ",C88/B88*100)</f>
        <v>   </v>
      </c>
      <c r="E88" s="41">
        <f>C88-B88</f>
        <v>0</v>
      </c>
    </row>
    <row r="89" spans="1:5" ht="33" customHeight="1">
      <c r="A89" s="17" t="s">
        <v>234</v>
      </c>
      <c r="B89" s="42">
        <f>Лист7!B72</f>
        <v>0</v>
      </c>
      <c r="C89" s="42">
        <f>Лист7!C72</f>
        <v>0</v>
      </c>
      <c r="D89" s="42" t="str">
        <f>Лист7!D72</f>
        <v>   </v>
      </c>
      <c r="E89" s="42">
        <f>Лист7!E72</f>
        <v>0</v>
      </c>
    </row>
    <row r="90" spans="1:5" ht="13.5">
      <c r="A90" s="21" t="s">
        <v>49</v>
      </c>
      <c r="B90" s="43">
        <f>SUM(B91)</f>
        <v>1462000</v>
      </c>
      <c r="C90" s="43">
        <f>SUM(C91)</f>
        <v>273744.98</v>
      </c>
      <c r="D90" s="40">
        <f t="shared" si="6"/>
        <v>18.72400683994528</v>
      </c>
      <c r="E90" s="41">
        <f t="shared" si="7"/>
        <v>-1188255.02</v>
      </c>
    </row>
    <row r="91" spans="1:5" ht="33" customHeight="1">
      <c r="A91" s="21" t="s">
        <v>102</v>
      </c>
      <c r="B91" s="42">
        <f>Лист1!B73+Лист2!B65+Лист3!B60+Лист4!B61+Лист5!B60+Лист6!B58+Лист7!B75+Лист8!B59+Лист9!B62+Лист10!B59</f>
        <v>1462000</v>
      </c>
      <c r="C91" s="42">
        <f>Лист1!C73+Лист2!C65+Лист3!C60+Лист4!C61+Лист5!C60+Лист6!C58+Лист7!C75+Лист8!C59+Лист9!C62+Лист10!C59</f>
        <v>273744.98</v>
      </c>
      <c r="D91" s="40">
        <f t="shared" si="6"/>
        <v>18.72400683994528</v>
      </c>
      <c r="E91" s="41">
        <f t="shared" si="7"/>
        <v>-1188255.02</v>
      </c>
    </row>
    <row r="92" spans="1:5" ht="27">
      <c r="A92" s="21" t="s">
        <v>37</v>
      </c>
      <c r="B92" s="42">
        <f>Лист1!B74+Лист2!B66+Лист3!B61+Лист4!B62+Лист5!B61+Лист6!B59+Лист7!B76+Лист8!B60+Лист9!B63+Лист10!B60</f>
        <v>1008400</v>
      </c>
      <c r="C92" s="42">
        <f>Лист1!C74+Лист2!C66+Лист3!C61+Лист4!C62+Лист5!C61+Лист6!C59+Лист7!C76+Лист8!C60+Лист9!C63+Лист10!C60</f>
        <v>98346.77</v>
      </c>
      <c r="D92" s="40">
        <f t="shared" si="6"/>
        <v>9.752753867512892</v>
      </c>
      <c r="E92" s="41">
        <f t="shared" si="7"/>
        <v>-910053.23</v>
      </c>
    </row>
    <row r="93" spans="1:5" ht="33.75" customHeight="1">
      <c r="A93" s="60" t="s">
        <v>315</v>
      </c>
      <c r="B93" s="43">
        <f>Лист7!B77</f>
        <v>940000</v>
      </c>
      <c r="C93" s="43">
        <f>Лист7!C77</f>
        <v>98346.77</v>
      </c>
      <c r="D93" s="40">
        <f t="shared" si="6"/>
        <v>10.462422340425533</v>
      </c>
      <c r="E93" s="41">
        <f t="shared" si="7"/>
        <v>-841653.23</v>
      </c>
    </row>
    <row r="94" spans="1:5" ht="18.75" customHeight="1">
      <c r="A94" s="21" t="s">
        <v>92</v>
      </c>
      <c r="B94" s="42">
        <f>Лист7!B78</f>
        <v>940000</v>
      </c>
      <c r="C94" s="42">
        <f>Лист7!C78</f>
        <v>98346.77</v>
      </c>
      <c r="D94" s="40">
        <f t="shared" si="6"/>
        <v>10.462422340425533</v>
      </c>
      <c r="E94" s="41">
        <f t="shared" si="7"/>
        <v>-841653.23</v>
      </c>
    </row>
    <row r="95" spans="1:5" ht="15.75" customHeight="1">
      <c r="A95" s="21" t="s">
        <v>116</v>
      </c>
      <c r="B95" s="42">
        <f>Лист7!B79</f>
        <v>708141</v>
      </c>
      <c r="C95" s="42">
        <f>Лист7!C79</f>
        <v>79084</v>
      </c>
      <c r="D95" s="40">
        <f t="shared" si="6"/>
        <v>11.16783239496089</v>
      </c>
      <c r="E95" s="41">
        <f t="shared" si="7"/>
        <v>-629057</v>
      </c>
    </row>
    <row r="96" spans="1:5" ht="27">
      <c r="A96" s="21" t="s">
        <v>317</v>
      </c>
      <c r="B96" s="42">
        <f>Лист1!B75+Лист2!B67+Лист3!B62+Лист4!B63+Лист5!B62+Лист6!B60+Лист7!B80+Лист8!B61+Лист9!B64+Лист10!B61</f>
        <v>68400</v>
      </c>
      <c r="C96" s="42">
        <f>Лист1!C75+Лист2!C67+Лист3!C62+Лист4!C63+Лист5!C62+Лист6!C60+Лист7!C80+Лист8!C61+Лист9!C64+Лист10!C61</f>
        <v>0</v>
      </c>
      <c r="D96" s="40">
        <f t="shared" si="6"/>
        <v>0</v>
      </c>
      <c r="E96" s="41">
        <f t="shared" si="7"/>
        <v>-68400</v>
      </c>
    </row>
    <row r="97" spans="1:5" ht="13.5">
      <c r="A97" s="21" t="s">
        <v>38</v>
      </c>
      <c r="B97" s="43">
        <f>B107+B100+B122+B105+B98</f>
        <v>45714464.8</v>
      </c>
      <c r="C97" s="43">
        <f>C107+C100+C122+C105+C98</f>
        <v>3223428.4</v>
      </c>
      <c r="D97" s="40">
        <f t="shared" si="6"/>
        <v>7.051222001837807</v>
      </c>
      <c r="E97" s="41">
        <f t="shared" si="7"/>
        <v>-42491036.4</v>
      </c>
    </row>
    <row r="98" spans="1:5" ht="13.5">
      <c r="A98" s="61" t="s">
        <v>228</v>
      </c>
      <c r="B98" s="43">
        <f>B99</f>
        <v>0</v>
      </c>
      <c r="C98" s="43">
        <f>C99</f>
        <v>0</v>
      </c>
      <c r="D98" s="40" t="str">
        <f>IF(B98=0,"   ",C98/B98*100)</f>
        <v>   </v>
      </c>
      <c r="E98" s="41">
        <f t="shared" si="7"/>
        <v>0</v>
      </c>
    </row>
    <row r="99" spans="1:5" ht="27">
      <c r="A99" s="62" t="s">
        <v>229</v>
      </c>
      <c r="B99" s="43">
        <f>Лист7!B83</f>
        <v>0</v>
      </c>
      <c r="C99" s="43">
        <f>Лист7!C83</f>
        <v>0</v>
      </c>
      <c r="D99" s="40" t="str">
        <f>IF(B99=0,"   ",C99/B99*100)</f>
        <v>   </v>
      </c>
      <c r="E99" s="41">
        <f t="shared" si="7"/>
        <v>0</v>
      </c>
    </row>
    <row r="100" spans="1:5" ht="15.75" customHeight="1">
      <c r="A100" s="61" t="s">
        <v>163</v>
      </c>
      <c r="B100" s="43">
        <f>SUM(B101:B104)</f>
        <v>1621700</v>
      </c>
      <c r="C100" s="43">
        <f>SUM(C101:C104)</f>
        <v>0</v>
      </c>
      <c r="D100" s="40">
        <f t="shared" si="6"/>
        <v>0</v>
      </c>
      <c r="E100" s="41">
        <f aca="true" t="shared" si="8" ref="E100:E106">C100-B100</f>
        <v>-1621700</v>
      </c>
    </row>
    <row r="101" spans="1:5" ht="30" customHeight="1">
      <c r="A101" s="60" t="s">
        <v>160</v>
      </c>
      <c r="B101" s="43">
        <f>Лист10!B64+Лист7!B85+Лист2!B71+Лист6!B64+Лист1!B79+Лист3!B66+Лист4!B67+Лист5!B66+Лист8!B65+Лист9!B68</f>
        <v>60000</v>
      </c>
      <c r="C101" s="43">
        <f>Лист10!C64+Лист7!C85+Лист2!C71+Лист6!C64+Лист1!C79+Лист3!C66+Лист4!C67+Лист5!C66+Лист8!C65+Лист9!C68</f>
        <v>0</v>
      </c>
      <c r="D101" s="40">
        <f t="shared" si="6"/>
        <v>0</v>
      </c>
      <c r="E101" s="41">
        <f t="shared" si="8"/>
        <v>-60000</v>
      </c>
    </row>
    <row r="102" spans="1:5" ht="27">
      <c r="A102" s="62" t="s">
        <v>157</v>
      </c>
      <c r="B102" s="43">
        <f>Лист1!B78+Лист2!B70+Лист3!B65+Лист4!B66+Лист5!B65+Лист6!B63+Лист7!B86+Лист8!B64+Лист9!B67+Лист10!B65</f>
        <v>157200</v>
      </c>
      <c r="C102" s="43">
        <f>Лист1!C78+Лист2!C70+Лист3!C65+Лист4!C66+Лист5!C65+Лист6!C63+Лист7!C86+Лист8!C64+Лист9!C67+Лист10!C65</f>
        <v>0</v>
      </c>
      <c r="D102" s="40">
        <f t="shared" si="6"/>
        <v>0</v>
      </c>
      <c r="E102" s="41">
        <f t="shared" si="8"/>
        <v>-157200</v>
      </c>
    </row>
    <row r="103" spans="1:5" ht="27">
      <c r="A103" s="60" t="s">
        <v>291</v>
      </c>
      <c r="B103" s="43">
        <f>Лист7!B87+Лист2!B72+Лист6!B65+Лист3!B67+Лист5!B67+Лист8!B66+Лист1!B80+Лист4!B68+Лист9!B69+Лист10!B66</f>
        <v>1319900</v>
      </c>
      <c r="C103" s="43">
        <f>Лист7!C87+Лист2!C72+Лист6!C65+Лист3!C67+Лист5!C67+Лист8!C66+Лист1!C80+Лист4!C68+Лист9!C69+Лист10!C66</f>
        <v>0</v>
      </c>
      <c r="D103" s="40">
        <f>IF(B103=0,"   ",C103/B103*100)</f>
        <v>0</v>
      </c>
      <c r="E103" s="41">
        <f t="shared" si="8"/>
        <v>-1319900</v>
      </c>
    </row>
    <row r="104" spans="1:5" ht="27">
      <c r="A104" s="60" t="s">
        <v>292</v>
      </c>
      <c r="B104" s="43">
        <f>Лист7!B88+Лист2!B73+Лист6!B66+Лист3!B68+Лист5!B68+Лист8!B67+Лист1!B81+Лист4!B69+Лист9!B70+Лист10!B67</f>
        <v>84600</v>
      </c>
      <c r="C104" s="43">
        <f>Лист7!C88+Лист2!C73+Лист6!C66+Лист3!C68+Лист5!C68+Лист8!C67+Лист1!C81+Лист4!C69+Лист9!C70+Лист10!C67</f>
        <v>0</v>
      </c>
      <c r="D104" s="40">
        <f>IF(B104=0,"   ",C104/B104*100)</f>
        <v>0</v>
      </c>
      <c r="E104" s="41">
        <f t="shared" si="8"/>
        <v>-84600</v>
      </c>
    </row>
    <row r="105" spans="1:5" ht="13.5">
      <c r="A105" s="59" t="s">
        <v>223</v>
      </c>
      <c r="B105" s="43">
        <f>B106</f>
        <v>0</v>
      </c>
      <c r="C105" s="43">
        <f>C106</f>
        <v>0</v>
      </c>
      <c r="D105" s="40" t="str">
        <f>IF(B105=0,"   ",C105/B105*100)</f>
        <v>   </v>
      </c>
      <c r="E105" s="41">
        <f t="shared" si="8"/>
        <v>0</v>
      </c>
    </row>
    <row r="106" spans="1:5" ht="27">
      <c r="A106" s="60" t="s">
        <v>220</v>
      </c>
      <c r="B106" s="43">
        <f>Лист7!B90+Лист2!B75+Лист1!B83+Лист6!B68+Лист8!B69</f>
        <v>0</v>
      </c>
      <c r="C106" s="43">
        <f>Лист7!C90+Лист2!C75+Лист1!C83+Лист6!C68+Лист8!C69</f>
        <v>0</v>
      </c>
      <c r="D106" s="40" t="str">
        <f>IF(B106=0,"   ",C106/B106*100)</f>
        <v>   </v>
      </c>
      <c r="E106" s="41">
        <f t="shared" si="8"/>
        <v>0</v>
      </c>
    </row>
    <row r="107" spans="1:5" ht="13.5">
      <c r="A107" s="63" t="s">
        <v>124</v>
      </c>
      <c r="B107" s="43">
        <f>SUM(B108,B112:B121)</f>
        <v>43501164.8</v>
      </c>
      <c r="C107" s="43">
        <f>SUM(C108,C112:C121)</f>
        <v>3223428.4</v>
      </c>
      <c r="D107" s="40">
        <f aca="true" t="shared" si="9" ref="D107:D128">IF(B107=0,"   ",C107/B107*100)</f>
        <v>7.409981812716887</v>
      </c>
      <c r="E107" s="41">
        <f t="shared" si="7"/>
        <v>-40277736.4</v>
      </c>
    </row>
    <row r="108" spans="1:5" ht="13.5">
      <c r="A108" s="17" t="s">
        <v>341</v>
      </c>
      <c r="B108" s="43">
        <f>SUM(B109:B111)</f>
        <v>2827102.8000000003</v>
      </c>
      <c r="C108" s="43">
        <f>SUM(C109:C111)</f>
        <v>0</v>
      </c>
      <c r="D108" s="40">
        <f t="shared" si="9"/>
        <v>0</v>
      </c>
      <c r="E108" s="41">
        <f t="shared" si="7"/>
        <v>-2827102.8000000003</v>
      </c>
    </row>
    <row r="109" spans="1:5" ht="27">
      <c r="A109" s="17" t="s">
        <v>342</v>
      </c>
      <c r="B109" s="43">
        <f>Лист4!B73+Лист7!B94</f>
        <v>1172720.4</v>
      </c>
      <c r="C109" s="43">
        <f>Лист4!C73+Лист7!C94</f>
        <v>0</v>
      </c>
      <c r="D109" s="40">
        <f t="shared" si="9"/>
        <v>0</v>
      </c>
      <c r="E109" s="41">
        <f t="shared" si="7"/>
        <v>-1172720.4</v>
      </c>
    </row>
    <row r="110" spans="1:5" ht="27">
      <c r="A110" s="17" t="s">
        <v>336</v>
      </c>
      <c r="B110" s="43">
        <f>Лист4!B74+Лист7!B95</f>
        <v>1240786.8</v>
      </c>
      <c r="C110" s="43">
        <f>Лист4!C74+Лист7!C95</f>
        <v>0</v>
      </c>
      <c r="D110" s="40">
        <f t="shared" si="9"/>
        <v>0</v>
      </c>
      <c r="E110" s="41">
        <f t="shared" si="7"/>
        <v>-1240786.8</v>
      </c>
    </row>
    <row r="111" spans="1:5" ht="27" customHeight="1">
      <c r="A111" s="17" t="s">
        <v>343</v>
      </c>
      <c r="B111" s="43">
        <f>Лист4!B75+Лист7!B96</f>
        <v>413595.6</v>
      </c>
      <c r="C111" s="43">
        <f>Лист4!C75+Лист7!C96</f>
        <v>0</v>
      </c>
      <c r="D111" s="40">
        <f t="shared" si="9"/>
        <v>0</v>
      </c>
      <c r="E111" s="41">
        <f t="shared" si="7"/>
        <v>-413595.6</v>
      </c>
    </row>
    <row r="112" spans="1:5" ht="13.5">
      <c r="A112" s="62" t="s">
        <v>253</v>
      </c>
      <c r="B112" s="43">
        <f>Лист1!B85+Лист2!B77+Лист3!B70+Лист4!B71+Лист5!B70+Лист6!B70+Лист7!B92+Лист8!B71+Лист9!B72+Лист10!B69</f>
        <v>0</v>
      </c>
      <c r="C112" s="43">
        <f>Лист1!C85+Лист2!C77+Лист3!C70+Лист4!C71+Лист5!C70+Лист6!C70+Лист7!C92+Лист8!C71+Лист9!C72+Лист10!C69</f>
        <v>0</v>
      </c>
      <c r="D112" s="40" t="str">
        <f>IF(B112=0,"   ",C112/B112*100)</f>
        <v>   </v>
      </c>
      <c r="E112" s="41">
        <f>C112-B112</f>
        <v>0</v>
      </c>
    </row>
    <row r="113" spans="1:5" ht="27">
      <c r="A113" s="60" t="s">
        <v>246</v>
      </c>
      <c r="B113" s="43">
        <f>Лист7!B103</f>
        <v>0</v>
      </c>
      <c r="C113" s="43">
        <f>Лист7!C103</f>
        <v>0</v>
      </c>
      <c r="D113" s="40" t="str">
        <f>IF(B113=0,"   ",C113/B113*100)</f>
        <v>   </v>
      </c>
      <c r="E113" s="41">
        <f>C113-B113</f>
        <v>0</v>
      </c>
    </row>
    <row r="114" spans="1:5" ht="42.75" customHeight="1">
      <c r="A114" s="17" t="s">
        <v>236</v>
      </c>
      <c r="B114" s="43">
        <f>Лист1!B90+Лист2!B78+Лист3!B71+Лист4!B76+Лист5!B71+Лист6!B71+Лист7!B97+Лист8!B72+Лист9!B73+Лист10!B70</f>
        <v>4559400</v>
      </c>
      <c r="C114" s="43">
        <f>Лист1!C90+Лист2!C78+Лист3!C71+Лист4!C76+Лист5!C71+Лист6!C71+Лист7!C97+Лист8!C72+Лист9!C73+Лист10!C70</f>
        <v>109548.9</v>
      </c>
      <c r="D114" s="40">
        <f>IF(B114=0,"   ",C114/B114*100)</f>
        <v>2.402704303197789</v>
      </c>
      <c r="E114" s="41">
        <f>C114-B114</f>
        <v>-4449851.1</v>
      </c>
    </row>
    <row r="115" spans="1:5" ht="45" customHeight="1">
      <c r="A115" s="17" t="s">
        <v>237</v>
      </c>
      <c r="B115" s="43">
        <f>Лист1!B91+Лист2!B79+Лист3!B72+Лист4!B77+Лист5!B72+Лист6!B72+Лист7!B98+Лист8!B73+Лист9!B74+Лист10!B71</f>
        <v>1668162</v>
      </c>
      <c r="C115" s="43">
        <f>Лист1!C91+Лист2!C79+Лист3!C72+Лист4!C77+Лист5!C72+Лист6!C72+Лист7!C98+Лист8!C73+Лист9!C74+Лист10!C71</f>
        <v>0</v>
      </c>
      <c r="D115" s="40">
        <f t="shared" si="9"/>
        <v>0</v>
      </c>
      <c r="E115" s="41">
        <f t="shared" si="7"/>
        <v>-1668162</v>
      </c>
    </row>
    <row r="116" spans="1:5" ht="44.25" customHeight="1">
      <c r="A116" s="17" t="s">
        <v>238</v>
      </c>
      <c r="B116" s="43">
        <f>Лист1!B92+Лист2!B80+Лист3!B73+Лист4!B78+Лист5!B73+Лист6!B73+Лист7!B99+Лист8!B74+Лист9!B75+Лист10!B72</f>
        <v>25548700</v>
      </c>
      <c r="C116" s="43">
        <f>Лист1!C92+Лист2!C80+Лист3!C73+Лист4!C78+Лист5!C73+Лист6!C73+Лист7!C99+Лист8!C74+Лист9!C75+Лист10!C72</f>
        <v>0</v>
      </c>
      <c r="D116" s="40">
        <f t="shared" si="9"/>
        <v>0</v>
      </c>
      <c r="E116" s="41">
        <f t="shared" si="7"/>
        <v>-25548700</v>
      </c>
    </row>
    <row r="117" spans="1:5" ht="48" customHeight="1">
      <c r="A117" s="17" t="s">
        <v>239</v>
      </c>
      <c r="B117" s="43">
        <f>Лист1!B93+Лист2!B81+Лист3!B74+Лист4!B79+Лист5!B74+Лист6!B74+Лист7!B100+Лист8!B75+Лист9!B76+Лист10!B73</f>
        <v>1927400</v>
      </c>
      <c r="C117" s="43">
        <f>Лист1!C93+Лист2!C81+Лист3!C74+Лист4!C79+Лист5!C74+Лист6!C74+Лист7!C100+Лист8!C75+Лист9!C76+Лист10!C73</f>
        <v>0</v>
      </c>
      <c r="D117" s="40">
        <f t="shared" si="9"/>
        <v>0</v>
      </c>
      <c r="E117" s="41">
        <f t="shared" si="7"/>
        <v>-1927400</v>
      </c>
    </row>
    <row r="118" spans="1:5" ht="33.75" customHeight="1">
      <c r="A118" s="17" t="s">
        <v>240</v>
      </c>
      <c r="B118" s="43">
        <f>Лист1!B94+Лист2!B82+Лист3!B75+Лист4!B80+Лист5!B75+Лист6!B75+Лист7!B101+Лист8!B76+Лист9!B77+Лист10!B74</f>
        <v>4531100</v>
      </c>
      <c r="C118" s="43">
        <f>Лист1!C94+Лист2!C82+Лист3!C75+Лист4!C80+Лист5!C75+Лист6!C75+Лист7!C101+Лист8!C76+Лист9!C77+Лист10!C74</f>
        <v>2748963.5</v>
      </c>
      <c r="D118" s="40">
        <f t="shared" si="9"/>
        <v>60.66878903577497</v>
      </c>
      <c r="E118" s="41">
        <f>C118-B118</f>
        <v>-1782136.5</v>
      </c>
    </row>
    <row r="119" spans="1:5" ht="46.5" customHeight="1">
      <c r="A119" s="17" t="s">
        <v>241</v>
      </c>
      <c r="B119" s="43">
        <f>Лист1!B95+Лист2!B83+Лист3!B76+Лист4!B81+Лист5!B76+Лист6!B76+Лист7!B102+Лист8!B77+Лист9!B78+Лист10!B75</f>
        <v>503800</v>
      </c>
      <c r="C119" s="43">
        <f>Лист1!C95+Лист2!C83+Лист3!C76+Лист4!C81+Лист5!C76+Лист6!C76+Лист7!C102+Лист8!C77+Лист9!C78+Лист10!C75</f>
        <v>364916</v>
      </c>
      <c r="D119" s="40">
        <f t="shared" si="9"/>
        <v>72.43271139341009</v>
      </c>
      <c r="E119" s="41">
        <f t="shared" si="7"/>
        <v>-138884</v>
      </c>
    </row>
    <row r="120" spans="1:5" ht="45" customHeight="1">
      <c r="A120" s="17" t="s">
        <v>133</v>
      </c>
      <c r="B120" s="43">
        <f>Лист7!B104</f>
        <v>1741900</v>
      </c>
      <c r="C120" s="43">
        <f>Лист7!C104</f>
        <v>0</v>
      </c>
      <c r="D120" s="40">
        <f t="shared" si="9"/>
        <v>0</v>
      </c>
      <c r="E120" s="41">
        <f t="shared" si="7"/>
        <v>-1741900</v>
      </c>
    </row>
    <row r="121" spans="1:5" ht="36" customHeight="1">
      <c r="A121" s="21" t="s">
        <v>232</v>
      </c>
      <c r="B121" s="43">
        <f>Лист7!B105</f>
        <v>193600</v>
      </c>
      <c r="C121" s="43">
        <f>Лист7!C105</f>
        <v>0</v>
      </c>
      <c r="D121" s="40">
        <f>IF(B121=0,"   ",C121/B121*100)</f>
        <v>0</v>
      </c>
      <c r="E121" s="41">
        <f aca="true" t="shared" si="10" ref="E121:E158">C121-B121</f>
        <v>-193600</v>
      </c>
    </row>
    <row r="122" spans="1:5" ht="18.75" customHeight="1">
      <c r="A122" s="63" t="s">
        <v>167</v>
      </c>
      <c r="B122" s="43">
        <f>B123+B124</f>
        <v>591600</v>
      </c>
      <c r="C122" s="43">
        <f>C123+C124</f>
        <v>0</v>
      </c>
      <c r="D122" s="40">
        <f t="shared" si="9"/>
        <v>0</v>
      </c>
      <c r="E122" s="41">
        <f t="shared" si="10"/>
        <v>-591600</v>
      </c>
    </row>
    <row r="123" spans="1:5" ht="45" customHeight="1">
      <c r="A123" s="21" t="s">
        <v>146</v>
      </c>
      <c r="B123" s="43">
        <f>Лист1!B97+Лист2!B85+Лист7!B107+Лист9!B80+Лист4!B83+Лист5!B78+Лист6!B78+Лист10!B77+Лист8!B79+Лист3!B78</f>
        <v>321000</v>
      </c>
      <c r="C123" s="43">
        <f>Лист1!C97+Лист2!C85+Лист7!C107+Лист9!C80+Лист4!C83+Лист5!C78+Лист6!C78+Лист10!C77+Лист8!C79+Лист3!C78</f>
        <v>0</v>
      </c>
      <c r="D123" s="40">
        <f t="shared" si="9"/>
        <v>0</v>
      </c>
      <c r="E123" s="41">
        <f t="shared" si="10"/>
        <v>-321000</v>
      </c>
    </row>
    <row r="124" spans="1:5" ht="44.25" customHeight="1">
      <c r="A124" s="68" t="s">
        <v>168</v>
      </c>
      <c r="B124" s="43">
        <f>Лист1!B98+Лист2!B86+Лист3!B79+Лист5!B79+Лист7!B108+Лист8!B80+Лист9!B81+Лист10!B78+Лист4!B84</f>
        <v>270600</v>
      </c>
      <c r="C124" s="43">
        <f>Лист1!C98+Лист2!C86+Лист3!C79+Лист5!C79+Лист7!C108+Лист8!C80+Лист9!C81+Лист10!C78+Лист4!C84</f>
        <v>0</v>
      </c>
      <c r="D124" s="40">
        <f>IF(B124=0,"   ",C124/B124*100)</f>
        <v>0</v>
      </c>
      <c r="E124" s="41">
        <f t="shared" si="10"/>
        <v>-270600</v>
      </c>
    </row>
    <row r="125" spans="1:5" ht="15.75" customHeight="1">
      <c r="A125" s="21" t="s">
        <v>13</v>
      </c>
      <c r="B125" s="42">
        <f>SUM(B126,B129,B147,B172)</f>
        <v>105654216.41</v>
      </c>
      <c r="C125" s="42">
        <f>SUM(C126,C129,C147,C172)</f>
        <v>3103918.5899999994</v>
      </c>
      <c r="D125" s="40">
        <f t="shared" si="9"/>
        <v>2.9378085375741034</v>
      </c>
      <c r="E125" s="41">
        <f t="shared" si="10"/>
        <v>-102550297.82</v>
      </c>
    </row>
    <row r="126" spans="1:5" ht="14.25" customHeight="1">
      <c r="A126" s="21" t="s">
        <v>14</v>
      </c>
      <c r="B126" s="70">
        <f>SUM(B127:B128)</f>
        <v>380000</v>
      </c>
      <c r="C126" s="70">
        <f>SUM(C127:C128)</f>
        <v>0</v>
      </c>
      <c r="D126" s="40">
        <f t="shared" si="9"/>
        <v>0</v>
      </c>
      <c r="E126" s="41">
        <f t="shared" si="10"/>
        <v>-380000</v>
      </c>
    </row>
    <row r="127" spans="1:5" ht="14.25" customHeight="1">
      <c r="A127" s="21" t="s">
        <v>89</v>
      </c>
      <c r="B127" s="42">
        <f>Лист7!B111+Лист9!B84+Лист1!B103</f>
        <v>280000</v>
      </c>
      <c r="C127" s="42">
        <f>Лист7!C111+Лист9!C84+Лист1!C103</f>
        <v>0</v>
      </c>
      <c r="D127" s="40">
        <f t="shared" si="9"/>
        <v>0</v>
      </c>
      <c r="E127" s="41">
        <f t="shared" si="10"/>
        <v>-280000</v>
      </c>
    </row>
    <row r="128" spans="1:5" ht="21.75" customHeight="1">
      <c r="A128" s="21" t="s">
        <v>173</v>
      </c>
      <c r="B128" s="42">
        <f>Лист7!B112</f>
        <v>100000</v>
      </c>
      <c r="C128" s="42">
        <f>Лист7!C112</f>
        <v>0</v>
      </c>
      <c r="D128" s="40">
        <f t="shared" si="9"/>
        <v>0</v>
      </c>
      <c r="E128" s="41">
        <f t="shared" si="10"/>
        <v>-100000</v>
      </c>
    </row>
    <row r="129" spans="1:5" ht="14.25" customHeight="1">
      <c r="A129" s="21" t="s">
        <v>70</v>
      </c>
      <c r="B129" s="70">
        <f>SUM(B130:B143)</f>
        <v>7796430</v>
      </c>
      <c r="C129" s="70">
        <f>SUM(C130:C143)</f>
        <v>480980.8</v>
      </c>
      <c r="D129" s="40">
        <f aca="true" t="shared" si="11" ref="D129:D154">IF(B129=0,"   ",C129/B129*100)</f>
        <v>6.169244128402358</v>
      </c>
      <c r="E129" s="41">
        <f t="shared" si="10"/>
        <v>-7315449.2</v>
      </c>
    </row>
    <row r="130" spans="1:5" ht="13.5">
      <c r="A130" s="21" t="s">
        <v>71</v>
      </c>
      <c r="B130" s="42">
        <f>Лист7!B125</f>
        <v>300000</v>
      </c>
      <c r="C130" s="42">
        <f>Лист7!C125</f>
        <v>0</v>
      </c>
      <c r="D130" s="40">
        <f t="shared" si="11"/>
        <v>0</v>
      </c>
      <c r="E130" s="41">
        <f t="shared" si="10"/>
        <v>-300000</v>
      </c>
    </row>
    <row r="131" spans="1:5" ht="27">
      <c r="A131" s="21" t="s">
        <v>270</v>
      </c>
      <c r="B131" s="42">
        <f>Лист1!B108+Лист2!B90+Лист3!B83+Лист5!B84+Лист6!B84+Лист7!B122+Лист8!B88+Лист9!B86+Лист10!B82</f>
        <v>5314830</v>
      </c>
      <c r="C131" s="42">
        <f>Лист1!C108+Лист2!C90+Лист3!C83+Лист5!C84+Лист6!C84+Лист7!C122+Лист8!C88+Лист9!C86+Лист10!C82</f>
        <v>0</v>
      </c>
      <c r="D131" s="40">
        <f t="shared" si="11"/>
        <v>0</v>
      </c>
      <c r="E131" s="41">
        <f t="shared" si="10"/>
        <v>-5314830</v>
      </c>
    </row>
    <row r="132" spans="1:5" ht="27">
      <c r="A132" s="21" t="s">
        <v>295</v>
      </c>
      <c r="B132" s="42">
        <f>Лист7!B116</f>
        <v>0</v>
      </c>
      <c r="C132" s="42">
        <f>Лист7!C116</f>
        <v>0</v>
      </c>
      <c r="D132" s="40" t="str">
        <f>IF(B132=0,"   ",C132/B132*100)</f>
        <v>   </v>
      </c>
      <c r="E132" s="41">
        <f>C132-B132</f>
        <v>0</v>
      </c>
    </row>
    <row r="133" spans="1:5" ht="27">
      <c r="A133" s="21" t="s">
        <v>296</v>
      </c>
      <c r="B133" s="42">
        <f>Лист7!B117</f>
        <v>0</v>
      </c>
      <c r="C133" s="42">
        <f>Лист7!C117</f>
        <v>0</v>
      </c>
      <c r="D133" s="40" t="str">
        <f>IF(B133=0,"   ",C133/B133*100)</f>
        <v>   </v>
      </c>
      <c r="E133" s="41">
        <f>C133-B133</f>
        <v>0</v>
      </c>
    </row>
    <row r="134" spans="1:5" ht="32.25" customHeight="1">
      <c r="A134" s="21" t="s">
        <v>321</v>
      </c>
      <c r="B134" s="42">
        <f>Лист2!B91+Лист7!B123+Лист9!B87+Лист10!B83</f>
        <v>0</v>
      </c>
      <c r="C134" s="42">
        <f>Лист2!C91+Лист7!C123+Лист9!C87+Лист10!C83</f>
        <v>0</v>
      </c>
      <c r="D134" s="40" t="str">
        <f>IF(B134=0,"   ",C134/B134*100)</f>
        <v>   </v>
      </c>
      <c r="E134" s="41">
        <f t="shared" si="10"/>
        <v>0</v>
      </c>
    </row>
    <row r="135" spans="1:5" ht="41.25">
      <c r="A135" s="21" t="s">
        <v>185</v>
      </c>
      <c r="B135" s="42">
        <f>Лист8!B85+Лист7!B114+Лист6!B81+Лист2!B89+Лист1!B105+Лист5!B83+Лист9!B88+Лист3!B82+Лист4!B87+Лист10!B81</f>
        <v>275000</v>
      </c>
      <c r="C135" s="42">
        <f>Лист8!C85+Лист7!C114+Лист6!C81+Лист2!C89+Лист1!C105+Лист5!C83+Лист9!C88+Лист3!C82+Лист4!C87+Лист10!C81</f>
        <v>9579.18</v>
      </c>
      <c r="D135" s="40">
        <f t="shared" si="11"/>
        <v>3.4833381818181817</v>
      </c>
      <c r="E135" s="41">
        <f t="shared" si="10"/>
        <v>-265420.82</v>
      </c>
    </row>
    <row r="136" spans="1:5" ht="27">
      <c r="A136" s="38" t="s">
        <v>319</v>
      </c>
      <c r="B136" s="42">
        <f>Лист9!B92</f>
        <v>0</v>
      </c>
      <c r="C136" s="42">
        <f>Лист9!C92</f>
        <v>0</v>
      </c>
      <c r="D136" s="40" t="str">
        <f>IF(B136=0,"   ",C136/B136*100)</f>
        <v>   </v>
      </c>
      <c r="E136" s="41">
        <f>C136-B136</f>
        <v>0</v>
      </c>
    </row>
    <row r="137" spans="1:5" ht="31.5" customHeight="1">
      <c r="A137" s="21" t="s">
        <v>310</v>
      </c>
      <c r="B137" s="42">
        <f>Лист7!B124</f>
        <v>0</v>
      </c>
      <c r="C137" s="42">
        <f>Лист7!C124</f>
        <v>0</v>
      </c>
      <c r="D137" s="40" t="str">
        <f>IF(B137=0,"   ",C137/B137*100)</f>
        <v>   </v>
      </c>
      <c r="E137" s="41">
        <f>C137-B137</f>
        <v>0</v>
      </c>
    </row>
    <row r="138" spans="1:5" ht="27">
      <c r="A138" s="21" t="s">
        <v>300</v>
      </c>
      <c r="B138" s="42">
        <f>Лист1!B114</f>
        <v>0</v>
      </c>
      <c r="C138" s="42">
        <f>Лист1!C114</f>
        <v>0</v>
      </c>
      <c r="D138" s="40" t="str">
        <f t="shared" si="11"/>
        <v>   </v>
      </c>
      <c r="E138" s="41">
        <f t="shared" si="10"/>
        <v>0</v>
      </c>
    </row>
    <row r="139" spans="1:5" ht="17.25" customHeight="1">
      <c r="A139" s="38" t="s">
        <v>150</v>
      </c>
      <c r="B139" s="42">
        <f>Лист7!B115+Лист9!B89+Лист1!B106+Лист5!B82+Лист8!B86+Лист10!B84+Лист3!B86+Лист4!B89</f>
        <v>421400</v>
      </c>
      <c r="C139" s="42">
        <f>Лист7!C115+Лист9!C89+Лист1!C106+Лист5!C82+Лист8!C86+Лист10!C84+Лист3!C86+Лист4!C89</f>
        <v>78691.62</v>
      </c>
      <c r="D139" s="40">
        <f t="shared" si="11"/>
        <v>18.673853820598005</v>
      </c>
      <c r="E139" s="41">
        <f t="shared" si="10"/>
        <v>-342708.38</v>
      </c>
    </row>
    <row r="140" spans="1:5" ht="30" customHeight="1">
      <c r="A140" s="38" t="s">
        <v>318</v>
      </c>
      <c r="B140" s="42">
        <f>Лист9!B90</f>
        <v>0</v>
      </c>
      <c r="C140" s="42">
        <f>Лист9!C90</f>
        <v>0</v>
      </c>
      <c r="D140" s="40" t="str">
        <f>IF(B140=0,"   ",C140/B140*100)</f>
        <v>   </v>
      </c>
      <c r="E140" s="41">
        <f>C140-B140</f>
        <v>0</v>
      </c>
    </row>
    <row r="141" spans="1:5" ht="28.5" customHeight="1">
      <c r="A141" s="21" t="s">
        <v>316</v>
      </c>
      <c r="B141" s="42">
        <f>Лист2!B92+Лист3!B85+Лист5!B86+Лист6!B82+Лист8!B87+Лист9!B91+Лист10!B85+Лист1!B107+Лист4!B88</f>
        <v>1485200</v>
      </c>
      <c r="C141" s="42">
        <f>Лист2!C92+Лист3!C85+Лист5!C86+Лист6!C82+Лист8!C87+Лист9!C91+Лист10!C85+Лист1!C107+Лист4!C88</f>
        <v>392710</v>
      </c>
      <c r="D141" s="40">
        <f>IF(B141=0,"   ",C141/B141*100)</f>
        <v>26.44155669270132</v>
      </c>
      <c r="E141" s="41">
        <f>C141-B141</f>
        <v>-1092490</v>
      </c>
    </row>
    <row r="142" spans="1:5" ht="28.5" customHeight="1">
      <c r="A142" s="21" t="s">
        <v>329</v>
      </c>
      <c r="B142" s="42">
        <f>Лист5!B87</f>
        <v>0</v>
      </c>
      <c r="C142" s="42">
        <f>Лист5!C87</f>
        <v>0</v>
      </c>
      <c r="D142" s="40" t="str">
        <f>IF(B142=0,"   ",C142/B142*100)</f>
        <v>   </v>
      </c>
      <c r="E142" s="41">
        <f>C142-B142</f>
        <v>0</v>
      </c>
    </row>
    <row r="143" spans="1:5" ht="21.75" customHeight="1">
      <c r="A143" s="17" t="s">
        <v>341</v>
      </c>
      <c r="B143" s="42">
        <f>SUM(B144:B146)</f>
        <v>0</v>
      </c>
      <c r="C143" s="42">
        <f>SUM(C144:C146)</f>
        <v>0</v>
      </c>
      <c r="D143" s="40" t="str">
        <f t="shared" si="11"/>
        <v>   </v>
      </c>
      <c r="E143" s="41">
        <f t="shared" si="10"/>
        <v>0</v>
      </c>
    </row>
    <row r="144" spans="1:5" ht="18.75" customHeight="1">
      <c r="A144" s="17" t="s">
        <v>347</v>
      </c>
      <c r="B144" s="42">
        <v>0</v>
      </c>
      <c r="C144" s="42">
        <v>0</v>
      </c>
      <c r="D144" s="40" t="str">
        <f t="shared" si="11"/>
        <v>   </v>
      </c>
      <c r="E144" s="41">
        <f t="shared" si="10"/>
        <v>0</v>
      </c>
    </row>
    <row r="145" spans="1:5" ht="17.25" customHeight="1">
      <c r="A145" s="17" t="s">
        <v>348</v>
      </c>
      <c r="B145" s="42">
        <v>0</v>
      </c>
      <c r="C145" s="42">
        <v>0</v>
      </c>
      <c r="D145" s="40" t="str">
        <f t="shared" si="11"/>
        <v>   </v>
      </c>
      <c r="E145" s="41">
        <f t="shared" si="10"/>
        <v>0</v>
      </c>
    </row>
    <row r="146" spans="1:5" ht="15" customHeight="1">
      <c r="A146" s="17" t="s">
        <v>349</v>
      </c>
      <c r="B146" s="42">
        <v>0</v>
      </c>
      <c r="C146" s="42">
        <v>0</v>
      </c>
      <c r="D146" s="40" t="str">
        <f t="shared" si="11"/>
        <v>   </v>
      </c>
      <c r="E146" s="41">
        <f t="shared" si="10"/>
        <v>0</v>
      </c>
    </row>
    <row r="147" spans="1:5" ht="13.5">
      <c r="A147" s="21" t="s">
        <v>72</v>
      </c>
      <c r="B147" s="70">
        <f>SUM(B148:B158,B159,B163,B164,B168)</f>
        <v>37317646.41</v>
      </c>
      <c r="C147" s="70">
        <f>SUM(C148:C158,C159,C164,C168)</f>
        <v>2622937.7899999996</v>
      </c>
      <c r="D147" s="40">
        <f t="shared" si="11"/>
        <v>7.028679572078082</v>
      </c>
      <c r="E147" s="41">
        <f t="shared" si="10"/>
        <v>-34694708.62</v>
      </c>
    </row>
    <row r="148" spans="1:5" ht="13.5">
      <c r="A148" s="21" t="s">
        <v>60</v>
      </c>
      <c r="B148" s="42">
        <f>Лист1!B116+Лист2!B99+Лист3!B88+Лист4!B91+Лист5!B93+Лист6!B91+Лист7!B127+Лист8!B91+Лист9!B98+Лист10!B87</f>
        <v>8570000</v>
      </c>
      <c r="C148" s="42">
        <f>Лист1!C116+Лист2!C99+Лист3!C88+Лист4!C91+Лист5!C93+Лист6!C91+Лист7!C127+Лист8!C91+Лист9!C98+Лист10!C87</f>
        <v>2036411.3399999999</v>
      </c>
      <c r="D148" s="40">
        <f t="shared" si="11"/>
        <v>23.762092648774793</v>
      </c>
      <c r="E148" s="41">
        <f t="shared" si="10"/>
        <v>-6533588.66</v>
      </c>
    </row>
    <row r="149" spans="1:5" ht="27" customHeight="1">
      <c r="A149" s="21" t="s">
        <v>207</v>
      </c>
      <c r="B149" s="42">
        <f>Лист7!B128</f>
        <v>6000</v>
      </c>
      <c r="C149" s="42">
        <f>Лист7!C128</f>
        <v>0</v>
      </c>
      <c r="D149" s="40">
        <f t="shared" si="11"/>
        <v>0</v>
      </c>
      <c r="E149" s="41">
        <f t="shared" si="10"/>
        <v>-6000</v>
      </c>
    </row>
    <row r="150" spans="1:5" ht="27" customHeight="1">
      <c r="A150" s="17" t="s">
        <v>312</v>
      </c>
      <c r="B150" s="42">
        <f>Лист7!B133</f>
        <v>0</v>
      </c>
      <c r="C150" s="42">
        <f>Лист7!C133</f>
        <v>0</v>
      </c>
      <c r="D150" s="40" t="str">
        <f>IF(B150=0,"   ",C150/B150*100)</f>
        <v>   </v>
      </c>
      <c r="E150" s="41">
        <f t="shared" si="10"/>
        <v>0</v>
      </c>
    </row>
    <row r="151" spans="1:5" ht="23.25" customHeight="1">
      <c r="A151" s="17" t="s">
        <v>235</v>
      </c>
      <c r="B151" s="42">
        <f>Лист7!B143</f>
        <v>666675</v>
      </c>
      <c r="C151" s="42">
        <f>Лист7!C143</f>
        <v>0</v>
      </c>
      <c r="D151" s="40">
        <f t="shared" si="11"/>
        <v>0</v>
      </c>
      <c r="E151" s="41">
        <f t="shared" si="10"/>
        <v>-666675</v>
      </c>
    </row>
    <row r="152" spans="1:5" ht="13.5">
      <c r="A152" s="21" t="s">
        <v>73</v>
      </c>
      <c r="B152" s="42">
        <f>Лист7!B129</f>
        <v>266600</v>
      </c>
      <c r="C152" s="42">
        <f>Лист7!C129</f>
        <v>0</v>
      </c>
      <c r="D152" s="40">
        <f t="shared" si="11"/>
        <v>0</v>
      </c>
      <c r="E152" s="41">
        <f t="shared" si="10"/>
        <v>-266600</v>
      </c>
    </row>
    <row r="153" spans="1:5" ht="13.5">
      <c r="A153" s="21" t="s">
        <v>74</v>
      </c>
      <c r="B153" s="42">
        <f>Лист7!B130</f>
        <v>100000</v>
      </c>
      <c r="C153" s="42">
        <f>Лист7!C130</f>
        <v>0</v>
      </c>
      <c r="D153" s="40">
        <f t="shared" si="11"/>
        <v>0</v>
      </c>
      <c r="E153" s="41">
        <f t="shared" si="10"/>
        <v>-100000</v>
      </c>
    </row>
    <row r="154" spans="1:5" ht="13.5">
      <c r="A154" s="21" t="s">
        <v>75</v>
      </c>
      <c r="B154" s="42">
        <f>Лист1!B118+Лист3!B89+Лист4!B92+Лист5!B94+Лист7!B131+Лист8!B93+Лист9!B99+Лист10!B89+Лист6!B92+Лист2!B104</f>
        <v>4250856.6</v>
      </c>
      <c r="C154" s="42">
        <f>Лист1!C118+Лист3!C89+Лист4!C92+Лист5!C94+Лист7!C131+Лист8!C93+Лист9!C99+Лист10!C89+Лист6!C92+Лист2!C104</f>
        <v>534870.67</v>
      </c>
      <c r="D154" s="40">
        <f t="shared" si="11"/>
        <v>12.582656163936464</v>
      </c>
      <c r="E154" s="41">
        <f t="shared" si="10"/>
        <v>-3715985.9299999997</v>
      </c>
    </row>
    <row r="155" spans="1:5" ht="27">
      <c r="A155" s="21" t="s">
        <v>329</v>
      </c>
      <c r="B155" s="42">
        <f>Лист5!B95+Лист10!B90</f>
        <v>0</v>
      </c>
      <c r="C155" s="42">
        <f>Лист5!C95+Лист10!C90</f>
        <v>0</v>
      </c>
      <c r="D155" s="40" t="str">
        <f>IF(B155=0,"   ",C155/B155*100)</f>
        <v>   </v>
      </c>
      <c r="E155" s="41">
        <f>C155-B155</f>
        <v>0</v>
      </c>
    </row>
    <row r="156" spans="1:5" ht="24" customHeight="1">
      <c r="A156" s="21" t="s">
        <v>320</v>
      </c>
      <c r="B156" s="42">
        <f>Лист9!B100</f>
        <v>0</v>
      </c>
      <c r="C156" s="42">
        <f>Лист9!C100</f>
        <v>0</v>
      </c>
      <c r="D156" s="40" t="str">
        <f>IF(B156=0,"   ",C156/B156*100)</f>
        <v>   </v>
      </c>
      <c r="E156" s="41">
        <f>C156-B156</f>
        <v>0</v>
      </c>
    </row>
    <row r="157" spans="1:5" ht="27">
      <c r="A157" s="62" t="s">
        <v>229</v>
      </c>
      <c r="B157" s="42">
        <f>Лист7!B138</f>
        <v>276800</v>
      </c>
      <c r="C157" s="42">
        <f>Лист7!C138</f>
        <v>51655.78</v>
      </c>
      <c r="D157" s="40">
        <f>IF(B157=0,"   ",C157/B157*100)</f>
        <v>18.661770231213872</v>
      </c>
      <c r="E157" s="41">
        <f>C157-B157</f>
        <v>-225144.22</v>
      </c>
    </row>
    <row r="158" spans="1:5" ht="27">
      <c r="A158" s="17" t="s">
        <v>327</v>
      </c>
      <c r="B158" s="42">
        <f>Лист1!B119+Лист3!B95+Лист4!B97+Лист5!B100+Лист7!B132+Лист8!B92+Лист9!B101+Лист10!B88+Лист6!B97+Лист2!B105</f>
        <v>0</v>
      </c>
      <c r="C158" s="42">
        <f>Лист1!C119+Лист3!C95+Лист4!C97+Лист5!C100+Лист7!C132+Лист8!C92+Лист9!C101+Лист10!C88+Лист6!C97+Лист2!C105</f>
        <v>0</v>
      </c>
      <c r="D158" s="40" t="str">
        <f aca="true" t="shared" si="12" ref="D158:D167">IF(B158=0,"   ",C158/B158*100)</f>
        <v>   </v>
      </c>
      <c r="E158" s="41">
        <f t="shared" si="10"/>
        <v>0</v>
      </c>
    </row>
    <row r="159" spans="1:5" ht="13.5">
      <c r="A159" s="17" t="s">
        <v>341</v>
      </c>
      <c r="B159" s="42">
        <f>SUM(B160:B162)</f>
        <v>206010</v>
      </c>
      <c r="C159" s="42">
        <f>SUM(C160:C162)</f>
        <v>0</v>
      </c>
      <c r="D159" s="40">
        <f t="shared" si="12"/>
        <v>0</v>
      </c>
      <c r="E159" s="41">
        <f>C159-B159</f>
        <v>-206010</v>
      </c>
    </row>
    <row r="160" spans="1:5" ht="27">
      <c r="A160" s="17" t="s">
        <v>344</v>
      </c>
      <c r="B160" s="42">
        <f>Лист8!B95+Лист10!B92</f>
        <v>206010</v>
      </c>
      <c r="C160" s="42">
        <f>Лист8!C95+Лист10!C92</f>
        <v>0</v>
      </c>
      <c r="D160" s="40">
        <f t="shared" si="12"/>
        <v>0</v>
      </c>
      <c r="E160" s="41">
        <f>C160-B160</f>
        <v>-206010</v>
      </c>
    </row>
    <row r="161" spans="1:5" ht="27">
      <c r="A161" s="17" t="s">
        <v>345</v>
      </c>
      <c r="B161" s="42">
        <f>Лист8!B96+Лист10!B93</f>
        <v>0</v>
      </c>
      <c r="C161" s="42">
        <f>Лист8!C96+Лист10!C93</f>
        <v>0</v>
      </c>
      <c r="D161" s="40" t="str">
        <f t="shared" si="12"/>
        <v>   </v>
      </c>
      <c r="E161" s="41">
        <f>C161-B161</f>
        <v>0</v>
      </c>
    </row>
    <row r="162" spans="1:5" ht="24.75" customHeight="1">
      <c r="A162" s="17" t="s">
        <v>346</v>
      </c>
      <c r="B162" s="42">
        <f>Лист8!B97+Лист10!B94</f>
        <v>0</v>
      </c>
      <c r="C162" s="42">
        <f>Лист8!C97+Лист10!C94</f>
        <v>0</v>
      </c>
      <c r="D162" s="40" t="str">
        <f t="shared" si="12"/>
        <v>   </v>
      </c>
      <c r="E162" s="41">
        <f>C162-B162</f>
        <v>0</v>
      </c>
    </row>
    <row r="163" spans="1:5" ht="27">
      <c r="A163" s="17" t="s">
        <v>286</v>
      </c>
      <c r="B163" s="39">
        <f>Лист7!B144</f>
        <v>0</v>
      </c>
      <c r="C163" s="39">
        <f>Лист7!C144</f>
        <v>0</v>
      </c>
      <c r="D163" s="40" t="str">
        <f t="shared" si="12"/>
        <v>   </v>
      </c>
      <c r="E163" s="41">
        <f>C163-B163</f>
        <v>0</v>
      </c>
    </row>
    <row r="164" spans="1:5" ht="27">
      <c r="A164" s="17" t="s">
        <v>260</v>
      </c>
      <c r="B164" s="39">
        <f>B165+B167+B166</f>
        <v>17235172.06</v>
      </c>
      <c r="C164" s="39">
        <f>C165+C167+C166</f>
        <v>0</v>
      </c>
      <c r="D164" s="40">
        <f t="shared" si="12"/>
        <v>0</v>
      </c>
      <c r="E164" s="41">
        <f aca="true" t="shared" si="13" ref="E164:E186">C164-B164</f>
        <v>-17235172.06</v>
      </c>
    </row>
    <row r="165" spans="1:5" ht="27">
      <c r="A165" s="17" t="s">
        <v>249</v>
      </c>
      <c r="B165" s="39">
        <f>Лист7!B146</f>
        <v>16201061.74</v>
      </c>
      <c r="C165" s="39">
        <f>Лист7!C146</f>
        <v>0</v>
      </c>
      <c r="D165" s="40">
        <f t="shared" si="12"/>
        <v>0</v>
      </c>
      <c r="E165" s="41">
        <f t="shared" si="13"/>
        <v>-16201061.74</v>
      </c>
    </row>
    <row r="166" spans="1:5" ht="27">
      <c r="A166" s="17" t="s">
        <v>261</v>
      </c>
      <c r="B166" s="39">
        <f>Лист7!B147</f>
        <v>1034110.32</v>
      </c>
      <c r="C166" s="39">
        <f>Лист7!C147</f>
        <v>0</v>
      </c>
      <c r="D166" s="40">
        <f t="shared" si="12"/>
        <v>0</v>
      </c>
      <c r="E166" s="41">
        <f t="shared" si="13"/>
        <v>-1034110.32</v>
      </c>
    </row>
    <row r="167" spans="1:5" ht="27">
      <c r="A167" s="17" t="s">
        <v>262</v>
      </c>
      <c r="B167" s="39">
        <f>Лист7!B148</f>
        <v>0</v>
      </c>
      <c r="C167" s="39">
        <f>Лист7!C148</f>
        <v>0</v>
      </c>
      <c r="D167" s="40" t="str">
        <f t="shared" si="12"/>
        <v>   </v>
      </c>
      <c r="E167" s="41">
        <f t="shared" si="13"/>
        <v>0</v>
      </c>
    </row>
    <row r="168" spans="1:5" ht="33.75" customHeight="1">
      <c r="A168" s="17" t="s">
        <v>172</v>
      </c>
      <c r="B168" s="39">
        <f>B169+B171+B170</f>
        <v>5739532.75</v>
      </c>
      <c r="C168" s="39">
        <f>C169+C171+C170</f>
        <v>0</v>
      </c>
      <c r="D168" s="50">
        <f>IF(B168=0,"   ",C168/B168)</f>
        <v>0</v>
      </c>
      <c r="E168" s="51">
        <f t="shared" si="13"/>
        <v>-5739532.75</v>
      </c>
    </row>
    <row r="169" spans="1:5" ht="13.5">
      <c r="A169" s="17" t="s">
        <v>170</v>
      </c>
      <c r="B169" s="39">
        <f>Лист7!B135</f>
        <v>5682137.42</v>
      </c>
      <c r="C169" s="39">
        <f>Лист7!C135</f>
        <v>0</v>
      </c>
      <c r="D169" s="50">
        <f>IF(B169=0,"   ",C169/B169)</f>
        <v>0</v>
      </c>
      <c r="E169" s="51">
        <f t="shared" si="13"/>
        <v>-5682137.42</v>
      </c>
    </row>
    <row r="170" spans="1:5" ht="13.5">
      <c r="A170" s="17" t="s">
        <v>171</v>
      </c>
      <c r="B170" s="39">
        <f>Лист7!B136</f>
        <v>40176.73</v>
      </c>
      <c r="C170" s="39">
        <f>Лист7!C136</f>
        <v>0</v>
      </c>
      <c r="D170" s="50">
        <f>IF(B170=0,"   ",C170/B170)</f>
        <v>0</v>
      </c>
      <c r="E170" s="51">
        <f t="shared" si="13"/>
        <v>-40176.73</v>
      </c>
    </row>
    <row r="171" spans="1:5" ht="13.5">
      <c r="A171" s="17" t="s">
        <v>184</v>
      </c>
      <c r="B171" s="39">
        <f>Лист7!B137</f>
        <v>17218.6</v>
      </c>
      <c r="C171" s="39">
        <f>Лист7!C137</f>
        <v>0</v>
      </c>
      <c r="D171" s="50">
        <f>IF(B171=0,"   ",C171/B171)</f>
        <v>0</v>
      </c>
      <c r="E171" s="51">
        <f t="shared" si="13"/>
        <v>-17218.6</v>
      </c>
    </row>
    <row r="172" spans="1:5" ht="27">
      <c r="A172" s="62" t="s">
        <v>302</v>
      </c>
      <c r="B172" s="165">
        <f>SUM(B173:B176,)</f>
        <v>60160140</v>
      </c>
      <c r="C172" s="165">
        <f>SUM(C173:C176,)</f>
        <v>0</v>
      </c>
      <c r="D172" s="40">
        <f>IF(B172=0,"   ",C172/B172*100)</f>
        <v>0</v>
      </c>
      <c r="E172" s="41">
        <f>C172-B172</f>
        <v>-60160140</v>
      </c>
    </row>
    <row r="173" spans="1:5" ht="54.75">
      <c r="A173" s="62" t="s">
        <v>364</v>
      </c>
      <c r="B173" s="42">
        <f>Лист7!B150</f>
        <v>50000000</v>
      </c>
      <c r="C173" s="42">
        <f>Лист7!C150</f>
        <v>0</v>
      </c>
      <c r="D173" s="40">
        <f>IF(B173=0,"   ",C173/B173*100)</f>
        <v>0</v>
      </c>
      <c r="E173" s="41">
        <f>C173-B173</f>
        <v>-50000000</v>
      </c>
    </row>
    <row r="174" spans="1:5" ht="54.75">
      <c r="A174" s="62" t="s">
        <v>335</v>
      </c>
      <c r="B174" s="42">
        <f>Лист7!B151</f>
        <v>9548369.6</v>
      </c>
      <c r="C174" s="42">
        <v>0</v>
      </c>
      <c r="D174" s="40">
        <f>IF(B174=0,"   ",C174/B174*100)</f>
        <v>0</v>
      </c>
      <c r="E174" s="41">
        <f>C174-B174</f>
        <v>-9548369.6</v>
      </c>
    </row>
    <row r="175" spans="1:5" ht="54.75">
      <c r="A175" s="62" t="s">
        <v>365</v>
      </c>
      <c r="B175" s="42">
        <f>Лист7!B152</f>
        <v>609470.4</v>
      </c>
      <c r="C175" s="42">
        <v>0</v>
      </c>
      <c r="D175" s="40">
        <f>IF(B175=0,"   ",C175/B175*100)</f>
        <v>0</v>
      </c>
      <c r="E175" s="41">
        <f>C175-B175</f>
        <v>-609470.4</v>
      </c>
    </row>
    <row r="176" spans="1:5" ht="13.5">
      <c r="A176" s="62" t="s">
        <v>259</v>
      </c>
      <c r="B176" s="42">
        <f>Лист1!B125+Лист2!B107+Лист3!B97+Лист4!B99+Лист5!B102+Лист6!B99+Лист8!B99+Лист9!B107+Лист7!B153+Лист10!B96</f>
        <v>2300</v>
      </c>
      <c r="C176" s="42">
        <f>Лист1!C125+Лист2!C107+Лист3!C97+Лист4!C99+Лист5!C102+Лист6!C99+Лист8!C99+Лист9!C107+Лист7!C153+Лист10!C96</f>
        <v>0</v>
      </c>
      <c r="D176" s="40">
        <f>IF(B176=0,"   ",C176/B176*100)</f>
        <v>0</v>
      </c>
      <c r="E176" s="41">
        <f>C176-B176</f>
        <v>-2300</v>
      </c>
    </row>
    <row r="177" spans="1:5" ht="13.5">
      <c r="A177" s="21" t="s">
        <v>17</v>
      </c>
      <c r="B177" s="42">
        <f>Лист1!B126+Лист2!B108+Лист3!B98+Лист4!B100+Лист5!B103+Лист6!B100+Лист8!B100+Лист9!B108+Лист7!B154+Лист10!B97</f>
        <v>64000</v>
      </c>
      <c r="C177" s="42">
        <f>Лист1!C126+Лист2!C108+Лист3!C98+Лист4!C100+Лист5!C103+Лист6!C100+Лист8!C100+Лист9!C108+Лист7!C154+Лист10!C97</f>
        <v>0</v>
      </c>
      <c r="D177" s="40">
        <f aca="true" t="shared" si="14" ref="D177:D186">IF(B177=0,"   ",C177/B177*100)</f>
        <v>0</v>
      </c>
      <c r="E177" s="41">
        <f t="shared" si="13"/>
        <v>-64000</v>
      </c>
    </row>
    <row r="178" spans="1:5" ht="27">
      <c r="A178" s="21" t="s">
        <v>41</v>
      </c>
      <c r="B178" s="39">
        <f>SUM(B179,)</f>
        <v>20837700</v>
      </c>
      <c r="C178" s="39">
        <f>C179</f>
        <v>7431752</v>
      </c>
      <c r="D178" s="40">
        <f t="shared" si="14"/>
        <v>35.66493422978544</v>
      </c>
      <c r="E178" s="41">
        <f t="shared" si="13"/>
        <v>-13405948</v>
      </c>
    </row>
    <row r="179" spans="1:5" ht="13.5">
      <c r="A179" s="21" t="s">
        <v>42</v>
      </c>
      <c r="B179" s="42">
        <f>Лист1!B128+Лист2!B110+Лист3!B100+Лист4!B102+Лист5!B105+Лист6!B102+Лист7!B156+Лист8!B102+Лист9!B110+Лист10!B99</f>
        <v>20837700</v>
      </c>
      <c r="C179" s="42">
        <f>Лист1!C128+Лист2!C110+Лист3!C100+Лист4!C102+Лист5!C105+Лист6!C102+Лист7!C156+Лист8!C102+Лист9!C110+Лист10!C99</f>
        <v>7431752</v>
      </c>
      <c r="D179" s="40">
        <f t="shared" si="14"/>
        <v>35.66493422978544</v>
      </c>
      <c r="E179" s="41">
        <f t="shared" si="13"/>
        <v>-13405948</v>
      </c>
    </row>
    <row r="180" spans="1:5" ht="32.25" customHeight="1">
      <c r="A180" s="21" t="s">
        <v>134</v>
      </c>
      <c r="B180" s="42">
        <f>Лист1!B128+Лист2!B111+Лист3!B101+Лист4!B103+Лист5!B105+Лист6!B103+Лист7!B157+Лист8!B102+Лист9!B110+Лист10!B99</f>
        <v>15346500</v>
      </c>
      <c r="C180" s="42">
        <f>Лист1!C128+Лист2!C111+Лист3!C101+Лист4!C102+Лист5!C105+Лист6!C103+Лист7!C157+Лист8!C102+Лист9!C110+Лист10!C99</f>
        <v>4529155</v>
      </c>
      <c r="D180" s="40">
        <f t="shared" si="14"/>
        <v>29.512625028508126</v>
      </c>
      <c r="E180" s="41">
        <f t="shared" si="13"/>
        <v>-10817345</v>
      </c>
    </row>
    <row r="181" spans="1:5" ht="16.5" customHeight="1">
      <c r="A181" s="21" t="s">
        <v>242</v>
      </c>
      <c r="B181" s="42">
        <f>Лист4!B104</f>
        <v>0</v>
      </c>
      <c r="C181" s="42">
        <f>Лист2!C113</f>
        <v>0</v>
      </c>
      <c r="D181" s="40" t="str">
        <f t="shared" si="14"/>
        <v>   </v>
      </c>
      <c r="E181" s="41">
        <f t="shared" si="13"/>
        <v>0</v>
      </c>
    </row>
    <row r="182" spans="1:5" ht="24.75" customHeight="1">
      <c r="A182" s="68" t="s">
        <v>283</v>
      </c>
      <c r="B182" s="42">
        <f>Лист6!B104</f>
        <v>0</v>
      </c>
      <c r="C182" s="42">
        <f>Лист6!C104</f>
        <v>0</v>
      </c>
      <c r="D182" s="40" t="str">
        <f>IF(B182=0,"   ",C182/B182*100)</f>
        <v>   </v>
      </c>
      <c r="E182" s="41">
        <f t="shared" si="13"/>
        <v>0</v>
      </c>
    </row>
    <row r="183" spans="1:5" ht="26.25" customHeight="1">
      <c r="A183" s="68" t="s">
        <v>284</v>
      </c>
      <c r="B183" s="42">
        <f>Лист6!B105</f>
        <v>0</v>
      </c>
      <c r="C183" s="42">
        <f>Лист6!C105</f>
        <v>0</v>
      </c>
      <c r="D183" s="40" t="str">
        <f>IF(B183=0,"   ",C183/B183*100)</f>
        <v>   </v>
      </c>
      <c r="E183" s="41">
        <f t="shared" si="13"/>
        <v>0</v>
      </c>
    </row>
    <row r="184" spans="1:5" ht="25.5" customHeight="1">
      <c r="A184" s="21" t="s">
        <v>192</v>
      </c>
      <c r="B184" s="42">
        <f>Лист3!B103+Лист6!B106+Лист2!B112+Лист4!B105</f>
        <v>0</v>
      </c>
      <c r="C184" s="42">
        <f>Лист3!C103+Лист6!C106+Лист2!C112</f>
        <v>0</v>
      </c>
      <c r="D184" s="40" t="str">
        <f t="shared" si="14"/>
        <v>   </v>
      </c>
      <c r="E184" s="41">
        <f t="shared" si="13"/>
        <v>0</v>
      </c>
    </row>
    <row r="185" spans="1:5" ht="21.75" customHeight="1">
      <c r="A185" s="21" t="s">
        <v>183</v>
      </c>
      <c r="B185" s="42">
        <f>Лист7!B158</f>
        <v>2903500</v>
      </c>
      <c r="C185" s="42">
        <f>Лист7!C158</f>
        <v>2582597</v>
      </c>
      <c r="D185" s="40">
        <f t="shared" si="14"/>
        <v>88.94771827105218</v>
      </c>
      <c r="E185" s="41">
        <f t="shared" si="13"/>
        <v>-320903</v>
      </c>
    </row>
    <row r="186" spans="1:5" ht="25.5" customHeight="1">
      <c r="A186" s="21" t="s">
        <v>135</v>
      </c>
      <c r="B186" s="42">
        <f>Лист7!B159</f>
        <v>1409400</v>
      </c>
      <c r="C186" s="42">
        <f>Лист7!C159</f>
        <v>320000</v>
      </c>
      <c r="D186" s="40">
        <f t="shared" si="14"/>
        <v>22.70469703419895</v>
      </c>
      <c r="E186" s="41">
        <f t="shared" si="13"/>
        <v>-1089400</v>
      </c>
    </row>
    <row r="187" spans="1:5" ht="30.75" customHeight="1">
      <c r="A187" s="21" t="s">
        <v>297</v>
      </c>
      <c r="B187" s="42">
        <f>Лист7!B161</f>
        <v>1178300</v>
      </c>
      <c r="C187" s="42">
        <f>Лист7!C161</f>
        <v>0</v>
      </c>
      <c r="D187" s="40">
        <f aca="true" t="shared" si="15" ref="D187:D194">IF(B187=0,"   ",C187/B187*100)</f>
        <v>0</v>
      </c>
      <c r="E187" s="41">
        <f aca="true" t="shared" si="16" ref="E187:E194">C187-B187</f>
        <v>-1178300</v>
      </c>
    </row>
    <row r="188" spans="1:5" ht="21" customHeight="1">
      <c r="A188" s="17" t="s">
        <v>298</v>
      </c>
      <c r="B188" s="42">
        <f>Лист7!B162</f>
        <v>1107600</v>
      </c>
      <c r="C188" s="42">
        <f>Лист7!C162</f>
        <v>0</v>
      </c>
      <c r="D188" s="40">
        <f t="shared" si="15"/>
        <v>0</v>
      </c>
      <c r="E188" s="41">
        <f t="shared" si="16"/>
        <v>-1107600</v>
      </c>
    </row>
    <row r="189" spans="1:5" ht="18.75" customHeight="1">
      <c r="A189" s="17" t="s">
        <v>299</v>
      </c>
      <c r="B189" s="42">
        <f>Лист7!B163</f>
        <v>70700</v>
      </c>
      <c r="C189" s="42">
        <f>Лист7!C163</f>
        <v>0</v>
      </c>
      <c r="D189" s="40">
        <f t="shared" si="15"/>
        <v>0</v>
      </c>
      <c r="E189" s="41">
        <f t="shared" si="16"/>
        <v>-70700</v>
      </c>
    </row>
    <row r="190" spans="1:5" ht="21.75" customHeight="1">
      <c r="A190" s="21" t="s">
        <v>221</v>
      </c>
      <c r="B190" s="42">
        <f>SUM(B191,)</f>
        <v>6000</v>
      </c>
      <c r="C190" s="42">
        <f>SUM(C191,)</f>
        <v>0</v>
      </c>
      <c r="D190" s="40">
        <f t="shared" si="15"/>
        <v>0</v>
      </c>
      <c r="E190" s="41">
        <f t="shared" si="16"/>
        <v>-6000</v>
      </c>
    </row>
    <row r="191" spans="1:5" ht="19.5" customHeight="1">
      <c r="A191" s="21" t="s">
        <v>222</v>
      </c>
      <c r="B191" s="42">
        <f>Лист10!B101</f>
        <v>6000</v>
      </c>
      <c r="C191" s="42">
        <f>Лист10!C101</f>
        <v>0</v>
      </c>
      <c r="D191" s="40">
        <f t="shared" si="15"/>
        <v>0</v>
      </c>
      <c r="E191" s="41">
        <f t="shared" si="16"/>
        <v>-6000</v>
      </c>
    </row>
    <row r="192" spans="1:5" ht="20.25" customHeight="1">
      <c r="A192" s="21" t="s">
        <v>119</v>
      </c>
      <c r="B192" s="42">
        <f>SUM(B193)</f>
        <v>287000</v>
      </c>
      <c r="C192" s="42">
        <f>SUM(C193)</f>
        <v>2883</v>
      </c>
      <c r="D192" s="40">
        <f t="shared" si="15"/>
        <v>1.0045296167247386</v>
      </c>
      <c r="E192" s="41">
        <f t="shared" si="16"/>
        <v>-284117</v>
      </c>
    </row>
    <row r="193" spans="1:5" ht="19.5" customHeight="1">
      <c r="A193" s="21" t="s">
        <v>266</v>
      </c>
      <c r="B193" s="42">
        <f>Лист1!B130+Лист2!B115+Лист3!B105+Лист4!B107+Лист5!B107+Лист6!B108+Лист7!B165+Лист8!B104+Лист9!B112+Лист10!B103</f>
        <v>287000</v>
      </c>
      <c r="C193" s="42">
        <f>Лист1!C130+Лист2!C115+Лист3!C105+Лист4!C107+Лист5!C107+Лист6!C108+Лист7!C165+Лист8!C104+Лист9!C112+Лист10!C103</f>
        <v>2883</v>
      </c>
      <c r="D193" s="40">
        <f t="shared" si="15"/>
        <v>1.0045296167247386</v>
      </c>
      <c r="E193" s="41">
        <f t="shared" si="16"/>
        <v>-284117</v>
      </c>
    </row>
    <row r="194" spans="1:6" ht="25.5" customHeight="1">
      <c r="A194" s="44" t="s">
        <v>15</v>
      </c>
      <c r="B194" s="45">
        <f>B78+B90+B92+B97+B125+B177+B178+B190+B192</f>
        <v>190731881.20999998</v>
      </c>
      <c r="C194" s="45">
        <f>C78+C90+C92+C97+C125+C177+C178+C190+C192</f>
        <v>16894439.07</v>
      </c>
      <c r="D194" s="46">
        <f t="shared" si="15"/>
        <v>8.857690157944205</v>
      </c>
      <c r="E194" s="47">
        <f t="shared" si="16"/>
        <v>-173837442.14</v>
      </c>
      <c r="F194" s="16"/>
    </row>
    <row r="195" spans="1:5" s="13" customFormat="1" ht="23.25" customHeight="1">
      <c r="A195" s="64" t="s">
        <v>254</v>
      </c>
      <c r="B195" s="65">
        <f>(B75-B194)</f>
        <v>-1457661.119999975</v>
      </c>
      <c r="C195" s="65">
        <f>(C75-C194)</f>
        <v>22514268.240000002</v>
      </c>
      <c r="D195" s="36"/>
      <c r="E195" s="36"/>
    </row>
    <row r="196" spans="1:5" s="13" customFormat="1" ht="21" customHeight="1">
      <c r="A196" s="64" t="s">
        <v>255</v>
      </c>
      <c r="B196" s="64"/>
      <c r="C196" s="66"/>
      <c r="D196" s="66"/>
      <c r="E196" s="66"/>
    </row>
    <row r="197" spans="1:5" ht="13.5">
      <c r="A197" s="64" t="s">
        <v>256</v>
      </c>
      <c r="B197" s="65">
        <f>SUM(B8+B43+B44+B50+B58)</f>
        <v>40126600</v>
      </c>
      <c r="C197" s="65">
        <f>SUM(C8+C43+C44+C50+C58)</f>
        <v>4943367.99</v>
      </c>
      <c r="D197" s="46">
        <f>IF(B197=0,"   ",C197/B197*100)</f>
        <v>12.319428982271113</v>
      </c>
      <c r="E197" s="47">
        <f>C197-B197</f>
        <v>-35183232.01</v>
      </c>
    </row>
    <row r="198" spans="1:5" ht="13.5">
      <c r="A198" s="64" t="s">
        <v>257</v>
      </c>
      <c r="B198" s="65">
        <f>SUM(B107)</f>
        <v>43501164.8</v>
      </c>
      <c r="C198" s="65">
        <f>SUM(C107)</f>
        <v>3223428.4</v>
      </c>
      <c r="D198" s="46">
        <f>IF(B198=0,"   ",C198/B198*100)</f>
        <v>7.409981812716887</v>
      </c>
      <c r="E198" s="47">
        <f>C198-B198</f>
        <v>-40277736.4</v>
      </c>
    </row>
    <row r="199" spans="1:5" ht="13.5">
      <c r="A199" s="64" t="s">
        <v>254</v>
      </c>
      <c r="B199" s="65">
        <f>(B197-B198)</f>
        <v>-3374564.799999997</v>
      </c>
      <c r="C199" s="65">
        <f>(C197-C198)</f>
        <v>1719939.5900000003</v>
      </c>
      <c r="D199" s="64"/>
      <c r="E199" s="67"/>
    </row>
    <row r="200" spans="1:5" ht="13.5">
      <c r="A200" s="62" t="s">
        <v>325</v>
      </c>
      <c r="B200" s="62">
        <v>0</v>
      </c>
      <c r="C200" s="35"/>
      <c r="D200" s="62"/>
      <c r="E200" s="69"/>
    </row>
    <row r="201" spans="1:5" ht="13.5">
      <c r="A201" s="62" t="s">
        <v>326</v>
      </c>
      <c r="B201" s="163">
        <v>0</v>
      </c>
      <c r="C201" s="162"/>
      <c r="D201" s="162"/>
      <c r="E201" s="162"/>
    </row>
    <row r="202" spans="1:5" ht="13.5">
      <c r="A202" s="77"/>
      <c r="B202" s="77"/>
      <c r="C202" s="77"/>
      <c r="D202" s="77"/>
      <c r="E202" s="77"/>
    </row>
    <row r="203" spans="1:5" ht="13.5">
      <c r="A203" s="77"/>
      <c r="B203" s="77"/>
      <c r="C203" s="77"/>
      <c r="D203" s="77"/>
      <c r="E203" s="77"/>
    </row>
    <row r="204" spans="1:5" ht="13.5">
      <c r="A204" s="77"/>
      <c r="B204" s="77"/>
      <c r="C204" s="77"/>
      <c r="D204" s="77"/>
      <c r="E204" s="77"/>
    </row>
    <row r="205" spans="1:5" ht="13.5">
      <c r="A205" s="77"/>
      <c r="B205" s="77"/>
      <c r="C205" s="77"/>
      <c r="D205" s="77"/>
      <c r="E205" s="77"/>
    </row>
    <row r="206" spans="1:5" ht="13.5">
      <c r="A206" s="77"/>
      <c r="B206" s="77"/>
      <c r="C206" s="77"/>
      <c r="D206" s="77"/>
      <c r="E206" s="77"/>
    </row>
    <row r="207" spans="1:5" ht="13.5">
      <c r="A207" s="77"/>
      <c r="B207" s="77"/>
      <c r="C207" s="77"/>
      <c r="D207" s="77"/>
      <c r="E207" s="77"/>
    </row>
    <row r="208" spans="1:5" ht="13.5">
      <c r="A208" s="77"/>
      <c r="B208" s="77"/>
      <c r="C208" s="77"/>
      <c r="D208" s="77"/>
      <c r="E208" s="77"/>
    </row>
    <row r="209" spans="1:5" ht="13.5">
      <c r="A209" s="77"/>
      <c r="B209" s="77"/>
      <c r="C209" s="77"/>
      <c r="D209" s="77"/>
      <c r="E209" s="77"/>
    </row>
    <row r="210" spans="1:5" ht="15">
      <c r="A210" s="76"/>
      <c r="B210" s="76"/>
      <c r="C210" s="76"/>
      <c r="D210" s="76"/>
      <c r="E210" s="76"/>
    </row>
    <row r="211" spans="1:5" ht="15">
      <c r="A211" s="76"/>
      <c r="B211" s="76"/>
      <c r="C211" s="76"/>
      <c r="D211" s="76"/>
      <c r="E211" s="76"/>
    </row>
    <row r="212" spans="1:5" ht="15">
      <c r="A212" s="76"/>
      <c r="B212" s="76"/>
      <c r="C212" s="76"/>
      <c r="D212" s="76"/>
      <c r="E212" s="76"/>
    </row>
    <row r="213" spans="1:5" ht="15">
      <c r="A213" s="76"/>
      <c r="B213" s="76"/>
      <c r="C213" s="76"/>
      <c r="D213" s="76"/>
      <c r="E213" s="76"/>
    </row>
    <row r="214" spans="1:5" ht="15">
      <c r="A214" s="76"/>
      <c r="B214" s="76"/>
      <c r="C214" s="76"/>
      <c r="D214" s="76"/>
      <c r="E214" s="76"/>
    </row>
    <row r="215" spans="1:5" ht="15">
      <c r="A215" s="76"/>
      <c r="B215" s="76"/>
      <c r="C215" s="76"/>
      <c r="D215" s="76"/>
      <c r="E215" s="76"/>
    </row>
    <row r="216" spans="1:5" ht="15">
      <c r="A216" s="76"/>
      <c r="B216" s="76"/>
      <c r="C216" s="76"/>
      <c r="D216" s="76"/>
      <c r="E216" s="76"/>
    </row>
    <row r="217" spans="1:5" ht="15">
      <c r="A217" s="76"/>
      <c r="B217" s="76"/>
      <c r="C217" s="76"/>
      <c r="D217" s="76"/>
      <c r="E217" s="76"/>
    </row>
    <row r="218" spans="1:5" ht="15">
      <c r="A218" s="76"/>
      <c r="B218" s="76"/>
      <c r="C218" s="76"/>
      <c r="D218" s="76"/>
      <c r="E218" s="76"/>
    </row>
    <row r="219" spans="1:5" ht="15">
      <c r="A219" s="76"/>
      <c r="B219" s="76"/>
      <c r="C219" s="76"/>
      <c r="D219" s="76"/>
      <c r="E219" s="76"/>
    </row>
    <row r="220" spans="1:5" ht="15">
      <c r="A220" s="76"/>
      <c r="B220" s="76"/>
      <c r="C220" s="76"/>
      <c r="D220" s="76"/>
      <c r="E220" s="76"/>
    </row>
    <row r="221" spans="1:5" ht="15">
      <c r="A221" s="76"/>
      <c r="B221" s="76"/>
      <c r="C221" s="76"/>
      <c r="D221" s="76"/>
      <c r="E221" s="76"/>
    </row>
    <row r="222" spans="1:5" ht="15">
      <c r="A222" s="76"/>
      <c r="B222" s="76"/>
      <c r="C222" s="76"/>
      <c r="D222" s="76"/>
      <c r="E222" s="76"/>
    </row>
    <row r="223" spans="1:5" ht="15">
      <c r="A223" s="76"/>
      <c r="B223" s="76"/>
      <c r="C223" s="76"/>
      <c r="D223" s="76"/>
      <c r="E223" s="76"/>
    </row>
    <row r="224" spans="1:5" ht="15">
      <c r="A224" s="76"/>
      <c r="B224" s="76"/>
      <c r="C224" s="76"/>
      <c r="D224" s="76"/>
      <c r="E224" s="76"/>
    </row>
    <row r="225" spans="1:5" ht="15">
      <c r="A225" s="76"/>
      <c r="B225" s="76"/>
      <c r="C225" s="76"/>
      <c r="D225" s="76"/>
      <c r="E225" s="76"/>
    </row>
  </sheetData>
  <sheetProtection/>
  <mergeCells count="1">
    <mergeCell ref="A1:E1"/>
  </mergeCells>
  <printOptions/>
  <pageMargins left="0.7874015748031497" right="0.7874015748031497" top="0.4724409448818898" bottom="0.31496062992125984" header="0.4724409448818898" footer="0.31496062992125984"/>
  <pageSetup fitToHeight="4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1"/>
  <sheetViews>
    <sheetView zoomScalePageLayoutView="0" workbookViewId="0" topLeftCell="A94">
      <selection activeCell="C112" sqref="C112"/>
    </sheetView>
  </sheetViews>
  <sheetFormatPr defaultColWidth="9.00390625" defaultRowHeight="12.75"/>
  <cols>
    <col min="1" max="1" width="112.125" style="0" customWidth="1"/>
    <col min="2" max="2" width="13.625" style="0" customWidth="1"/>
    <col min="3" max="3" width="16.875" style="0" customWidth="1"/>
    <col min="4" max="4" width="18.50390625" style="0" customWidth="1"/>
    <col min="5" max="5" width="16.00390625" style="0" customWidth="1"/>
  </cols>
  <sheetData>
    <row r="1" spans="1:5" ht="13.5">
      <c r="A1" s="168" t="s">
        <v>352</v>
      </c>
      <c r="B1" s="168"/>
      <c r="C1" s="168"/>
      <c r="D1" s="168"/>
      <c r="E1" s="168"/>
    </row>
    <row r="2" spans="1:5" ht="14.25" thickBot="1">
      <c r="A2" s="22"/>
      <c r="B2" s="22"/>
      <c r="C2" s="23"/>
      <c r="D2" s="22"/>
      <c r="E2" s="22" t="s">
        <v>0</v>
      </c>
    </row>
    <row r="3" spans="1:5" ht="60.75" customHeight="1">
      <c r="A3" s="24" t="s">
        <v>1</v>
      </c>
      <c r="B3" s="25" t="s">
        <v>331</v>
      </c>
      <c r="C3" s="26" t="s">
        <v>351</v>
      </c>
      <c r="D3" s="25" t="s">
        <v>332</v>
      </c>
      <c r="E3" s="27" t="s">
        <v>333</v>
      </c>
    </row>
    <row r="4" spans="1:5" ht="13.5">
      <c r="A4" s="28">
        <v>1</v>
      </c>
      <c r="B4" s="29">
        <v>2</v>
      </c>
      <c r="C4" s="78">
        <v>3</v>
      </c>
      <c r="D4" s="31">
        <v>4</v>
      </c>
      <c r="E4" s="32">
        <v>5</v>
      </c>
    </row>
    <row r="5" spans="1:5" ht="14.25">
      <c r="A5" s="33" t="s">
        <v>2</v>
      </c>
      <c r="B5" s="34"/>
      <c r="C5" s="35"/>
      <c r="D5" s="36"/>
      <c r="E5" s="37"/>
    </row>
    <row r="6" spans="1:5" ht="15.75" customHeight="1">
      <c r="A6" s="38" t="s">
        <v>45</v>
      </c>
      <c r="B6" s="79">
        <f>SUM(B7)</f>
        <v>24300</v>
      </c>
      <c r="C6" s="79">
        <f>SUM(C7)</f>
        <v>3683.6</v>
      </c>
      <c r="D6" s="40">
        <f aca="true" t="shared" si="0" ref="D6:D115">IF(B6=0,"   ",C6/B6*100)</f>
        <v>15.158847736625514</v>
      </c>
      <c r="E6" s="41">
        <f aca="true" t="shared" si="1" ref="E6:E115">C6-B6</f>
        <v>-20616.4</v>
      </c>
    </row>
    <row r="7" spans="1:5" ht="16.5" customHeight="1">
      <c r="A7" s="21" t="s">
        <v>44</v>
      </c>
      <c r="B7" s="80">
        <v>24300</v>
      </c>
      <c r="C7" s="81">
        <v>3683.6</v>
      </c>
      <c r="D7" s="40">
        <f t="shared" si="0"/>
        <v>15.158847736625514</v>
      </c>
      <c r="E7" s="41">
        <f t="shared" si="1"/>
        <v>-20616.4</v>
      </c>
    </row>
    <row r="8" spans="1:5" ht="12.75" customHeight="1">
      <c r="A8" s="38" t="s">
        <v>129</v>
      </c>
      <c r="B8" s="79">
        <f>SUM(B9)</f>
        <v>778000</v>
      </c>
      <c r="C8" s="79">
        <f>SUM(C9)</f>
        <v>205561.3</v>
      </c>
      <c r="D8" s="40">
        <f t="shared" si="0"/>
        <v>26.42176092544987</v>
      </c>
      <c r="E8" s="41">
        <f t="shared" si="1"/>
        <v>-572438.7</v>
      </c>
    </row>
    <row r="9" spans="1:5" ht="18.75" customHeight="1">
      <c r="A9" s="21" t="s">
        <v>130</v>
      </c>
      <c r="B9" s="80">
        <v>778000</v>
      </c>
      <c r="C9" s="81">
        <v>205561.3</v>
      </c>
      <c r="D9" s="40">
        <f t="shared" si="0"/>
        <v>26.42176092544987</v>
      </c>
      <c r="E9" s="41">
        <f t="shared" si="1"/>
        <v>-572438.7</v>
      </c>
    </row>
    <row r="10" spans="1:5" ht="16.5" customHeight="1">
      <c r="A10" s="21" t="s">
        <v>7</v>
      </c>
      <c r="B10" s="80">
        <f>SUM(B11:B11)</f>
        <v>38600</v>
      </c>
      <c r="C10" s="80">
        <f>SUM(C11:C11)</f>
        <v>30142.42</v>
      </c>
      <c r="D10" s="40">
        <f t="shared" si="0"/>
        <v>78.08917098445596</v>
      </c>
      <c r="E10" s="41">
        <f t="shared" si="1"/>
        <v>-8457.580000000002</v>
      </c>
    </row>
    <row r="11" spans="1:5" ht="14.25" customHeight="1">
      <c r="A11" s="21" t="s">
        <v>26</v>
      </c>
      <c r="B11" s="80">
        <v>38600</v>
      </c>
      <c r="C11" s="81">
        <v>30142.42</v>
      </c>
      <c r="D11" s="40">
        <f t="shared" si="0"/>
        <v>78.08917098445596</v>
      </c>
      <c r="E11" s="41">
        <f t="shared" si="1"/>
        <v>-8457.580000000002</v>
      </c>
    </row>
    <row r="12" spans="1:5" ht="14.25" customHeight="1">
      <c r="A12" s="21" t="s">
        <v>9</v>
      </c>
      <c r="B12" s="80">
        <f>SUM(B13:B14)</f>
        <v>213000</v>
      </c>
      <c r="C12" s="80">
        <f>SUM(C13:C14)</f>
        <v>31175.850000000002</v>
      </c>
      <c r="D12" s="40">
        <f t="shared" si="0"/>
        <v>14.636549295774648</v>
      </c>
      <c r="E12" s="41">
        <f t="shared" si="1"/>
        <v>-181824.15</v>
      </c>
    </row>
    <row r="13" spans="1:5" ht="12.75" customHeight="1">
      <c r="A13" s="21" t="s">
        <v>27</v>
      </c>
      <c r="B13" s="80">
        <v>68000</v>
      </c>
      <c r="C13" s="81">
        <v>25520.83</v>
      </c>
      <c r="D13" s="40">
        <f t="shared" si="0"/>
        <v>37.530632352941176</v>
      </c>
      <c r="E13" s="41">
        <f t="shared" si="1"/>
        <v>-42479.17</v>
      </c>
    </row>
    <row r="14" spans="1:5" ht="13.5">
      <c r="A14" s="21" t="s">
        <v>151</v>
      </c>
      <c r="B14" s="80">
        <f>SUM(B15:B16)</f>
        <v>145000</v>
      </c>
      <c r="C14" s="80">
        <f>SUM(C15:C16)</f>
        <v>5655.0199999999995</v>
      </c>
      <c r="D14" s="40">
        <f t="shared" si="0"/>
        <v>3.900013793103448</v>
      </c>
      <c r="E14" s="41">
        <f t="shared" si="1"/>
        <v>-139344.98</v>
      </c>
    </row>
    <row r="15" spans="1:5" ht="13.5">
      <c r="A15" s="21" t="s">
        <v>152</v>
      </c>
      <c r="B15" s="80">
        <v>10000</v>
      </c>
      <c r="C15" s="81">
        <v>-129.26</v>
      </c>
      <c r="D15" s="40">
        <f t="shared" si="0"/>
        <v>-1.2925999999999997</v>
      </c>
      <c r="E15" s="41">
        <f t="shared" si="1"/>
        <v>-10129.26</v>
      </c>
    </row>
    <row r="16" spans="1:5" ht="13.5">
      <c r="A16" s="21" t="s">
        <v>153</v>
      </c>
      <c r="B16" s="80">
        <v>135000</v>
      </c>
      <c r="C16" s="81">
        <v>5784.28</v>
      </c>
      <c r="D16" s="40">
        <f t="shared" si="0"/>
        <v>4.284651851851852</v>
      </c>
      <c r="E16" s="41">
        <f t="shared" si="1"/>
        <v>-129215.72</v>
      </c>
    </row>
    <row r="17" spans="1:5" ht="13.5">
      <c r="A17" s="21" t="s">
        <v>186</v>
      </c>
      <c r="B17" s="80">
        <v>0</v>
      </c>
      <c r="C17" s="82">
        <v>0</v>
      </c>
      <c r="D17" s="40" t="str">
        <f t="shared" si="0"/>
        <v>   </v>
      </c>
      <c r="E17" s="41">
        <f t="shared" si="1"/>
        <v>0</v>
      </c>
    </row>
    <row r="18" spans="1:5" ht="18" customHeight="1">
      <c r="A18" s="21" t="s">
        <v>85</v>
      </c>
      <c r="B18" s="80">
        <v>0</v>
      </c>
      <c r="C18" s="82">
        <v>0</v>
      </c>
      <c r="D18" s="40" t="str">
        <f t="shared" si="0"/>
        <v>   </v>
      </c>
      <c r="E18" s="41">
        <f t="shared" si="1"/>
        <v>0</v>
      </c>
    </row>
    <row r="19" spans="1:5" ht="16.5" customHeight="1">
      <c r="A19" s="21" t="s">
        <v>78</v>
      </c>
      <c r="B19" s="79">
        <f>B21+B20</f>
        <v>0</v>
      </c>
      <c r="C19" s="79">
        <f>C21+C20</f>
        <v>0</v>
      </c>
      <c r="D19" s="40" t="str">
        <f t="shared" si="0"/>
        <v>   </v>
      </c>
      <c r="E19" s="41">
        <f t="shared" si="1"/>
        <v>0</v>
      </c>
    </row>
    <row r="20" spans="1:5" ht="16.5" customHeight="1">
      <c r="A20" s="21" t="s">
        <v>174</v>
      </c>
      <c r="B20" s="79">
        <v>0</v>
      </c>
      <c r="C20" s="79">
        <v>0</v>
      </c>
      <c r="D20" s="40" t="str">
        <f>IF(B20=0,"   ",C20/B20*100)</f>
        <v>   </v>
      </c>
      <c r="E20" s="41">
        <f>C20-B20</f>
        <v>0</v>
      </c>
    </row>
    <row r="21" spans="1:5" ht="22.5" customHeight="1">
      <c r="A21" s="21" t="s">
        <v>275</v>
      </c>
      <c r="B21" s="80">
        <v>0</v>
      </c>
      <c r="C21" s="82">
        <v>0</v>
      </c>
      <c r="D21" s="40" t="str">
        <f t="shared" si="0"/>
        <v>   </v>
      </c>
      <c r="E21" s="41">
        <f t="shared" si="1"/>
        <v>0</v>
      </c>
    </row>
    <row r="22" spans="1:5" ht="29.25" customHeight="1">
      <c r="A22" s="21" t="s">
        <v>28</v>
      </c>
      <c r="B22" s="36">
        <f>SUM(B23:B25)</f>
        <v>99200</v>
      </c>
      <c r="C22" s="143">
        <f>SUM(C23:C25)</f>
        <v>4357.38</v>
      </c>
      <c r="D22" s="40">
        <f t="shared" si="0"/>
        <v>4.392520161290323</v>
      </c>
      <c r="E22" s="41">
        <f t="shared" si="1"/>
        <v>-94842.62</v>
      </c>
    </row>
    <row r="23" spans="1:5" ht="15.75" customHeight="1">
      <c r="A23" s="21" t="s">
        <v>143</v>
      </c>
      <c r="B23" s="80">
        <v>99200</v>
      </c>
      <c r="C23" s="81">
        <v>4357.38</v>
      </c>
      <c r="D23" s="40">
        <f t="shared" si="0"/>
        <v>4.392520161290323</v>
      </c>
      <c r="E23" s="41">
        <f t="shared" si="1"/>
        <v>-94842.62</v>
      </c>
    </row>
    <row r="24" spans="1:5" ht="15.75" customHeight="1">
      <c r="A24" s="21" t="s">
        <v>248</v>
      </c>
      <c r="B24" s="80">
        <v>0</v>
      </c>
      <c r="C24" s="81">
        <v>0</v>
      </c>
      <c r="D24" s="40" t="str">
        <f t="shared" si="0"/>
        <v>   </v>
      </c>
      <c r="E24" s="41">
        <f t="shared" si="1"/>
        <v>0</v>
      </c>
    </row>
    <row r="25" spans="1:5" ht="15.75" customHeight="1">
      <c r="A25" s="21" t="s">
        <v>30</v>
      </c>
      <c r="B25" s="80">
        <v>0</v>
      </c>
      <c r="C25" s="82">
        <v>0</v>
      </c>
      <c r="D25" s="40" t="str">
        <f t="shared" si="0"/>
        <v>   </v>
      </c>
      <c r="E25" s="41">
        <f t="shared" si="1"/>
        <v>0</v>
      </c>
    </row>
    <row r="26" spans="1:5" ht="18" customHeight="1">
      <c r="A26" s="21" t="s">
        <v>164</v>
      </c>
      <c r="B26" s="79">
        <f>SUM(B27)</f>
        <v>0</v>
      </c>
      <c r="C26" s="79">
        <f>SUM(C27)</f>
        <v>0</v>
      </c>
      <c r="D26" s="40" t="str">
        <f t="shared" si="0"/>
        <v>   </v>
      </c>
      <c r="E26" s="41">
        <f t="shared" si="1"/>
        <v>0</v>
      </c>
    </row>
    <row r="27" spans="1:5" ht="16.5" customHeight="1">
      <c r="A27" s="21" t="s">
        <v>165</v>
      </c>
      <c r="B27" s="80">
        <v>0</v>
      </c>
      <c r="C27" s="82">
        <v>0</v>
      </c>
      <c r="D27" s="40" t="str">
        <f t="shared" si="0"/>
        <v>   </v>
      </c>
      <c r="E27" s="41">
        <f t="shared" si="1"/>
        <v>0</v>
      </c>
    </row>
    <row r="28" spans="1:5" ht="17.25" customHeight="1">
      <c r="A28" s="21" t="s">
        <v>31</v>
      </c>
      <c r="B28" s="80">
        <v>0</v>
      </c>
      <c r="C28" s="82">
        <v>0</v>
      </c>
      <c r="D28" s="40" t="str">
        <f t="shared" si="0"/>
        <v>   </v>
      </c>
      <c r="E28" s="41">
        <f t="shared" si="1"/>
        <v>0</v>
      </c>
    </row>
    <row r="29" spans="1:5" ht="16.5" customHeight="1">
      <c r="A29" s="21" t="s">
        <v>32</v>
      </c>
      <c r="B29" s="80">
        <f>SUM(B30:B32)</f>
        <v>0</v>
      </c>
      <c r="C29" s="80">
        <f>SUM(C30:C32)</f>
        <v>0</v>
      </c>
      <c r="D29" s="40" t="str">
        <f t="shared" si="0"/>
        <v>   </v>
      </c>
      <c r="E29" s="41">
        <f t="shared" si="1"/>
        <v>0</v>
      </c>
    </row>
    <row r="30" spans="1:5" ht="15.75" customHeight="1">
      <c r="A30" s="21" t="s">
        <v>100</v>
      </c>
      <c r="B30" s="80">
        <v>0</v>
      </c>
      <c r="C30" s="80">
        <v>0</v>
      </c>
      <c r="D30" s="40" t="str">
        <f t="shared" si="0"/>
        <v>   </v>
      </c>
      <c r="E30" s="41">
        <f t="shared" si="1"/>
        <v>0</v>
      </c>
    </row>
    <row r="31" spans="1:5" ht="15.75" customHeight="1">
      <c r="A31" s="21" t="s">
        <v>313</v>
      </c>
      <c r="B31" s="80">
        <v>0</v>
      </c>
      <c r="C31" s="80">
        <v>0</v>
      </c>
      <c r="D31" s="40" t="str">
        <f t="shared" si="0"/>
        <v>   </v>
      </c>
      <c r="E31" s="41">
        <f t="shared" si="1"/>
        <v>0</v>
      </c>
    </row>
    <row r="32" spans="1:5" s="8" customFormat="1" ht="15" customHeight="1">
      <c r="A32" s="21" t="s">
        <v>103</v>
      </c>
      <c r="B32" s="80">
        <v>0</v>
      </c>
      <c r="C32" s="79">
        <v>0</v>
      </c>
      <c r="D32" s="40" t="str">
        <f t="shared" si="0"/>
        <v>   </v>
      </c>
      <c r="E32" s="41">
        <f>C32-B32</f>
        <v>0</v>
      </c>
    </row>
    <row r="33" spans="1:5" ht="19.5" customHeight="1">
      <c r="A33" s="44" t="s">
        <v>10</v>
      </c>
      <c r="B33" s="83">
        <f>SUM(B6,B8,B10,B12,B17,B18,B19,B22,B28,B29,B26)</f>
        <v>1153100</v>
      </c>
      <c r="C33" s="83">
        <f>SUM(C6,C8,C10,C12,C17,C18,C19,C22,C28,C29,C26)</f>
        <v>274920.55</v>
      </c>
      <c r="D33" s="46">
        <f t="shared" si="0"/>
        <v>23.84186540629607</v>
      </c>
      <c r="E33" s="47">
        <f t="shared" si="1"/>
        <v>-878179.45</v>
      </c>
    </row>
    <row r="34" spans="1:5" ht="19.5" customHeight="1">
      <c r="A34" s="62" t="s">
        <v>132</v>
      </c>
      <c r="B34" s="84">
        <f>SUM(B35:B39,B42:B47,B52)</f>
        <v>4166800</v>
      </c>
      <c r="C34" s="84">
        <f>SUM(C35:C39,C42:C47,C52)</f>
        <v>833836.6</v>
      </c>
      <c r="D34" s="46">
        <f t="shared" si="0"/>
        <v>20.011438033982913</v>
      </c>
      <c r="E34" s="47">
        <f t="shared" si="1"/>
        <v>-3332963.4</v>
      </c>
    </row>
    <row r="35" spans="1:5" ht="18.75" customHeight="1">
      <c r="A35" s="38" t="s">
        <v>34</v>
      </c>
      <c r="B35" s="79">
        <v>2355100</v>
      </c>
      <c r="C35" s="81">
        <v>588760</v>
      </c>
      <c r="D35" s="40">
        <f t="shared" si="0"/>
        <v>24.999363084370092</v>
      </c>
      <c r="E35" s="41">
        <f t="shared" si="1"/>
        <v>-1766340</v>
      </c>
    </row>
    <row r="36" spans="1:5" ht="18.75" customHeight="1">
      <c r="A36" s="38" t="s">
        <v>217</v>
      </c>
      <c r="B36" s="79">
        <v>0</v>
      </c>
      <c r="C36" s="81">
        <v>0</v>
      </c>
      <c r="D36" s="40" t="str">
        <f>IF(B36=0,"   ",C36/B36*100)</f>
        <v>   </v>
      </c>
      <c r="E36" s="41">
        <f>C36-B36</f>
        <v>0</v>
      </c>
    </row>
    <row r="37" spans="1:5" ht="15.75" customHeight="1">
      <c r="A37" s="21" t="s">
        <v>138</v>
      </c>
      <c r="B37" s="80">
        <v>0</v>
      </c>
      <c r="C37" s="82">
        <v>0</v>
      </c>
      <c r="D37" s="40" t="str">
        <f t="shared" si="0"/>
        <v>   </v>
      </c>
      <c r="E37" s="41">
        <f t="shared" si="1"/>
        <v>0</v>
      </c>
    </row>
    <row r="38" spans="1:5" ht="35.25" customHeight="1">
      <c r="A38" s="52" t="s">
        <v>51</v>
      </c>
      <c r="B38" s="85">
        <v>94300</v>
      </c>
      <c r="C38" s="86">
        <v>29000</v>
      </c>
      <c r="D38" s="54">
        <f t="shared" si="0"/>
        <v>30.75291622481442</v>
      </c>
      <c r="E38" s="55">
        <f t="shared" si="1"/>
        <v>-65300</v>
      </c>
    </row>
    <row r="39" spans="1:5" ht="32.25" customHeight="1">
      <c r="A39" s="52" t="s">
        <v>139</v>
      </c>
      <c r="B39" s="85">
        <f>SUM(B40:B41)</f>
        <v>100</v>
      </c>
      <c r="C39" s="85">
        <f>SUM(C40:C41)</f>
        <v>100</v>
      </c>
      <c r="D39" s="54">
        <f t="shared" si="0"/>
        <v>100</v>
      </c>
      <c r="E39" s="55">
        <f t="shared" si="1"/>
        <v>0</v>
      </c>
    </row>
    <row r="40" spans="1:5" ht="15.75" customHeight="1">
      <c r="A40" s="52" t="s">
        <v>154</v>
      </c>
      <c r="B40" s="85">
        <v>100</v>
      </c>
      <c r="C40" s="85">
        <v>100</v>
      </c>
      <c r="D40" s="54">
        <f>IF(B40=0,"   ",C40/B40*100)</f>
        <v>100</v>
      </c>
      <c r="E40" s="55">
        <f>C40-B40</f>
        <v>0</v>
      </c>
    </row>
    <row r="41" spans="1:5" ht="24.75" customHeight="1">
      <c r="A41" s="52" t="s">
        <v>155</v>
      </c>
      <c r="B41" s="85">
        <v>0</v>
      </c>
      <c r="C41" s="85">
        <v>0</v>
      </c>
      <c r="D41" s="54" t="str">
        <f>IF(B41=0,"   ",C41/B41*100)</f>
        <v>   </v>
      </c>
      <c r="E41" s="55">
        <f>C41-B41</f>
        <v>0</v>
      </c>
    </row>
    <row r="42" spans="1:5" ht="26.25" customHeight="1">
      <c r="A42" s="21" t="s">
        <v>272</v>
      </c>
      <c r="B42" s="85">
        <v>0</v>
      </c>
      <c r="C42" s="85">
        <v>0</v>
      </c>
      <c r="D42" s="54" t="str">
        <f t="shared" si="0"/>
        <v>   </v>
      </c>
      <c r="E42" s="55">
        <f t="shared" si="1"/>
        <v>0</v>
      </c>
    </row>
    <row r="43" spans="1:5" ht="25.5" customHeight="1">
      <c r="A43" s="21" t="s">
        <v>322</v>
      </c>
      <c r="B43" s="85">
        <v>0</v>
      </c>
      <c r="C43" s="85">
        <v>0</v>
      </c>
      <c r="D43" s="54" t="str">
        <f t="shared" si="0"/>
        <v>   </v>
      </c>
      <c r="E43" s="55">
        <f t="shared" si="1"/>
        <v>0</v>
      </c>
    </row>
    <row r="44" spans="1:5" ht="25.5" customHeight="1">
      <c r="A44" s="21" t="s">
        <v>330</v>
      </c>
      <c r="B44" s="85">
        <v>0</v>
      </c>
      <c r="C44" s="85">
        <v>0</v>
      </c>
      <c r="D44" s="54" t="str">
        <f t="shared" si="0"/>
        <v>   </v>
      </c>
      <c r="E44" s="55">
        <f t="shared" si="1"/>
        <v>0</v>
      </c>
    </row>
    <row r="45" spans="1:5" ht="54.75" customHeight="1">
      <c r="A45" s="21" t="s">
        <v>225</v>
      </c>
      <c r="B45" s="85">
        <v>1178700</v>
      </c>
      <c r="C45" s="85">
        <v>0</v>
      </c>
      <c r="D45" s="54">
        <f t="shared" si="0"/>
        <v>0</v>
      </c>
      <c r="E45" s="55">
        <f t="shared" si="1"/>
        <v>-1178700</v>
      </c>
    </row>
    <row r="46" spans="1:5" ht="26.25" customHeight="1">
      <c r="A46" s="21" t="s">
        <v>250</v>
      </c>
      <c r="B46" s="85">
        <v>0</v>
      </c>
      <c r="C46" s="85">
        <v>0</v>
      </c>
      <c r="D46" s="54" t="str">
        <f t="shared" si="0"/>
        <v>   </v>
      </c>
      <c r="E46" s="55">
        <f t="shared" si="1"/>
        <v>0</v>
      </c>
    </row>
    <row r="47" spans="1:5" ht="16.5" customHeight="1">
      <c r="A47" s="21" t="s">
        <v>80</v>
      </c>
      <c r="B47" s="80">
        <f>B51+B48+B50+B49</f>
        <v>538600</v>
      </c>
      <c r="C47" s="80">
        <f>C51+C48+C50+C49</f>
        <v>215976.6</v>
      </c>
      <c r="D47" s="40">
        <f t="shared" si="0"/>
        <v>40.09962866691422</v>
      </c>
      <c r="E47" s="41">
        <f t="shared" si="1"/>
        <v>-322623.4</v>
      </c>
    </row>
    <row r="48" spans="1:5" ht="15" customHeight="1">
      <c r="A48" s="21" t="s">
        <v>178</v>
      </c>
      <c r="B48" s="80">
        <v>0</v>
      </c>
      <c r="C48" s="80">
        <v>0</v>
      </c>
      <c r="D48" s="40" t="str">
        <f t="shared" si="0"/>
        <v>   </v>
      </c>
      <c r="E48" s="41">
        <f t="shared" si="1"/>
        <v>0</v>
      </c>
    </row>
    <row r="49" spans="1:5" ht="15" customHeight="1">
      <c r="A49" s="21" t="s">
        <v>290</v>
      </c>
      <c r="B49" s="80">
        <v>114200</v>
      </c>
      <c r="C49" s="80">
        <v>0</v>
      </c>
      <c r="D49" s="40">
        <f t="shared" si="0"/>
        <v>0</v>
      </c>
      <c r="E49" s="41">
        <f t="shared" si="1"/>
        <v>-114200</v>
      </c>
    </row>
    <row r="50" spans="1:5" ht="15" customHeight="1">
      <c r="A50" s="21" t="s">
        <v>267</v>
      </c>
      <c r="B50" s="80">
        <v>0</v>
      </c>
      <c r="C50" s="80">
        <v>0</v>
      </c>
      <c r="D50" s="40" t="str">
        <f>IF(B50=0,"   ",C50/B50*100)</f>
        <v>   </v>
      </c>
      <c r="E50" s="41">
        <f>C50-B50</f>
        <v>0</v>
      </c>
    </row>
    <row r="51" spans="1:5" s="6" customFormat="1" ht="16.5" customHeight="1">
      <c r="A51" s="21" t="s">
        <v>104</v>
      </c>
      <c r="B51" s="80">
        <v>424400</v>
      </c>
      <c r="C51" s="80">
        <v>215976.6</v>
      </c>
      <c r="D51" s="36">
        <f t="shared" si="0"/>
        <v>50.88986804901037</v>
      </c>
      <c r="E51" s="41">
        <f t="shared" si="1"/>
        <v>-208423.4</v>
      </c>
    </row>
    <row r="52" spans="1:5" s="6" customFormat="1" ht="19.5" customHeight="1">
      <c r="A52" s="21" t="s">
        <v>188</v>
      </c>
      <c r="B52" s="80">
        <v>0</v>
      </c>
      <c r="C52" s="80">
        <v>0</v>
      </c>
      <c r="D52" s="36" t="str">
        <f>IF(B52=0,"   ",C52/B52*100)</f>
        <v>   </v>
      </c>
      <c r="E52" s="41">
        <f>C52-B52</f>
        <v>0</v>
      </c>
    </row>
    <row r="53" spans="1:5" ht="21.75" customHeight="1">
      <c r="A53" s="44" t="s">
        <v>11</v>
      </c>
      <c r="B53" s="83">
        <f>B33+B34</f>
        <v>5319900</v>
      </c>
      <c r="C53" s="83">
        <f>C33+C34</f>
        <v>1108757.15</v>
      </c>
      <c r="D53" s="46">
        <f t="shared" si="0"/>
        <v>20.84169157314987</v>
      </c>
      <c r="E53" s="47">
        <f t="shared" si="1"/>
        <v>-4211142.85</v>
      </c>
    </row>
    <row r="54" spans="1:5" ht="13.5">
      <c r="A54" s="44"/>
      <c r="B54" s="79"/>
      <c r="C54" s="80"/>
      <c r="D54" s="40" t="str">
        <f t="shared" si="0"/>
        <v>   </v>
      </c>
      <c r="E54" s="41"/>
    </row>
    <row r="55" spans="1:5" ht="15" thickBot="1">
      <c r="A55" s="87" t="s">
        <v>12</v>
      </c>
      <c r="B55" s="88"/>
      <c r="C55" s="89"/>
      <c r="D55" s="90" t="str">
        <f t="shared" si="0"/>
        <v>   </v>
      </c>
      <c r="E55" s="91"/>
    </row>
    <row r="56" spans="1:5" ht="14.25" thickBot="1">
      <c r="A56" s="92" t="s">
        <v>35</v>
      </c>
      <c r="B56" s="93">
        <f>SUM(B57,B61+B62)</f>
        <v>1299400</v>
      </c>
      <c r="C56" s="93">
        <f>SUM(C57,C61+C62)</f>
        <v>255154.99</v>
      </c>
      <c r="D56" s="94">
        <f t="shared" si="0"/>
        <v>19.636369863013698</v>
      </c>
      <c r="E56" s="95">
        <f t="shared" si="1"/>
        <v>-1044245.01</v>
      </c>
    </row>
    <row r="57" spans="1:5" ht="14.25" thickBot="1">
      <c r="A57" s="68" t="s">
        <v>36</v>
      </c>
      <c r="B57" s="96">
        <v>1278900</v>
      </c>
      <c r="C57" s="93">
        <v>255154.99</v>
      </c>
      <c r="D57" s="97">
        <f t="shared" si="0"/>
        <v>19.951129095316286</v>
      </c>
      <c r="E57" s="98">
        <f t="shared" si="1"/>
        <v>-1023745.01</v>
      </c>
    </row>
    <row r="58" spans="1:5" ht="13.5">
      <c r="A58" s="21" t="s">
        <v>115</v>
      </c>
      <c r="B58" s="36">
        <v>806682</v>
      </c>
      <c r="C58" s="99">
        <v>172560.24</v>
      </c>
      <c r="D58" s="40">
        <f t="shared" si="0"/>
        <v>21.39135867665325</v>
      </c>
      <c r="E58" s="41">
        <f t="shared" si="1"/>
        <v>-634121.76</v>
      </c>
    </row>
    <row r="59" spans="1:5" ht="13.5">
      <c r="A59" s="21" t="s">
        <v>324</v>
      </c>
      <c r="B59" s="36">
        <v>0</v>
      </c>
      <c r="C59" s="99">
        <v>0</v>
      </c>
      <c r="D59" s="40" t="str">
        <f>IF(B59=0,"   ",C59/B59*100)</f>
        <v>   </v>
      </c>
      <c r="E59" s="41">
        <f>C59-B59</f>
        <v>0</v>
      </c>
    </row>
    <row r="60" spans="1:5" ht="13.5">
      <c r="A60" s="21" t="s">
        <v>329</v>
      </c>
      <c r="B60" s="36">
        <v>0</v>
      </c>
      <c r="C60" s="99">
        <v>0</v>
      </c>
      <c r="D60" s="40" t="str">
        <f>IF(B60=0,"   ",C60/B60*100)</f>
        <v>   </v>
      </c>
      <c r="E60" s="41">
        <f>C60-B60</f>
        <v>0</v>
      </c>
    </row>
    <row r="61" spans="1:5" ht="13.5">
      <c r="A61" s="21" t="s">
        <v>91</v>
      </c>
      <c r="B61" s="36">
        <v>500</v>
      </c>
      <c r="C61" s="99">
        <v>0</v>
      </c>
      <c r="D61" s="40">
        <f t="shared" si="0"/>
        <v>0</v>
      </c>
      <c r="E61" s="41">
        <f t="shared" si="1"/>
        <v>-500</v>
      </c>
    </row>
    <row r="62" spans="1:5" ht="13.5">
      <c r="A62" s="17" t="s">
        <v>53</v>
      </c>
      <c r="B62" s="36">
        <f>SUM(B63)</f>
        <v>20000</v>
      </c>
      <c r="C62" s="36">
        <f>SUM(C63)</f>
        <v>0</v>
      </c>
      <c r="D62" s="90">
        <f t="shared" si="0"/>
        <v>0</v>
      </c>
      <c r="E62" s="91">
        <f t="shared" si="1"/>
        <v>-20000</v>
      </c>
    </row>
    <row r="63" spans="1:5" ht="29.25" customHeight="1" thickBot="1">
      <c r="A63" s="17" t="s">
        <v>233</v>
      </c>
      <c r="B63" s="100">
        <v>20000</v>
      </c>
      <c r="C63" s="101">
        <v>0</v>
      </c>
      <c r="D63" s="90">
        <f t="shared" si="0"/>
        <v>0</v>
      </c>
      <c r="E63" s="91">
        <f t="shared" si="1"/>
        <v>-20000</v>
      </c>
    </row>
    <row r="64" spans="1:5" ht="14.25" thickBot="1">
      <c r="A64" s="92" t="s">
        <v>49</v>
      </c>
      <c r="B64" s="102">
        <f>SUM(B65)</f>
        <v>94300</v>
      </c>
      <c r="C64" s="102">
        <f>SUM(C65)</f>
        <v>20900.78</v>
      </c>
      <c r="D64" s="94">
        <f t="shared" si="0"/>
        <v>22.164135737009545</v>
      </c>
      <c r="E64" s="95">
        <f t="shared" si="1"/>
        <v>-73399.22</v>
      </c>
    </row>
    <row r="65" spans="1:5" ht="16.5" customHeight="1" thickBot="1">
      <c r="A65" s="60" t="s">
        <v>102</v>
      </c>
      <c r="B65" s="100">
        <v>94300</v>
      </c>
      <c r="C65" s="101">
        <v>20900.78</v>
      </c>
      <c r="D65" s="103">
        <f t="shared" si="0"/>
        <v>22.164135737009545</v>
      </c>
      <c r="E65" s="104">
        <f t="shared" si="1"/>
        <v>-73399.22</v>
      </c>
    </row>
    <row r="66" spans="1:5" ht="14.25" thickBot="1">
      <c r="A66" s="92" t="s">
        <v>37</v>
      </c>
      <c r="B66" s="93">
        <f>SUM(B67)</f>
        <v>5000</v>
      </c>
      <c r="C66" s="102">
        <f>SUM(C67)</f>
        <v>0</v>
      </c>
      <c r="D66" s="94">
        <f t="shared" si="0"/>
        <v>0</v>
      </c>
      <c r="E66" s="95">
        <f t="shared" si="1"/>
        <v>-5000</v>
      </c>
    </row>
    <row r="67" spans="1:5" ht="14.25" thickBot="1">
      <c r="A67" s="60" t="s">
        <v>315</v>
      </c>
      <c r="B67" s="100">
        <v>5000</v>
      </c>
      <c r="C67" s="101">
        <v>0</v>
      </c>
      <c r="D67" s="103">
        <f t="shared" si="0"/>
        <v>0</v>
      </c>
      <c r="E67" s="104">
        <f t="shared" si="1"/>
        <v>-5000</v>
      </c>
    </row>
    <row r="68" spans="1:5" ht="14.25" thickBot="1">
      <c r="A68" s="92" t="s">
        <v>38</v>
      </c>
      <c r="B68" s="93">
        <f>B69+B74+B76+B84</f>
        <v>2562600</v>
      </c>
      <c r="C68" s="93">
        <f>C69+C74+C76+C84</f>
        <v>251972.7</v>
      </c>
      <c r="D68" s="94">
        <f t="shared" si="0"/>
        <v>9.832697260594708</v>
      </c>
      <c r="E68" s="95">
        <f t="shared" si="1"/>
        <v>-2310627.3</v>
      </c>
    </row>
    <row r="69" spans="1:5" ht="15.75" customHeight="1" thickBot="1">
      <c r="A69" s="60" t="s">
        <v>166</v>
      </c>
      <c r="B69" s="93">
        <f>SUM(B70:B73)</f>
        <v>121500</v>
      </c>
      <c r="C69" s="93">
        <f>SUM(C70+C71)</f>
        <v>0</v>
      </c>
      <c r="D69" s="94">
        <f aca="true" t="shared" si="2" ref="D69:D75">IF(B69=0,"   ",C69/B69*100)</f>
        <v>0</v>
      </c>
      <c r="E69" s="95">
        <f aca="true" t="shared" si="3" ref="E69:E75">C69-B69</f>
        <v>-121500</v>
      </c>
    </row>
    <row r="70" spans="1:5" ht="18" customHeight="1" thickBot="1">
      <c r="A70" s="60" t="s">
        <v>157</v>
      </c>
      <c r="B70" s="105">
        <v>0</v>
      </c>
      <c r="C70" s="93">
        <v>0</v>
      </c>
      <c r="D70" s="94" t="str">
        <f t="shared" si="2"/>
        <v>   </v>
      </c>
      <c r="E70" s="95">
        <f t="shared" si="3"/>
        <v>0</v>
      </c>
    </row>
    <row r="71" spans="1:5" ht="18" customHeight="1" thickBot="1">
      <c r="A71" s="60" t="s">
        <v>179</v>
      </c>
      <c r="B71" s="96">
        <v>0</v>
      </c>
      <c r="C71" s="96">
        <v>0</v>
      </c>
      <c r="D71" s="94" t="str">
        <f t="shared" si="2"/>
        <v>   </v>
      </c>
      <c r="E71" s="95">
        <f t="shared" si="3"/>
        <v>0</v>
      </c>
    </row>
    <row r="72" spans="1:5" ht="18" customHeight="1" thickBot="1">
      <c r="A72" s="60" t="s">
        <v>291</v>
      </c>
      <c r="B72" s="36">
        <v>114200</v>
      </c>
      <c r="C72" s="36">
        <v>0</v>
      </c>
      <c r="D72" s="94">
        <f t="shared" si="2"/>
        <v>0</v>
      </c>
      <c r="E72" s="95">
        <f t="shared" si="3"/>
        <v>-114200</v>
      </c>
    </row>
    <row r="73" spans="1:5" ht="18" customHeight="1" thickBot="1">
      <c r="A73" s="60" t="s">
        <v>292</v>
      </c>
      <c r="B73" s="36">
        <v>7300</v>
      </c>
      <c r="C73" s="36">
        <v>0</v>
      </c>
      <c r="D73" s="94">
        <f t="shared" si="2"/>
        <v>0</v>
      </c>
      <c r="E73" s="95">
        <f t="shared" si="3"/>
        <v>-7300</v>
      </c>
    </row>
    <row r="74" spans="1:5" ht="18" customHeight="1" thickBot="1">
      <c r="A74" s="60" t="s">
        <v>219</v>
      </c>
      <c r="B74" s="106">
        <f>SUM(B75)</f>
        <v>0</v>
      </c>
      <c r="C74" s="106">
        <f>SUM(C75)</f>
        <v>0</v>
      </c>
      <c r="D74" s="94" t="str">
        <f t="shared" si="2"/>
        <v>   </v>
      </c>
      <c r="E74" s="95">
        <f t="shared" si="3"/>
        <v>0</v>
      </c>
    </row>
    <row r="75" spans="1:5" ht="18" customHeight="1" thickBot="1">
      <c r="A75" s="60" t="s">
        <v>220</v>
      </c>
      <c r="B75" s="96">
        <v>0</v>
      </c>
      <c r="C75" s="96">
        <v>0</v>
      </c>
      <c r="D75" s="94" t="str">
        <f t="shared" si="2"/>
        <v>   </v>
      </c>
      <c r="E75" s="95">
        <f t="shared" si="3"/>
        <v>0</v>
      </c>
    </row>
    <row r="76" spans="1:5" ht="13.5">
      <c r="A76" s="68" t="s">
        <v>124</v>
      </c>
      <c r="B76" s="96">
        <f>SUM(B77:B83)</f>
        <v>2381100</v>
      </c>
      <c r="C76" s="96">
        <f>SUM(C77:C83)</f>
        <v>251972.7</v>
      </c>
      <c r="D76" s="97">
        <f t="shared" si="0"/>
        <v>10.582197303767167</v>
      </c>
      <c r="E76" s="98">
        <f t="shared" si="1"/>
        <v>-2129127.3</v>
      </c>
    </row>
    <row r="77" spans="1:5" ht="19.5" customHeight="1">
      <c r="A77" s="60" t="s">
        <v>140</v>
      </c>
      <c r="B77" s="36">
        <v>0</v>
      </c>
      <c r="C77" s="36">
        <v>0</v>
      </c>
      <c r="D77" s="97" t="str">
        <f t="shared" si="0"/>
        <v>   </v>
      </c>
      <c r="E77" s="98">
        <f t="shared" si="1"/>
        <v>0</v>
      </c>
    </row>
    <row r="78" spans="1:5" ht="27">
      <c r="A78" s="17" t="s">
        <v>236</v>
      </c>
      <c r="B78" s="36">
        <v>499800</v>
      </c>
      <c r="C78" s="36">
        <v>0</v>
      </c>
      <c r="D78" s="40">
        <f t="shared" si="0"/>
        <v>0</v>
      </c>
      <c r="E78" s="107">
        <f t="shared" si="1"/>
        <v>-499800</v>
      </c>
    </row>
    <row r="79" spans="1:5" ht="27">
      <c r="A79" s="17" t="s">
        <v>237</v>
      </c>
      <c r="B79" s="36">
        <v>100000</v>
      </c>
      <c r="C79" s="36">
        <v>0</v>
      </c>
      <c r="D79" s="40">
        <f t="shared" si="0"/>
        <v>0</v>
      </c>
      <c r="E79" s="107">
        <f t="shared" si="1"/>
        <v>-100000</v>
      </c>
    </row>
    <row r="80" spans="1:5" ht="27">
      <c r="A80" s="17" t="s">
        <v>238</v>
      </c>
      <c r="B80" s="36">
        <v>1178700</v>
      </c>
      <c r="C80" s="36">
        <v>0</v>
      </c>
      <c r="D80" s="40">
        <f t="shared" si="0"/>
        <v>0</v>
      </c>
      <c r="E80" s="107">
        <f t="shared" si="1"/>
        <v>-1178700</v>
      </c>
    </row>
    <row r="81" spans="1:5" ht="27">
      <c r="A81" s="17" t="s">
        <v>239</v>
      </c>
      <c r="B81" s="36">
        <v>131000</v>
      </c>
      <c r="C81" s="36">
        <v>0</v>
      </c>
      <c r="D81" s="40">
        <f t="shared" si="0"/>
        <v>0</v>
      </c>
      <c r="E81" s="107">
        <f t="shared" si="1"/>
        <v>-131000</v>
      </c>
    </row>
    <row r="82" spans="1:5" ht="27">
      <c r="A82" s="17" t="s">
        <v>240</v>
      </c>
      <c r="B82" s="36">
        <v>424400</v>
      </c>
      <c r="C82" s="36">
        <v>215976.6</v>
      </c>
      <c r="D82" s="40">
        <f t="shared" si="0"/>
        <v>50.88986804901037</v>
      </c>
      <c r="E82" s="107">
        <f t="shared" si="1"/>
        <v>-208423.4</v>
      </c>
    </row>
    <row r="83" spans="1:5" ht="27.75" thickBot="1">
      <c r="A83" s="17" t="s">
        <v>241</v>
      </c>
      <c r="B83" s="108">
        <v>47200</v>
      </c>
      <c r="C83" s="108">
        <v>35996.1</v>
      </c>
      <c r="D83" s="90">
        <f t="shared" si="0"/>
        <v>76.26292372881356</v>
      </c>
      <c r="E83" s="91">
        <f t="shared" si="1"/>
        <v>-11203.900000000001</v>
      </c>
    </row>
    <row r="84" spans="1:5" ht="13.5">
      <c r="A84" s="68" t="s">
        <v>167</v>
      </c>
      <c r="B84" s="109">
        <f>SUM(B85+B86)</f>
        <v>60000</v>
      </c>
      <c r="C84" s="109">
        <f>SUM(C85+C86)</f>
        <v>0</v>
      </c>
      <c r="D84" s="90">
        <f>IF(B84=0,"   ",C84/B84*100)</f>
        <v>0</v>
      </c>
      <c r="E84" s="91">
        <f>C84-B84</f>
        <v>-60000</v>
      </c>
    </row>
    <row r="85" spans="1:5" ht="27">
      <c r="A85" s="62" t="s">
        <v>146</v>
      </c>
      <c r="B85" s="36">
        <v>10000</v>
      </c>
      <c r="C85" s="36">
        <v>0</v>
      </c>
      <c r="D85" s="40">
        <f>IF(B85=0,"   ",C85/B85*100)</f>
        <v>0</v>
      </c>
      <c r="E85" s="107">
        <f>C85-B85</f>
        <v>-10000</v>
      </c>
    </row>
    <row r="86" spans="1:5" ht="27">
      <c r="A86" s="62" t="s">
        <v>168</v>
      </c>
      <c r="B86" s="36">
        <v>50000</v>
      </c>
      <c r="C86" s="36">
        <v>0</v>
      </c>
      <c r="D86" s="40">
        <f>IF(B86=0,"   ",C86/B86*100)</f>
        <v>0</v>
      </c>
      <c r="E86" s="107">
        <f>C86-B86</f>
        <v>-50000</v>
      </c>
    </row>
    <row r="87" spans="1:5" ht="13.5" customHeight="1">
      <c r="A87" s="62" t="s">
        <v>13</v>
      </c>
      <c r="B87" s="36">
        <f>SUM(B98,B97,B88+B106)</f>
        <v>402500</v>
      </c>
      <c r="C87" s="36">
        <f>SUM(C98,C97,C88+C106)</f>
        <v>47644.18</v>
      </c>
      <c r="D87" s="40">
        <f t="shared" si="0"/>
        <v>11.837063354037266</v>
      </c>
      <c r="E87" s="107">
        <f t="shared" si="1"/>
        <v>-354855.82</v>
      </c>
    </row>
    <row r="88" spans="1:5" ht="13.5" customHeight="1" thickBot="1">
      <c r="A88" s="68" t="s">
        <v>141</v>
      </c>
      <c r="B88" s="96">
        <f>SUM(B89+B90+B91+B92+B93)</f>
        <v>220000</v>
      </c>
      <c r="C88" s="96">
        <f>SUM(C89+C90+C91+C92+C93)</f>
        <v>9579.18</v>
      </c>
      <c r="D88" s="110">
        <f t="shared" si="0"/>
        <v>4.3541727272727275</v>
      </c>
      <c r="E88" s="104">
        <f t="shared" si="1"/>
        <v>-210420.82</v>
      </c>
    </row>
    <row r="89" spans="1:5" ht="30.75" customHeight="1" thickBot="1">
      <c r="A89" s="21" t="s">
        <v>185</v>
      </c>
      <c r="B89" s="96">
        <v>20000</v>
      </c>
      <c r="C89" s="96">
        <v>9579.18</v>
      </c>
      <c r="D89" s="94">
        <f t="shared" si="0"/>
        <v>47.895900000000005</v>
      </c>
      <c r="E89" s="107">
        <f t="shared" si="1"/>
        <v>-10420.82</v>
      </c>
    </row>
    <row r="90" spans="1:5" ht="18" customHeight="1" thickBot="1">
      <c r="A90" s="21" t="s">
        <v>270</v>
      </c>
      <c r="B90" s="96">
        <v>0</v>
      </c>
      <c r="C90" s="96">
        <v>0</v>
      </c>
      <c r="D90" s="94" t="str">
        <f aca="true" t="shared" si="4" ref="D90:D96">IF(B90=0,"   ",C90/B90*100)</f>
        <v>   </v>
      </c>
      <c r="E90" s="107">
        <f aca="true" t="shared" si="5" ref="E90:E96">C90-B90</f>
        <v>0</v>
      </c>
    </row>
    <row r="91" spans="1:5" ht="18" customHeight="1" thickBot="1">
      <c r="A91" s="17" t="s">
        <v>303</v>
      </c>
      <c r="B91" s="96">
        <v>0</v>
      </c>
      <c r="C91" s="96">
        <v>0</v>
      </c>
      <c r="D91" s="94" t="str">
        <f t="shared" si="4"/>
        <v>   </v>
      </c>
      <c r="E91" s="107">
        <f t="shared" si="5"/>
        <v>0</v>
      </c>
    </row>
    <row r="92" spans="1:5" ht="18" customHeight="1" thickBot="1">
      <c r="A92" s="21" t="s">
        <v>316</v>
      </c>
      <c r="B92" s="96">
        <v>200000</v>
      </c>
      <c r="C92" s="96">
        <v>0</v>
      </c>
      <c r="D92" s="94">
        <f t="shared" si="4"/>
        <v>0</v>
      </c>
      <c r="E92" s="107">
        <f t="shared" si="5"/>
        <v>-200000</v>
      </c>
    </row>
    <row r="93" spans="1:5" ht="19.5" customHeight="1" thickBot="1">
      <c r="A93" s="17" t="s">
        <v>195</v>
      </c>
      <c r="B93" s="96">
        <f>SUM(B94+B95+B96)</f>
        <v>0</v>
      </c>
      <c r="C93" s="96">
        <f>SUM(C94+C95+C96)</f>
        <v>0</v>
      </c>
      <c r="D93" s="94" t="str">
        <f t="shared" si="4"/>
        <v>   </v>
      </c>
      <c r="E93" s="107">
        <f t="shared" si="5"/>
        <v>0</v>
      </c>
    </row>
    <row r="94" spans="1:5" ht="30.75" customHeight="1" thickBot="1">
      <c r="A94" s="17" t="s">
        <v>205</v>
      </c>
      <c r="B94" s="96">
        <v>0</v>
      </c>
      <c r="C94" s="96">
        <v>0</v>
      </c>
      <c r="D94" s="94" t="str">
        <f t="shared" si="4"/>
        <v>   </v>
      </c>
      <c r="E94" s="107">
        <f t="shared" si="5"/>
        <v>0</v>
      </c>
    </row>
    <row r="95" spans="1:5" ht="30.75" customHeight="1" thickBot="1">
      <c r="A95" s="17" t="s">
        <v>196</v>
      </c>
      <c r="B95" s="96">
        <v>0</v>
      </c>
      <c r="C95" s="96">
        <v>0</v>
      </c>
      <c r="D95" s="94" t="str">
        <f t="shared" si="4"/>
        <v>   </v>
      </c>
      <c r="E95" s="107">
        <f t="shared" si="5"/>
        <v>0</v>
      </c>
    </row>
    <row r="96" spans="1:5" ht="30.75" customHeight="1" thickBot="1">
      <c r="A96" s="17" t="s">
        <v>206</v>
      </c>
      <c r="B96" s="96">
        <v>0</v>
      </c>
      <c r="C96" s="96">
        <v>0</v>
      </c>
      <c r="D96" s="94" t="str">
        <f t="shared" si="4"/>
        <v>   </v>
      </c>
      <c r="E96" s="107">
        <f t="shared" si="5"/>
        <v>0</v>
      </c>
    </row>
    <row r="97" spans="1:5" ht="13.5" customHeight="1" thickBot="1">
      <c r="A97" s="68" t="s">
        <v>84</v>
      </c>
      <c r="B97" s="96">
        <v>0</v>
      </c>
      <c r="C97" s="96">
        <v>0</v>
      </c>
      <c r="D97" s="94" t="str">
        <f t="shared" si="0"/>
        <v>   </v>
      </c>
      <c r="E97" s="107">
        <f t="shared" si="1"/>
        <v>0</v>
      </c>
    </row>
    <row r="98" spans="1:5" ht="13.5">
      <c r="A98" s="21" t="s">
        <v>58</v>
      </c>
      <c r="B98" s="36">
        <f>B99+B104+B100+B105</f>
        <v>182400</v>
      </c>
      <c r="C98" s="36">
        <f>C99+C104+C100+C105</f>
        <v>38065</v>
      </c>
      <c r="D98" s="40">
        <f t="shared" si="0"/>
        <v>20.868969298245617</v>
      </c>
      <c r="E98" s="41">
        <f t="shared" si="1"/>
        <v>-144335</v>
      </c>
    </row>
    <row r="99" spans="1:5" ht="13.5">
      <c r="A99" s="21" t="s">
        <v>56</v>
      </c>
      <c r="B99" s="36">
        <v>160000</v>
      </c>
      <c r="C99" s="107">
        <v>38065</v>
      </c>
      <c r="D99" s="40">
        <f t="shared" si="0"/>
        <v>23.790625000000002</v>
      </c>
      <c r="E99" s="41">
        <f t="shared" si="1"/>
        <v>-121935</v>
      </c>
    </row>
    <row r="100" spans="1:5" ht="13.5">
      <c r="A100" s="17" t="s">
        <v>195</v>
      </c>
      <c r="B100" s="36">
        <f>SUM(B101:B103)</f>
        <v>0</v>
      </c>
      <c r="C100" s="36">
        <f>SUM(C101:C103)</f>
        <v>0</v>
      </c>
      <c r="D100" s="90" t="str">
        <f t="shared" si="0"/>
        <v>   </v>
      </c>
      <c r="E100" s="91">
        <f t="shared" si="1"/>
        <v>0</v>
      </c>
    </row>
    <row r="101" spans="1:5" ht="27">
      <c r="A101" s="17" t="s">
        <v>202</v>
      </c>
      <c r="B101" s="36">
        <v>0</v>
      </c>
      <c r="C101" s="107">
        <v>0</v>
      </c>
      <c r="D101" s="90" t="str">
        <f t="shared" si="0"/>
        <v>   </v>
      </c>
      <c r="E101" s="91">
        <f t="shared" si="1"/>
        <v>0</v>
      </c>
    </row>
    <row r="102" spans="1:5" ht="27">
      <c r="A102" s="17" t="s">
        <v>203</v>
      </c>
      <c r="B102" s="36">
        <v>0</v>
      </c>
      <c r="C102" s="107">
        <v>0</v>
      </c>
      <c r="D102" s="90" t="str">
        <f t="shared" si="0"/>
        <v>   </v>
      </c>
      <c r="E102" s="91">
        <f t="shared" si="1"/>
        <v>0</v>
      </c>
    </row>
    <row r="103" spans="1:5" ht="27">
      <c r="A103" s="17" t="s">
        <v>204</v>
      </c>
      <c r="B103" s="36">
        <v>0</v>
      </c>
      <c r="C103" s="107">
        <v>0</v>
      </c>
      <c r="D103" s="90" t="str">
        <f t="shared" si="0"/>
        <v>   </v>
      </c>
      <c r="E103" s="91">
        <f t="shared" si="1"/>
        <v>0</v>
      </c>
    </row>
    <row r="104" spans="1:5" ht="13.5">
      <c r="A104" s="17" t="s">
        <v>59</v>
      </c>
      <c r="B104" s="36">
        <v>22400</v>
      </c>
      <c r="C104" s="107">
        <v>0</v>
      </c>
      <c r="D104" s="40">
        <f t="shared" si="0"/>
        <v>0</v>
      </c>
      <c r="E104" s="107">
        <f t="shared" si="1"/>
        <v>-22400</v>
      </c>
    </row>
    <row r="105" spans="1:5" ht="27.75" thickBot="1">
      <c r="A105" s="17" t="s">
        <v>271</v>
      </c>
      <c r="B105" s="36">
        <v>0</v>
      </c>
      <c r="C105" s="107">
        <v>0</v>
      </c>
      <c r="D105" s="40" t="str">
        <f t="shared" si="0"/>
        <v>   </v>
      </c>
      <c r="E105" s="107">
        <f t="shared" si="1"/>
        <v>0</v>
      </c>
    </row>
    <row r="106" spans="1:5" ht="14.25" thickBot="1">
      <c r="A106" s="62" t="s">
        <v>302</v>
      </c>
      <c r="B106" s="111">
        <f>SUM(B107)</f>
        <v>100</v>
      </c>
      <c r="C106" s="111">
        <f>SUM(C107)</f>
        <v>0</v>
      </c>
      <c r="D106" s="40">
        <f>IF(B106=0,"   ",C106/B106*100)</f>
        <v>0</v>
      </c>
      <c r="E106" s="107">
        <f>C106-B106</f>
        <v>-100</v>
      </c>
    </row>
    <row r="107" spans="1:5" ht="13.5">
      <c r="A107" s="62" t="s">
        <v>259</v>
      </c>
      <c r="B107" s="36">
        <v>100</v>
      </c>
      <c r="C107" s="99">
        <v>0</v>
      </c>
      <c r="D107" s="40">
        <f>IF(B107=0,"   ",C107/B107*100)</f>
        <v>0</v>
      </c>
      <c r="E107" s="107">
        <f>C107-B107</f>
        <v>-100</v>
      </c>
    </row>
    <row r="108" spans="1:5" ht="14.25" thickBot="1">
      <c r="A108" s="112" t="s">
        <v>17</v>
      </c>
      <c r="B108" s="106">
        <v>8000</v>
      </c>
      <c r="C108" s="106">
        <v>0</v>
      </c>
      <c r="D108" s="110">
        <f t="shared" si="0"/>
        <v>0</v>
      </c>
      <c r="E108" s="113">
        <f t="shared" si="1"/>
        <v>-8000</v>
      </c>
    </row>
    <row r="109" spans="1:5" ht="14.25" thickBot="1">
      <c r="A109" s="92" t="s">
        <v>41</v>
      </c>
      <c r="B109" s="111">
        <f>B110</f>
        <v>933100</v>
      </c>
      <c r="C109" s="111">
        <f>C110</f>
        <v>224500</v>
      </c>
      <c r="D109" s="94">
        <f t="shared" si="0"/>
        <v>24.05958632515272</v>
      </c>
      <c r="E109" s="95">
        <f t="shared" si="1"/>
        <v>-708600</v>
      </c>
    </row>
    <row r="110" spans="1:5" ht="13.5">
      <c r="A110" s="68" t="s">
        <v>42</v>
      </c>
      <c r="B110" s="96">
        <f>SUM(B111+B113+B112)</f>
        <v>933100</v>
      </c>
      <c r="C110" s="96">
        <f>SUM(C111+C113+C112)</f>
        <v>224500</v>
      </c>
      <c r="D110" s="97">
        <f t="shared" si="0"/>
        <v>24.05958632515272</v>
      </c>
      <c r="E110" s="98">
        <f t="shared" si="1"/>
        <v>-708600</v>
      </c>
    </row>
    <row r="111" spans="1:5" ht="13.5">
      <c r="A111" s="21" t="s">
        <v>134</v>
      </c>
      <c r="B111" s="100">
        <v>933100</v>
      </c>
      <c r="C111" s="101">
        <v>224500</v>
      </c>
      <c r="D111" s="103">
        <f t="shared" si="0"/>
        <v>24.05958632515272</v>
      </c>
      <c r="E111" s="104">
        <f t="shared" si="1"/>
        <v>-708600</v>
      </c>
    </row>
    <row r="112" spans="1:5" ht="13.5">
      <c r="A112" s="68" t="s">
        <v>277</v>
      </c>
      <c r="B112" s="100">
        <v>0</v>
      </c>
      <c r="C112" s="101">
        <v>0</v>
      </c>
      <c r="D112" s="103" t="str">
        <f t="shared" si="0"/>
        <v>   </v>
      </c>
      <c r="E112" s="114">
        <f t="shared" si="1"/>
        <v>0</v>
      </c>
    </row>
    <row r="113" spans="1:5" ht="21.75" customHeight="1" thickBot="1">
      <c r="A113" s="21" t="s">
        <v>242</v>
      </c>
      <c r="B113" s="36">
        <v>0</v>
      </c>
      <c r="C113" s="107">
        <v>0</v>
      </c>
      <c r="D113" s="40" t="str">
        <f t="shared" si="0"/>
        <v>   </v>
      </c>
      <c r="E113" s="107">
        <f t="shared" si="1"/>
        <v>0</v>
      </c>
    </row>
    <row r="114" spans="1:5" ht="14.25" thickBot="1">
      <c r="A114" s="92" t="s">
        <v>119</v>
      </c>
      <c r="B114" s="106">
        <f>SUM(B115,)</f>
        <v>15000</v>
      </c>
      <c r="C114" s="106">
        <f>SUM(C115,)</f>
        <v>0</v>
      </c>
      <c r="D114" s="110">
        <f t="shared" si="0"/>
        <v>0</v>
      </c>
      <c r="E114" s="113">
        <f t="shared" si="1"/>
        <v>-15000</v>
      </c>
    </row>
    <row r="115" spans="1:5" ht="13.5">
      <c r="A115" s="60" t="s">
        <v>43</v>
      </c>
      <c r="B115" s="100">
        <v>15000</v>
      </c>
      <c r="C115" s="115">
        <v>0</v>
      </c>
      <c r="D115" s="103">
        <f t="shared" si="0"/>
        <v>0</v>
      </c>
      <c r="E115" s="104">
        <f t="shared" si="1"/>
        <v>-15000</v>
      </c>
    </row>
    <row r="116" spans="1:5" ht="27" customHeight="1">
      <c r="A116" s="44" t="s">
        <v>15</v>
      </c>
      <c r="B116" s="116">
        <f>SUM(B56,B64,B66,B68,B87,B108,B109,B114,)</f>
        <v>5319900</v>
      </c>
      <c r="C116" s="116">
        <f>SUM(C56,C64,C66,C68,C87,C108,C109,C114,)</f>
        <v>800172.65</v>
      </c>
      <c r="D116" s="46">
        <f>IF(B116=0,"   ",C116/B116*100)</f>
        <v>15.041122013571684</v>
      </c>
      <c r="E116" s="47">
        <f>C116-B116</f>
        <v>-4519727.35</v>
      </c>
    </row>
    <row r="117" spans="1:5" s="13" customFormat="1" ht="42.75" customHeight="1">
      <c r="A117" s="71" t="s">
        <v>288</v>
      </c>
      <c r="B117" s="71"/>
      <c r="C117" s="167"/>
      <c r="D117" s="167"/>
      <c r="E117" s="167"/>
    </row>
    <row r="118" spans="1:5" s="13" customFormat="1" ht="18.75" customHeight="1">
      <c r="A118" s="71" t="s">
        <v>145</v>
      </c>
      <c r="B118" s="71"/>
      <c r="C118" s="72" t="s">
        <v>289</v>
      </c>
      <c r="D118" s="73"/>
      <c r="E118" s="74"/>
    </row>
    <row r="119" spans="1:5" ht="13.5">
      <c r="A119" s="71"/>
      <c r="B119" s="71"/>
      <c r="C119" s="117"/>
      <c r="D119" s="71"/>
      <c r="E119" s="118"/>
    </row>
    <row r="120" spans="1:5" ht="13.5">
      <c r="A120" s="71"/>
      <c r="B120" s="71"/>
      <c r="C120" s="117"/>
      <c r="D120" s="71"/>
      <c r="E120" s="118"/>
    </row>
    <row r="121" spans="1:5" ht="13.5">
      <c r="A121" s="119"/>
      <c r="B121" s="119"/>
      <c r="C121" s="120"/>
      <c r="D121" s="119"/>
      <c r="E121" s="121"/>
    </row>
    <row r="122" spans="1:5" ht="13.5">
      <c r="A122" s="119"/>
      <c r="B122" s="119"/>
      <c r="C122" s="120"/>
      <c r="D122" s="119"/>
      <c r="E122" s="121"/>
    </row>
    <row r="123" spans="1:5" ht="13.5">
      <c r="A123" s="122"/>
      <c r="B123" s="122"/>
      <c r="C123" s="122"/>
      <c r="D123" s="122"/>
      <c r="E123" s="122"/>
    </row>
    <row r="124" spans="1:5" ht="13.5">
      <c r="A124" s="122"/>
      <c r="B124" s="122"/>
      <c r="C124" s="122"/>
      <c r="D124" s="122"/>
      <c r="E124" s="122"/>
    </row>
    <row r="125" spans="1:5" ht="13.5">
      <c r="A125" s="122"/>
      <c r="B125" s="122"/>
      <c r="C125" s="122"/>
      <c r="D125" s="122"/>
      <c r="E125" s="122"/>
    </row>
    <row r="126" spans="1:5" ht="13.5">
      <c r="A126" s="122"/>
      <c r="B126" s="122"/>
      <c r="C126" s="122"/>
      <c r="D126" s="122"/>
      <c r="E126" s="122"/>
    </row>
    <row r="127" spans="1:5" ht="13.5">
      <c r="A127" s="122"/>
      <c r="B127" s="122"/>
      <c r="C127" s="122"/>
      <c r="D127" s="122"/>
      <c r="E127" s="122"/>
    </row>
    <row r="128" spans="1:5" ht="13.5">
      <c r="A128" s="122"/>
      <c r="B128" s="122"/>
      <c r="C128" s="122"/>
      <c r="D128" s="122"/>
      <c r="E128" s="122"/>
    </row>
    <row r="129" spans="1:5" ht="13.5">
      <c r="A129" s="122"/>
      <c r="B129" s="122"/>
      <c r="C129" s="122"/>
      <c r="D129" s="122"/>
      <c r="E129" s="122"/>
    </row>
    <row r="130" spans="1:5" ht="13.5">
      <c r="A130" s="122"/>
      <c r="B130" s="122"/>
      <c r="C130" s="122"/>
      <c r="D130" s="122"/>
      <c r="E130" s="122"/>
    </row>
    <row r="131" spans="1:5" ht="13.5">
      <c r="A131" s="122"/>
      <c r="B131" s="122"/>
      <c r="C131" s="122"/>
      <c r="D131" s="122"/>
      <c r="E131" s="122"/>
    </row>
    <row r="132" spans="1:5" ht="13.5">
      <c r="A132" s="122"/>
      <c r="B132" s="122"/>
      <c r="C132" s="122"/>
      <c r="D132" s="122"/>
      <c r="E132" s="122"/>
    </row>
    <row r="133" spans="1:5" ht="13.5">
      <c r="A133" s="122"/>
      <c r="B133" s="122"/>
      <c r="C133" s="122"/>
      <c r="D133" s="122"/>
      <c r="E133" s="122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  <row r="138" spans="1:5" ht="12.75">
      <c r="A138" s="3"/>
      <c r="B138" s="3"/>
      <c r="C138" s="3"/>
      <c r="D138" s="3"/>
      <c r="E138" s="3"/>
    </row>
    <row r="139" spans="1:5" ht="12.75">
      <c r="A139" s="3"/>
      <c r="B139" s="3"/>
      <c r="C139" s="3"/>
      <c r="D139" s="3"/>
      <c r="E139" s="3"/>
    </row>
    <row r="140" spans="1:5" ht="12.75">
      <c r="A140" s="3"/>
      <c r="B140" s="3"/>
      <c r="C140" s="3"/>
      <c r="D140" s="3"/>
      <c r="E140" s="3"/>
    </row>
    <row r="141" spans="1:5" ht="12.75">
      <c r="A141" s="3"/>
      <c r="B141" s="3"/>
      <c r="C141" s="3"/>
      <c r="D141" s="3"/>
      <c r="E141" s="3"/>
    </row>
  </sheetData>
  <sheetProtection/>
  <mergeCells count="2">
    <mergeCell ref="A1:E1"/>
    <mergeCell ref="C117:E117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7"/>
  <sheetViews>
    <sheetView zoomScaleSheetLayoutView="100" zoomScalePageLayoutView="0" workbookViewId="0" topLeftCell="A88">
      <selection activeCell="C102" sqref="C102"/>
    </sheetView>
  </sheetViews>
  <sheetFormatPr defaultColWidth="9.00390625" defaultRowHeight="12.75"/>
  <cols>
    <col min="1" max="1" width="105.125" style="0" customWidth="1"/>
    <col min="2" max="2" width="15.375" style="0" customWidth="1"/>
    <col min="3" max="3" width="19.50390625" style="0" customWidth="1"/>
    <col min="4" max="4" width="14.50390625" style="0" customWidth="1"/>
    <col min="5" max="5" width="19.375" style="0" customWidth="1"/>
  </cols>
  <sheetData>
    <row r="1" spans="1:5" ht="13.5">
      <c r="A1" s="168" t="s">
        <v>353</v>
      </c>
      <c r="B1" s="168"/>
      <c r="C1" s="168"/>
      <c r="D1" s="168"/>
      <c r="E1" s="168"/>
    </row>
    <row r="2" spans="1:5" ht="14.25" thickBot="1">
      <c r="A2" s="22"/>
      <c r="B2" s="22"/>
      <c r="C2" s="23"/>
      <c r="D2" s="22"/>
      <c r="E2" s="22" t="s">
        <v>0</v>
      </c>
    </row>
    <row r="3" spans="1:5" ht="76.5" customHeight="1">
      <c r="A3" s="24" t="s">
        <v>1</v>
      </c>
      <c r="B3" s="25" t="s">
        <v>331</v>
      </c>
      <c r="C3" s="26" t="s">
        <v>351</v>
      </c>
      <c r="D3" s="25" t="s">
        <v>332</v>
      </c>
      <c r="E3" s="27" t="s">
        <v>333</v>
      </c>
    </row>
    <row r="4" spans="1:5" ht="13.5">
      <c r="A4" s="28">
        <v>1</v>
      </c>
      <c r="B4" s="29">
        <v>2</v>
      </c>
      <c r="C4" s="78">
        <v>3</v>
      </c>
      <c r="D4" s="31">
        <v>4</v>
      </c>
      <c r="E4" s="32">
        <v>5</v>
      </c>
    </row>
    <row r="5" spans="1:5" ht="14.25">
      <c r="A5" s="33" t="s">
        <v>2</v>
      </c>
      <c r="B5" s="34"/>
      <c r="C5" s="35"/>
      <c r="D5" s="36"/>
      <c r="E5" s="37"/>
    </row>
    <row r="6" spans="1:5" ht="15" customHeight="1">
      <c r="A6" s="38" t="s">
        <v>45</v>
      </c>
      <c r="B6" s="143">
        <f>SUM(B7)</f>
        <v>63600</v>
      </c>
      <c r="C6" s="143">
        <f>SUM(C7)</f>
        <v>20359.17</v>
      </c>
      <c r="D6" s="40">
        <f aca="true" t="shared" si="0" ref="D6:D105">IF(B6=0,"   ",C6/B6*100)</f>
        <v>32.01127358490566</v>
      </c>
      <c r="E6" s="41">
        <f aca="true" t="shared" si="1" ref="E6:E106">C6-B6</f>
        <v>-43240.83</v>
      </c>
    </row>
    <row r="7" spans="1:5" ht="15" customHeight="1">
      <c r="A7" s="21" t="s">
        <v>44</v>
      </c>
      <c r="B7" s="36">
        <v>63600</v>
      </c>
      <c r="C7" s="144">
        <v>20359.17</v>
      </c>
      <c r="D7" s="40">
        <f t="shared" si="0"/>
        <v>32.01127358490566</v>
      </c>
      <c r="E7" s="41">
        <f t="shared" si="1"/>
        <v>-43240.83</v>
      </c>
    </row>
    <row r="8" spans="1:5" ht="15.75" customHeight="1">
      <c r="A8" s="38" t="s">
        <v>129</v>
      </c>
      <c r="B8" s="143">
        <f>SUM(B9)</f>
        <v>434400</v>
      </c>
      <c r="C8" s="143">
        <f>SUM(C9)</f>
        <v>114784.22</v>
      </c>
      <c r="D8" s="40">
        <f t="shared" si="0"/>
        <v>26.42362338858195</v>
      </c>
      <c r="E8" s="41">
        <f t="shared" si="1"/>
        <v>-319615.78</v>
      </c>
    </row>
    <row r="9" spans="1:5" ht="15" customHeight="1">
      <c r="A9" s="21" t="s">
        <v>130</v>
      </c>
      <c r="B9" s="36">
        <v>434400</v>
      </c>
      <c r="C9" s="144">
        <v>114784.22</v>
      </c>
      <c r="D9" s="40">
        <f t="shared" si="0"/>
        <v>26.42362338858195</v>
      </c>
      <c r="E9" s="41">
        <f t="shared" si="1"/>
        <v>-319615.78</v>
      </c>
    </row>
    <row r="10" spans="1:5" ht="16.5" customHeight="1">
      <c r="A10" s="21" t="s">
        <v>7</v>
      </c>
      <c r="B10" s="36">
        <f>B11</f>
        <v>23500</v>
      </c>
      <c r="C10" s="36">
        <f>C11</f>
        <v>15696.87</v>
      </c>
      <c r="D10" s="40">
        <f t="shared" si="0"/>
        <v>66.7951914893617</v>
      </c>
      <c r="E10" s="41">
        <f t="shared" si="1"/>
        <v>-7803.129999999999</v>
      </c>
    </row>
    <row r="11" spans="1:5" ht="15" customHeight="1">
      <c r="A11" s="21" t="s">
        <v>26</v>
      </c>
      <c r="B11" s="36">
        <v>23500</v>
      </c>
      <c r="C11" s="144">
        <v>15696.87</v>
      </c>
      <c r="D11" s="40">
        <f t="shared" si="0"/>
        <v>66.7951914893617</v>
      </c>
      <c r="E11" s="41">
        <f t="shared" si="1"/>
        <v>-7803.129999999999</v>
      </c>
    </row>
    <row r="12" spans="1:5" ht="15" customHeight="1">
      <c r="A12" s="21" t="s">
        <v>9</v>
      </c>
      <c r="B12" s="36">
        <f>SUM(B13:B14)</f>
        <v>207000</v>
      </c>
      <c r="C12" s="36">
        <f>SUM(C13:C14)</f>
        <v>5159.95</v>
      </c>
      <c r="D12" s="40">
        <f t="shared" si="0"/>
        <v>2.4927294685990335</v>
      </c>
      <c r="E12" s="41">
        <f t="shared" si="1"/>
        <v>-201840.05</v>
      </c>
    </row>
    <row r="13" spans="1:5" ht="12.75" customHeight="1">
      <c r="A13" s="21" t="s">
        <v>27</v>
      </c>
      <c r="B13" s="36">
        <v>115000</v>
      </c>
      <c r="C13" s="144">
        <v>1898.97</v>
      </c>
      <c r="D13" s="40">
        <f t="shared" si="0"/>
        <v>1.6512782608695653</v>
      </c>
      <c r="E13" s="41">
        <f t="shared" si="1"/>
        <v>-113101.03</v>
      </c>
    </row>
    <row r="14" spans="1:5" ht="15" customHeight="1">
      <c r="A14" s="21" t="s">
        <v>151</v>
      </c>
      <c r="B14" s="36">
        <f>SUM(B15:B16)</f>
        <v>92000</v>
      </c>
      <c r="C14" s="36">
        <f>SUM(C15:C16)</f>
        <v>3260.98</v>
      </c>
      <c r="D14" s="40">
        <f t="shared" si="0"/>
        <v>3.54454347826087</v>
      </c>
      <c r="E14" s="41">
        <f t="shared" si="1"/>
        <v>-88739.02</v>
      </c>
    </row>
    <row r="15" spans="1:5" ht="15" customHeight="1">
      <c r="A15" s="21" t="s">
        <v>152</v>
      </c>
      <c r="B15" s="36">
        <v>12000</v>
      </c>
      <c r="C15" s="144">
        <v>242.97</v>
      </c>
      <c r="D15" s="40">
        <f t="shared" si="0"/>
        <v>2.02475</v>
      </c>
      <c r="E15" s="41">
        <f t="shared" si="1"/>
        <v>-11757.03</v>
      </c>
    </row>
    <row r="16" spans="1:5" ht="15" customHeight="1">
      <c r="A16" s="21" t="s">
        <v>153</v>
      </c>
      <c r="B16" s="36">
        <v>80000</v>
      </c>
      <c r="C16" s="144">
        <v>3018.01</v>
      </c>
      <c r="D16" s="40">
        <f t="shared" si="0"/>
        <v>3.7725125000000004</v>
      </c>
      <c r="E16" s="41">
        <f t="shared" si="1"/>
        <v>-76981.99</v>
      </c>
    </row>
    <row r="17" spans="1:5" ht="15" customHeight="1">
      <c r="A17" s="21" t="s">
        <v>186</v>
      </c>
      <c r="B17" s="36">
        <v>0</v>
      </c>
      <c r="C17" s="107">
        <v>0</v>
      </c>
      <c r="D17" s="40" t="str">
        <f t="shared" si="0"/>
        <v>   </v>
      </c>
      <c r="E17" s="41">
        <f t="shared" si="1"/>
        <v>0</v>
      </c>
    </row>
    <row r="18" spans="1:5" ht="27.75" customHeight="1">
      <c r="A18" s="21" t="s">
        <v>85</v>
      </c>
      <c r="B18" s="36">
        <v>0</v>
      </c>
      <c r="C18" s="36">
        <v>0</v>
      </c>
      <c r="D18" s="40" t="str">
        <f t="shared" si="0"/>
        <v>   </v>
      </c>
      <c r="E18" s="41">
        <f t="shared" si="1"/>
        <v>0</v>
      </c>
    </row>
    <row r="19" spans="1:5" ht="27.75" customHeight="1">
      <c r="A19" s="21" t="s">
        <v>28</v>
      </c>
      <c r="B19" s="36">
        <f>SUM(B20:B21)</f>
        <v>76400</v>
      </c>
      <c r="C19" s="36">
        <f>SUM(C20:C21)</f>
        <v>607.79</v>
      </c>
      <c r="D19" s="40">
        <f t="shared" si="0"/>
        <v>0.7955366492146596</v>
      </c>
      <c r="E19" s="41">
        <f t="shared" si="1"/>
        <v>-75792.21</v>
      </c>
    </row>
    <row r="20" spans="1:5" ht="12.75" customHeight="1">
      <c r="A20" s="21" t="s">
        <v>143</v>
      </c>
      <c r="B20" s="36">
        <v>42600</v>
      </c>
      <c r="C20" s="144">
        <v>607.79</v>
      </c>
      <c r="D20" s="40">
        <f t="shared" si="0"/>
        <v>1.4267370892018778</v>
      </c>
      <c r="E20" s="41">
        <f t="shared" si="1"/>
        <v>-41992.21</v>
      </c>
    </row>
    <row r="21" spans="1:5" ht="15.75" customHeight="1">
      <c r="A21" s="21" t="s">
        <v>30</v>
      </c>
      <c r="B21" s="36">
        <v>33800</v>
      </c>
      <c r="C21" s="144">
        <v>0</v>
      </c>
      <c r="D21" s="40">
        <f t="shared" si="0"/>
        <v>0</v>
      </c>
      <c r="E21" s="41">
        <f t="shared" si="1"/>
        <v>-33800</v>
      </c>
    </row>
    <row r="22" spans="1:5" ht="15.75" customHeight="1">
      <c r="A22" s="21" t="s">
        <v>88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15.75" customHeight="1">
      <c r="A23" s="21" t="s">
        <v>78</v>
      </c>
      <c r="B23" s="143">
        <f>B24+B25</f>
        <v>0</v>
      </c>
      <c r="C23" s="143">
        <f>C24+C25</f>
        <v>0</v>
      </c>
      <c r="D23" s="40" t="str">
        <f t="shared" si="0"/>
        <v>   </v>
      </c>
      <c r="E23" s="41">
        <f t="shared" si="1"/>
        <v>0</v>
      </c>
    </row>
    <row r="24" spans="1:5" ht="27.75" customHeight="1">
      <c r="A24" s="21" t="s">
        <v>276</v>
      </c>
      <c r="B24" s="36">
        <v>0</v>
      </c>
      <c r="C24" s="86">
        <v>0</v>
      </c>
      <c r="D24" s="40" t="str">
        <f t="shared" si="0"/>
        <v>   </v>
      </c>
      <c r="E24" s="41">
        <f t="shared" si="1"/>
        <v>0</v>
      </c>
    </row>
    <row r="25" spans="1:5" ht="15" customHeight="1">
      <c r="A25" s="21" t="s">
        <v>127</v>
      </c>
      <c r="B25" s="36">
        <v>0</v>
      </c>
      <c r="C25" s="144">
        <v>0</v>
      </c>
      <c r="D25" s="40" t="str">
        <f t="shared" si="0"/>
        <v>   </v>
      </c>
      <c r="E25" s="41">
        <f t="shared" si="1"/>
        <v>0</v>
      </c>
    </row>
    <row r="26" spans="1:5" ht="15" customHeight="1">
      <c r="A26" s="21" t="s">
        <v>287</v>
      </c>
      <c r="B26" s="36">
        <v>0</v>
      </c>
      <c r="C26" s="144">
        <v>0</v>
      </c>
      <c r="D26" s="40" t="str">
        <f>IF(B26=0,"   ",C26/B26*100)</f>
        <v>   </v>
      </c>
      <c r="E26" s="41">
        <f>C26-B26</f>
        <v>0</v>
      </c>
    </row>
    <row r="27" spans="1:5" ht="13.5" customHeight="1">
      <c r="A27" s="21" t="s">
        <v>32</v>
      </c>
      <c r="B27" s="36">
        <f>SUM(B28:B30)</f>
        <v>0</v>
      </c>
      <c r="C27" s="36">
        <f>SUM(C28:C30)</f>
        <v>0</v>
      </c>
      <c r="D27" s="40" t="str">
        <f t="shared" si="0"/>
        <v>   </v>
      </c>
      <c r="E27" s="41">
        <f t="shared" si="1"/>
        <v>0</v>
      </c>
    </row>
    <row r="28" spans="1:5" ht="13.5" customHeight="1">
      <c r="A28" s="21" t="s">
        <v>46</v>
      </c>
      <c r="B28" s="36">
        <v>0</v>
      </c>
      <c r="C28" s="36">
        <v>0</v>
      </c>
      <c r="D28" s="40"/>
      <c r="E28" s="41">
        <f t="shared" si="1"/>
        <v>0</v>
      </c>
    </row>
    <row r="29" spans="1:5" ht="13.5" customHeight="1">
      <c r="A29" s="21" t="s">
        <v>313</v>
      </c>
      <c r="B29" s="36">
        <v>0</v>
      </c>
      <c r="C29" s="36">
        <v>0</v>
      </c>
      <c r="D29" s="40"/>
      <c r="E29" s="41">
        <f>C29-B29</f>
        <v>0</v>
      </c>
    </row>
    <row r="30" spans="1:5" ht="15" customHeight="1">
      <c r="A30" s="21" t="s">
        <v>50</v>
      </c>
      <c r="B30" s="36">
        <v>0</v>
      </c>
      <c r="C30" s="107">
        <v>0</v>
      </c>
      <c r="D30" s="40" t="str">
        <f t="shared" si="0"/>
        <v>   </v>
      </c>
      <c r="E30" s="41">
        <f t="shared" si="1"/>
        <v>0</v>
      </c>
    </row>
    <row r="31" spans="1:5" ht="13.5" customHeight="1">
      <c r="A31" s="21" t="s">
        <v>31</v>
      </c>
      <c r="B31" s="36">
        <v>0</v>
      </c>
      <c r="C31" s="36">
        <v>0</v>
      </c>
      <c r="D31" s="40" t="str">
        <f t="shared" si="0"/>
        <v>   </v>
      </c>
      <c r="E31" s="41">
        <f t="shared" si="1"/>
        <v>0</v>
      </c>
    </row>
    <row r="32" spans="1:5" ht="22.5" customHeight="1">
      <c r="A32" s="44" t="s">
        <v>10</v>
      </c>
      <c r="B32" s="116">
        <f>SUM(B6,B8,B10,B12,B18,B19,B22,B23,B31,B27,B17)</f>
        <v>804900</v>
      </c>
      <c r="C32" s="116">
        <f>SUM(C6,C8,C10,C12,C18,C19,C22,C23,C31,C27,C17,C26)</f>
        <v>156608.00000000003</v>
      </c>
      <c r="D32" s="46">
        <f t="shared" si="0"/>
        <v>19.45682693502299</v>
      </c>
      <c r="E32" s="47">
        <f t="shared" si="1"/>
        <v>-648292</v>
      </c>
    </row>
    <row r="33" spans="1:5" ht="16.5" customHeight="1">
      <c r="A33" s="62" t="s">
        <v>132</v>
      </c>
      <c r="B33" s="145">
        <f>SUM(B34:B37,B40:B43,B48)</f>
        <v>2903900</v>
      </c>
      <c r="C33" s="145">
        <f>SUM(C34:C37,C40:C43,C48)</f>
        <v>688851.6</v>
      </c>
      <c r="D33" s="46">
        <f t="shared" si="0"/>
        <v>23.72160198353938</v>
      </c>
      <c r="E33" s="47">
        <f t="shared" si="1"/>
        <v>-2215048.4</v>
      </c>
    </row>
    <row r="34" spans="1:5" ht="20.25" customHeight="1">
      <c r="A34" s="38" t="s">
        <v>34</v>
      </c>
      <c r="B34" s="143">
        <v>1948700</v>
      </c>
      <c r="C34" s="86">
        <v>487200</v>
      </c>
      <c r="D34" s="40">
        <f t="shared" si="0"/>
        <v>25.001282906553087</v>
      </c>
      <c r="E34" s="41">
        <f t="shared" si="1"/>
        <v>-1461500</v>
      </c>
    </row>
    <row r="35" spans="1:5" ht="20.25" customHeight="1">
      <c r="A35" s="38" t="s">
        <v>217</v>
      </c>
      <c r="B35" s="143">
        <v>0</v>
      </c>
      <c r="C35" s="86">
        <v>0</v>
      </c>
      <c r="D35" s="40" t="str">
        <f>IF(B35=0,"   ",C35/B35*100)</f>
        <v>   </v>
      </c>
      <c r="E35" s="41">
        <f>C35-B35</f>
        <v>0</v>
      </c>
    </row>
    <row r="36" spans="1:5" ht="26.25" customHeight="1">
      <c r="A36" s="52" t="s">
        <v>51</v>
      </c>
      <c r="B36" s="85">
        <v>94300</v>
      </c>
      <c r="C36" s="86">
        <v>29000</v>
      </c>
      <c r="D36" s="54">
        <f t="shared" si="0"/>
        <v>30.75291622481442</v>
      </c>
      <c r="E36" s="55">
        <f t="shared" si="1"/>
        <v>-65300</v>
      </c>
    </row>
    <row r="37" spans="1:5" ht="26.25" customHeight="1">
      <c r="A37" s="52" t="s">
        <v>139</v>
      </c>
      <c r="B37" s="85">
        <f>SUM(B38:B39)</f>
        <v>100</v>
      </c>
      <c r="C37" s="85">
        <f>SUM(C38:C39)</f>
        <v>100</v>
      </c>
      <c r="D37" s="54">
        <f t="shared" si="0"/>
        <v>100</v>
      </c>
      <c r="E37" s="55">
        <f t="shared" si="1"/>
        <v>0</v>
      </c>
    </row>
    <row r="38" spans="1:5" ht="17.25" customHeight="1">
      <c r="A38" s="52" t="s">
        <v>154</v>
      </c>
      <c r="B38" s="85">
        <v>100</v>
      </c>
      <c r="C38" s="85">
        <v>100</v>
      </c>
      <c r="D38" s="54">
        <f>IF(B38=0,"   ",C38/B38*100)</f>
        <v>100</v>
      </c>
      <c r="E38" s="55">
        <f>C38-B38</f>
        <v>0</v>
      </c>
    </row>
    <row r="39" spans="1:5" ht="26.25" customHeight="1">
      <c r="A39" s="52" t="s">
        <v>155</v>
      </c>
      <c r="B39" s="85">
        <v>0</v>
      </c>
      <c r="C39" s="85">
        <v>0</v>
      </c>
      <c r="D39" s="54" t="str">
        <f>IF(B39=0,"   ",C39/B39*100)</f>
        <v>   </v>
      </c>
      <c r="E39" s="55">
        <f>C39-B39</f>
        <v>0</v>
      </c>
    </row>
    <row r="40" spans="1:5" ht="44.25" customHeight="1">
      <c r="A40" s="21" t="s">
        <v>98</v>
      </c>
      <c r="B40" s="36">
        <v>0</v>
      </c>
      <c r="C40" s="36">
        <v>0</v>
      </c>
      <c r="D40" s="40" t="str">
        <f t="shared" si="0"/>
        <v>   </v>
      </c>
      <c r="E40" s="41">
        <f t="shared" si="1"/>
        <v>0</v>
      </c>
    </row>
    <row r="41" spans="1:5" ht="33" customHeight="1">
      <c r="A41" s="21" t="s">
        <v>322</v>
      </c>
      <c r="B41" s="36">
        <v>0</v>
      </c>
      <c r="C41" s="36">
        <v>0</v>
      </c>
      <c r="D41" s="40" t="str">
        <f t="shared" si="0"/>
        <v>   </v>
      </c>
      <c r="E41" s="41">
        <f t="shared" si="1"/>
        <v>0</v>
      </c>
    </row>
    <row r="42" spans="1:5" ht="57" customHeight="1">
      <c r="A42" s="21" t="s">
        <v>225</v>
      </c>
      <c r="B42" s="36">
        <v>615900</v>
      </c>
      <c r="C42" s="36">
        <v>0</v>
      </c>
      <c r="D42" s="40">
        <f t="shared" si="0"/>
        <v>0</v>
      </c>
      <c r="E42" s="41">
        <f t="shared" si="1"/>
        <v>-615900</v>
      </c>
    </row>
    <row r="43" spans="1:5" ht="15" customHeight="1">
      <c r="A43" s="21" t="s">
        <v>55</v>
      </c>
      <c r="B43" s="36">
        <f>SUM(B44:B47)</f>
        <v>244900</v>
      </c>
      <c r="C43" s="36">
        <f>SUM(C44:C47)</f>
        <v>172551.6</v>
      </c>
      <c r="D43" s="40">
        <f t="shared" si="0"/>
        <v>70.45798285014293</v>
      </c>
      <c r="E43" s="41">
        <f t="shared" si="1"/>
        <v>-72348.4</v>
      </c>
    </row>
    <row r="44" spans="1:5" ht="31.5" customHeight="1">
      <c r="A44" s="21" t="s">
        <v>178</v>
      </c>
      <c r="B44" s="36">
        <v>0</v>
      </c>
      <c r="C44" s="36">
        <v>0</v>
      </c>
      <c r="D44" s="36" t="str">
        <f t="shared" si="0"/>
        <v>   </v>
      </c>
      <c r="E44" s="41">
        <f t="shared" si="1"/>
        <v>0</v>
      </c>
    </row>
    <row r="45" spans="1:5" ht="15" customHeight="1">
      <c r="A45" s="21" t="s">
        <v>290</v>
      </c>
      <c r="B45" s="36">
        <v>7300</v>
      </c>
      <c r="C45" s="36">
        <v>0</v>
      </c>
      <c r="D45" s="36">
        <f t="shared" si="0"/>
        <v>0</v>
      </c>
      <c r="E45" s="41">
        <f t="shared" si="1"/>
        <v>-7300</v>
      </c>
    </row>
    <row r="46" spans="1:5" ht="15" customHeight="1">
      <c r="A46" s="21" t="s">
        <v>267</v>
      </c>
      <c r="B46" s="36">
        <v>0</v>
      </c>
      <c r="C46" s="36">
        <v>0</v>
      </c>
      <c r="D46" s="36" t="str">
        <f>IF(B46=0,"   ",C46/B46*100)</f>
        <v>   </v>
      </c>
      <c r="E46" s="41">
        <f>C46-B46</f>
        <v>0</v>
      </c>
    </row>
    <row r="47" spans="1:5" s="6" customFormat="1" ht="18" customHeight="1">
      <c r="A47" s="21" t="s">
        <v>104</v>
      </c>
      <c r="B47" s="36">
        <v>237600</v>
      </c>
      <c r="C47" s="107">
        <v>172551.6</v>
      </c>
      <c r="D47" s="36">
        <f t="shared" si="0"/>
        <v>72.62272727272727</v>
      </c>
      <c r="E47" s="41">
        <f t="shared" si="1"/>
        <v>-65048.399999999994</v>
      </c>
    </row>
    <row r="48" spans="1:5" s="6" customFormat="1" ht="18" customHeight="1">
      <c r="A48" s="21" t="s">
        <v>188</v>
      </c>
      <c r="B48" s="36">
        <v>0</v>
      </c>
      <c r="C48" s="107">
        <v>0</v>
      </c>
      <c r="D48" s="36" t="str">
        <f t="shared" si="0"/>
        <v>   </v>
      </c>
      <c r="E48" s="41">
        <f t="shared" si="1"/>
        <v>0</v>
      </c>
    </row>
    <row r="49" spans="1:5" ht="18.75" customHeight="1">
      <c r="A49" s="44" t="s">
        <v>11</v>
      </c>
      <c r="B49" s="116">
        <f>SUM(B32:B33,)</f>
        <v>3708800</v>
      </c>
      <c r="C49" s="116">
        <f>SUM(C32:C33,)</f>
        <v>845459.6</v>
      </c>
      <c r="D49" s="46">
        <f t="shared" si="0"/>
        <v>22.796041846419328</v>
      </c>
      <c r="E49" s="47">
        <f t="shared" si="1"/>
        <v>-2863340.4</v>
      </c>
    </row>
    <row r="50" spans="1:5" ht="15" customHeight="1" thickBot="1">
      <c r="A50" s="87" t="s">
        <v>12</v>
      </c>
      <c r="B50" s="137"/>
      <c r="C50" s="138"/>
      <c r="D50" s="90" t="str">
        <f t="shared" si="0"/>
        <v>   </v>
      </c>
      <c r="E50" s="91">
        <f t="shared" si="1"/>
        <v>0</v>
      </c>
    </row>
    <row r="51" spans="1:5" ht="27.75" customHeight="1" thickBot="1">
      <c r="A51" s="92" t="s">
        <v>35</v>
      </c>
      <c r="B51" s="93">
        <f>SUM(B52,B55:B56)</f>
        <v>1585900</v>
      </c>
      <c r="C51" s="93">
        <f>SUM(C52,C55:C56)</f>
        <v>328918.79</v>
      </c>
      <c r="D51" s="94">
        <f t="shared" si="0"/>
        <v>20.740197364272653</v>
      </c>
      <c r="E51" s="95">
        <f t="shared" si="1"/>
        <v>-1256981.21</v>
      </c>
    </row>
    <row r="52" spans="1:5" ht="15.75" customHeight="1">
      <c r="A52" s="68" t="s">
        <v>36</v>
      </c>
      <c r="B52" s="96">
        <v>1555400</v>
      </c>
      <c r="C52" s="96">
        <v>328918.79</v>
      </c>
      <c r="D52" s="97">
        <f t="shared" si="0"/>
        <v>21.14689404654751</v>
      </c>
      <c r="E52" s="98">
        <f t="shared" si="1"/>
        <v>-1226481.21</v>
      </c>
    </row>
    <row r="53" spans="1:5" ht="14.25" customHeight="1">
      <c r="A53" s="21" t="s">
        <v>115</v>
      </c>
      <c r="B53" s="36">
        <v>993856</v>
      </c>
      <c r="C53" s="99">
        <v>181851.9</v>
      </c>
      <c r="D53" s="40">
        <f t="shared" si="0"/>
        <v>18.29761051902891</v>
      </c>
      <c r="E53" s="41">
        <f t="shared" si="1"/>
        <v>-812004.1</v>
      </c>
    </row>
    <row r="54" spans="1:5" ht="14.25" customHeight="1">
      <c r="A54" s="21" t="s">
        <v>324</v>
      </c>
      <c r="B54" s="36">
        <v>0</v>
      </c>
      <c r="C54" s="99">
        <v>0</v>
      </c>
      <c r="D54" s="40" t="str">
        <f>IF(B54=0,"   ",C54/B54*100)</f>
        <v>   </v>
      </c>
      <c r="E54" s="41">
        <f>C54-B54</f>
        <v>0</v>
      </c>
    </row>
    <row r="55" spans="1:5" ht="12.75" customHeight="1">
      <c r="A55" s="21" t="s">
        <v>91</v>
      </c>
      <c r="B55" s="36">
        <v>500</v>
      </c>
      <c r="C55" s="107">
        <v>0</v>
      </c>
      <c r="D55" s="40">
        <f t="shared" si="0"/>
        <v>0</v>
      </c>
      <c r="E55" s="41">
        <f t="shared" si="1"/>
        <v>-500</v>
      </c>
    </row>
    <row r="56" spans="1:5" ht="12.75" customHeight="1">
      <c r="A56" s="21" t="s">
        <v>52</v>
      </c>
      <c r="B56" s="36">
        <f>B58+B57</f>
        <v>30000</v>
      </c>
      <c r="C56" s="36">
        <f>C58+C57</f>
        <v>0</v>
      </c>
      <c r="D56" s="40">
        <f t="shared" si="0"/>
        <v>0</v>
      </c>
      <c r="E56" s="41">
        <f t="shared" si="1"/>
        <v>-30000</v>
      </c>
    </row>
    <row r="57" spans="1:5" ht="30.75" customHeight="1">
      <c r="A57" s="17" t="s">
        <v>231</v>
      </c>
      <c r="B57" s="36">
        <v>30000</v>
      </c>
      <c r="C57" s="107">
        <v>0</v>
      </c>
      <c r="D57" s="40">
        <f t="shared" si="0"/>
        <v>0</v>
      </c>
      <c r="E57" s="41">
        <f t="shared" si="1"/>
        <v>-30000</v>
      </c>
    </row>
    <row r="58" spans="1:5" ht="24" customHeight="1" thickBot="1">
      <c r="A58" s="17" t="s">
        <v>224</v>
      </c>
      <c r="B58" s="36">
        <v>0</v>
      </c>
      <c r="C58" s="107">
        <v>0</v>
      </c>
      <c r="D58" s="40" t="str">
        <f>IF(B58=0,"   ",C58/B58*100)</f>
        <v>   </v>
      </c>
      <c r="E58" s="41">
        <f>C58-B58</f>
        <v>0</v>
      </c>
    </row>
    <row r="59" spans="1:5" ht="14.25" customHeight="1" thickBot="1">
      <c r="A59" s="92" t="s">
        <v>49</v>
      </c>
      <c r="B59" s="146">
        <f>SUM(B60)</f>
        <v>94300</v>
      </c>
      <c r="C59" s="146">
        <f>SUM(C60)</f>
        <v>20900.82</v>
      </c>
      <c r="D59" s="94">
        <f t="shared" si="0"/>
        <v>22.164178154825027</v>
      </c>
      <c r="E59" s="95">
        <f t="shared" si="1"/>
        <v>-73399.18</v>
      </c>
    </row>
    <row r="60" spans="1:5" ht="22.5" customHeight="1" thickBot="1">
      <c r="A60" s="60" t="s">
        <v>102</v>
      </c>
      <c r="B60" s="100">
        <v>94300</v>
      </c>
      <c r="C60" s="101">
        <v>20900.82</v>
      </c>
      <c r="D60" s="94">
        <f t="shared" si="0"/>
        <v>22.164178154825027</v>
      </c>
      <c r="E60" s="104">
        <f t="shared" si="1"/>
        <v>-73399.18</v>
      </c>
    </row>
    <row r="61" spans="1:5" ht="17.25" customHeight="1" thickBot="1">
      <c r="A61" s="92" t="s">
        <v>37</v>
      </c>
      <c r="B61" s="93">
        <f>SUM(B62)</f>
        <v>5000</v>
      </c>
      <c r="C61" s="93">
        <f>SUM(C62)</f>
        <v>0</v>
      </c>
      <c r="D61" s="94">
        <f t="shared" si="0"/>
        <v>0</v>
      </c>
      <c r="E61" s="95">
        <f t="shared" si="1"/>
        <v>-5000</v>
      </c>
    </row>
    <row r="62" spans="1:5" ht="30" customHeight="1">
      <c r="A62" s="60" t="s">
        <v>315</v>
      </c>
      <c r="B62" s="96">
        <v>5000</v>
      </c>
      <c r="C62" s="114">
        <v>0</v>
      </c>
      <c r="D62" s="97">
        <f t="shared" si="0"/>
        <v>0</v>
      </c>
      <c r="E62" s="98">
        <f t="shared" si="1"/>
        <v>-5000</v>
      </c>
    </row>
    <row r="63" spans="1:5" ht="18.75" customHeight="1" thickBot="1">
      <c r="A63" s="62" t="s">
        <v>38</v>
      </c>
      <c r="B63" s="108">
        <f>B69+B64+B77</f>
        <v>1345700</v>
      </c>
      <c r="C63" s="108">
        <f>C69+C64+C77</f>
        <v>194739</v>
      </c>
      <c r="D63" s="90">
        <f t="shared" si="0"/>
        <v>14.471204577543286</v>
      </c>
      <c r="E63" s="91">
        <f t="shared" si="1"/>
        <v>-1150961</v>
      </c>
    </row>
    <row r="64" spans="1:5" ht="18.75" customHeight="1" thickBot="1">
      <c r="A64" s="60" t="s">
        <v>156</v>
      </c>
      <c r="B64" s="109">
        <f>SUM(B65:B68)</f>
        <v>7800</v>
      </c>
      <c r="C64" s="93">
        <f>SUM(C65:C68)</f>
        <v>0</v>
      </c>
      <c r="D64" s="90">
        <f>IF(B64=0,"   ",C64/B64*100)</f>
        <v>0</v>
      </c>
      <c r="E64" s="91">
        <f>C64-B64</f>
        <v>-7800</v>
      </c>
    </row>
    <row r="65" spans="1:5" ht="18.75" customHeight="1">
      <c r="A65" s="62" t="s">
        <v>157</v>
      </c>
      <c r="B65" s="36">
        <v>0</v>
      </c>
      <c r="C65" s="108">
        <v>0</v>
      </c>
      <c r="D65" s="90" t="str">
        <f>IF(B65=0,"   ",C65/B65*100)</f>
        <v>   </v>
      </c>
      <c r="E65" s="91">
        <f>C65-B65</f>
        <v>0</v>
      </c>
    </row>
    <row r="66" spans="1:5" ht="18.75" customHeight="1">
      <c r="A66" s="62" t="s">
        <v>179</v>
      </c>
      <c r="B66" s="36">
        <v>0</v>
      </c>
      <c r="C66" s="108">
        <v>0</v>
      </c>
      <c r="D66" s="90" t="str">
        <f>IF(B66=0,"   ",C66/B66*100)</f>
        <v>   </v>
      </c>
      <c r="E66" s="91">
        <f>C66-B66</f>
        <v>0</v>
      </c>
    </row>
    <row r="67" spans="1:5" ht="18.75" customHeight="1">
      <c r="A67" s="62" t="s">
        <v>291</v>
      </c>
      <c r="B67" s="36">
        <v>7300</v>
      </c>
      <c r="C67" s="108">
        <v>0</v>
      </c>
      <c r="D67" s="90">
        <f>IF(B67=0,"   ",C67/B67*100)</f>
        <v>0</v>
      </c>
      <c r="E67" s="91">
        <f>C67-B67</f>
        <v>-7300</v>
      </c>
    </row>
    <row r="68" spans="1:5" ht="18.75" customHeight="1">
      <c r="A68" s="62" t="s">
        <v>292</v>
      </c>
      <c r="B68" s="36">
        <v>500</v>
      </c>
      <c r="C68" s="108">
        <v>0</v>
      </c>
      <c r="D68" s="90">
        <f>IF(B68=0,"   ",C68/B68*100)</f>
        <v>0</v>
      </c>
      <c r="E68" s="91">
        <f>C68-B68</f>
        <v>-500</v>
      </c>
    </row>
    <row r="69" spans="1:5" ht="15" customHeight="1">
      <c r="A69" s="62" t="s">
        <v>124</v>
      </c>
      <c r="B69" s="36">
        <f>SUM(B70:B76)</f>
        <v>1287900</v>
      </c>
      <c r="C69" s="36">
        <f>SUM(C70:C76)</f>
        <v>194739</v>
      </c>
      <c r="D69" s="90">
        <f t="shared" si="0"/>
        <v>15.120661542045191</v>
      </c>
      <c r="E69" s="91">
        <f t="shared" si="1"/>
        <v>-1093161</v>
      </c>
    </row>
    <row r="70" spans="1:5" ht="18.75" customHeight="1">
      <c r="A70" s="60" t="s">
        <v>140</v>
      </c>
      <c r="B70" s="36">
        <v>0</v>
      </c>
      <c r="C70" s="36">
        <v>0</v>
      </c>
      <c r="D70" s="90" t="str">
        <f t="shared" si="0"/>
        <v>   </v>
      </c>
      <c r="E70" s="91">
        <f t="shared" si="1"/>
        <v>0</v>
      </c>
    </row>
    <row r="71" spans="1:5" ht="30.75" customHeight="1">
      <c r="A71" s="17" t="s">
        <v>236</v>
      </c>
      <c r="B71" s="36">
        <v>279500</v>
      </c>
      <c r="C71" s="36">
        <v>0</v>
      </c>
      <c r="D71" s="90">
        <f>IF(B71=0,"   ",C71/B71*100)</f>
        <v>0</v>
      </c>
      <c r="E71" s="91">
        <f>C71-B71</f>
        <v>-279500</v>
      </c>
    </row>
    <row r="72" spans="1:5" ht="30" customHeight="1">
      <c r="A72" s="17" t="s">
        <v>237</v>
      </c>
      <c r="B72" s="36">
        <v>60000</v>
      </c>
      <c r="C72" s="36">
        <v>0</v>
      </c>
      <c r="D72" s="90">
        <f t="shared" si="0"/>
        <v>0</v>
      </c>
      <c r="E72" s="91">
        <f t="shared" si="1"/>
        <v>-60000</v>
      </c>
    </row>
    <row r="73" spans="1:5" ht="30" customHeight="1">
      <c r="A73" s="17" t="s">
        <v>238</v>
      </c>
      <c r="B73" s="36">
        <v>615900</v>
      </c>
      <c r="C73" s="36">
        <v>0</v>
      </c>
      <c r="D73" s="90">
        <f t="shared" si="0"/>
        <v>0</v>
      </c>
      <c r="E73" s="91">
        <f t="shared" si="1"/>
        <v>-615900</v>
      </c>
    </row>
    <row r="74" spans="1:5" ht="30" customHeight="1">
      <c r="A74" s="17" t="s">
        <v>239</v>
      </c>
      <c r="B74" s="36">
        <v>68500</v>
      </c>
      <c r="C74" s="36">
        <v>0</v>
      </c>
      <c r="D74" s="90">
        <f t="shared" si="0"/>
        <v>0</v>
      </c>
      <c r="E74" s="91">
        <f t="shared" si="1"/>
        <v>-68500</v>
      </c>
    </row>
    <row r="75" spans="1:5" ht="30" customHeight="1">
      <c r="A75" s="17" t="s">
        <v>240</v>
      </c>
      <c r="B75" s="36">
        <v>237600</v>
      </c>
      <c r="C75" s="36">
        <v>172551.6</v>
      </c>
      <c r="D75" s="90">
        <f t="shared" si="0"/>
        <v>72.62272727272727</v>
      </c>
      <c r="E75" s="91">
        <f t="shared" si="1"/>
        <v>-65048.399999999994</v>
      </c>
    </row>
    <row r="76" spans="1:5" ht="30" customHeight="1">
      <c r="A76" s="17" t="s">
        <v>241</v>
      </c>
      <c r="B76" s="108">
        <v>26400</v>
      </c>
      <c r="C76" s="108">
        <v>22187.4</v>
      </c>
      <c r="D76" s="90">
        <f t="shared" si="0"/>
        <v>84.04318181818182</v>
      </c>
      <c r="E76" s="91">
        <f t="shared" si="1"/>
        <v>-4212.5999999999985</v>
      </c>
    </row>
    <row r="77" spans="1:5" ht="18" customHeight="1">
      <c r="A77" s="60" t="s">
        <v>167</v>
      </c>
      <c r="B77" s="36">
        <f>SUM(B78+B79)</f>
        <v>50000</v>
      </c>
      <c r="C77" s="36">
        <f>SUM(C78+C79)</f>
        <v>0</v>
      </c>
      <c r="D77" s="90">
        <f>IF(B77=0,"   ",C77/B77*100)</f>
        <v>0</v>
      </c>
      <c r="E77" s="91">
        <f>C77-B77</f>
        <v>-50000</v>
      </c>
    </row>
    <row r="78" spans="1:5" ht="27.75" customHeight="1">
      <c r="A78" s="62" t="s">
        <v>146</v>
      </c>
      <c r="B78" s="100">
        <v>20000</v>
      </c>
      <c r="C78" s="100">
        <v>0</v>
      </c>
      <c r="D78" s="40">
        <f>IF(B78=0,"   ",C78/B78*100)</f>
        <v>0</v>
      </c>
      <c r="E78" s="107">
        <f>C78-B78</f>
        <v>-20000</v>
      </c>
    </row>
    <row r="79" spans="1:5" ht="31.5" customHeight="1">
      <c r="A79" s="62" t="s">
        <v>168</v>
      </c>
      <c r="B79" s="36">
        <v>30000</v>
      </c>
      <c r="C79" s="36">
        <v>0</v>
      </c>
      <c r="D79" s="40">
        <f>IF(B79=0,"   ",C79/B79*100)</f>
        <v>0</v>
      </c>
      <c r="E79" s="107">
        <f>C79-B79</f>
        <v>-30000</v>
      </c>
    </row>
    <row r="80" spans="1:5" ht="20.25" customHeight="1">
      <c r="A80" s="62" t="s">
        <v>13</v>
      </c>
      <c r="B80" s="36">
        <f>SUM(B87,B81+B96)</f>
        <v>166600</v>
      </c>
      <c r="C80" s="36">
        <f>SUM(C87,C81+C96)</f>
        <v>0</v>
      </c>
      <c r="D80" s="40">
        <f t="shared" si="0"/>
        <v>0</v>
      </c>
      <c r="E80" s="107">
        <f t="shared" si="1"/>
        <v>-166600</v>
      </c>
    </row>
    <row r="81" spans="1:5" ht="15" customHeight="1" thickBot="1">
      <c r="A81" s="68" t="s">
        <v>141</v>
      </c>
      <c r="B81" s="106">
        <f>SUM(B82+B84+B85+B86)</f>
        <v>20000</v>
      </c>
      <c r="C81" s="106">
        <f>SUM(C82+C84+C85+C86)</f>
        <v>0</v>
      </c>
      <c r="D81" s="40">
        <f aca="true" t="shared" si="2" ref="D81:D86">IF(B81=0,"   ",C81/B81*100)</f>
        <v>0</v>
      </c>
      <c r="E81" s="107">
        <f aca="true" t="shared" si="3" ref="E81:E86">C81-B81</f>
        <v>-20000</v>
      </c>
    </row>
    <row r="82" spans="1:5" ht="31.5" customHeight="1">
      <c r="A82" s="21" t="s">
        <v>185</v>
      </c>
      <c r="B82" s="100">
        <v>20000</v>
      </c>
      <c r="C82" s="100">
        <v>0</v>
      </c>
      <c r="D82" s="40">
        <f t="shared" si="2"/>
        <v>0</v>
      </c>
      <c r="E82" s="107">
        <f t="shared" si="3"/>
        <v>-20000</v>
      </c>
    </row>
    <row r="83" spans="1:5" ht="15" customHeight="1">
      <c r="A83" s="21" t="s">
        <v>270</v>
      </c>
      <c r="B83" s="36">
        <v>0</v>
      </c>
      <c r="C83" s="36">
        <v>0</v>
      </c>
      <c r="D83" s="40" t="str">
        <f t="shared" si="2"/>
        <v>   </v>
      </c>
      <c r="E83" s="107">
        <f t="shared" si="3"/>
        <v>0</v>
      </c>
    </row>
    <row r="84" spans="1:5" ht="15" customHeight="1">
      <c r="A84" s="21" t="s">
        <v>273</v>
      </c>
      <c r="B84" s="36">
        <v>0</v>
      </c>
      <c r="C84" s="36">
        <v>0</v>
      </c>
      <c r="D84" s="40" t="str">
        <f t="shared" si="2"/>
        <v>   </v>
      </c>
      <c r="E84" s="107">
        <f t="shared" si="3"/>
        <v>0</v>
      </c>
    </row>
    <row r="85" spans="1:5" ht="15" customHeight="1">
      <c r="A85" s="21" t="s">
        <v>316</v>
      </c>
      <c r="B85" s="36">
        <v>0</v>
      </c>
      <c r="C85" s="36">
        <v>0</v>
      </c>
      <c r="D85" s="40" t="str">
        <f t="shared" si="2"/>
        <v>   </v>
      </c>
      <c r="E85" s="147">
        <f t="shared" si="3"/>
        <v>0</v>
      </c>
    </row>
    <row r="86" spans="1:5" ht="15" customHeight="1">
      <c r="A86" s="38" t="s">
        <v>263</v>
      </c>
      <c r="B86" s="36">
        <v>0</v>
      </c>
      <c r="C86" s="36">
        <v>0</v>
      </c>
      <c r="D86" s="40" t="str">
        <f t="shared" si="2"/>
        <v>   </v>
      </c>
      <c r="E86" s="147">
        <f t="shared" si="3"/>
        <v>0</v>
      </c>
    </row>
    <row r="87" spans="1:5" ht="15" customHeight="1">
      <c r="A87" s="21" t="s">
        <v>58</v>
      </c>
      <c r="B87" s="36">
        <f>B88+B89+B90+B91+B95</f>
        <v>146500</v>
      </c>
      <c r="C87" s="36">
        <f>C88+C89+C90+C91+C95</f>
        <v>0</v>
      </c>
      <c r="D87" s="40">
        <f t="shared" si="0"/>
        <v>0</v>
      </c>
      <c r="E87" s="41">
        <f t="shared" si="1"/>
        <v>-146500</v>
      </c>
    </row>
    <row r="88" spans="1:5" ht="15" customHeight="1">
      <c r="A88" s="21" t="s">
        <v>60</v>
      </c>
      <c r="B88" s="36">
        <v>120000</v>
      </c>
      <c r="C88" s="107">
        <v>0</v>
      </c>
      <c r="D88" s="40">
        <f t="shared" si="0"/>
        <v>0</v>
      </c>
      <c r="E88" s="41">
        <f t="shared" si="1"/>
        <v>-120000</v>
      </c>
    </row>
    <row r="89" spans="1:5" ht="15" customHeight="1">
      <c r="A89" s="17" t="s">
        <v>59</v>
      </c>
      <c r="B89" s="108">
        <v>26500</v>
      </c>
      <c r="C89" s="139">
        <v>0</v>
      </c>
      <c r="D89" s="90">
        <f t="shared" si="0"/>
        <v>0</v>
      </c>
      <c r="E89" s="91">
        <f t="shared" si="1"/>
        <v>-26500</v>
      </c>
    </row>
    <row r="90" spans="1:5" ht="29.25" customHeight="1">
      <c r="A90" s="17" t="s">
        <v>158</v>
      </c>
      <c r="B90" s="36">
        <v>0</v>
      </c>
      <c r="C90" s="107">
        <v>0</v>
      </c>
      <c r="D90" s="40" t="str">
        <f t="shared" si="0"/>
        <v>   </v>
      </c>
      <c r="E90" s="107">
        <f t="shared" si="1"/>
        <v>0</v>
      </c>
    </row>
    <row r="91" spans="1:5" ht="21.75" customHeight="1">
      <c r="A91" s="17" t="s">
        <v>195</v>
      </c>
      <c r="B91" s="36">
        <f>SUM(B92+B93+B94)</f>
        <v>0</v>
      </c>
      <c r="C91" s="36">
        <f>SUM(C92+C93+C94)</f>
        <v>0</v>
      </c>
      <c r="D91" s="40" t="str">
        <f>IF(B91=0,"   ",C91/B91*100)</f>
        <v>   </v>
      </c>
      <c r="E91" s="107">
        <f>C91-B91</f>
        <v>0</v>
      </c>
    </row>
    <row r="92" spans="1:5" ht="29.25" customHeight="1">
      <c r="A92" s="17" t="s">
        <v>177</v>
      </c>
      <c r="B92" s="36">
        <v>0</v>
      </c>
      <c r="C92" s="107">
        <v>0</v>
      </c>
      <c r="D92" s="40" t="str">
        <f>IF(B92=0,"   ",C92/B92*100)</f>
        <v>   </v>
      </c>
      <c r="E92" s="107">
        <f>C92-B92</f>
        <v>0</v>
      </c>
    </row>
    <row r="93" spans="1:5" ht="29.25" customHeight="1">
      <c r="A93" s="17" t="s">
        <v>180</v>
      </c>
      <c r="B93" s="36">
        <v>0</v>
      </c>
      <c r="C93" s="107">
        <v>0</v>
      </c>
      <c r="D93" s="40" t="str">
        <f>IF(B93=0,"   ",C93/B93*100)</f>
        <v>   </v>
      </c>
      <c r="E93" s="107">
        <f>C93-B93</f>
        <v>0</v>
      </c>
    </row>
    <row r="94" spans="1:5" ht="29.25" customHeight="1">
      <c r="A94" s="17" t="s">
        <v>181</v>
      </c>
      <c r="B94" s="36">
        <v>0</v>
      </c>
      <c r="C94" s="107">
        <v>0</v>
      </c>
      <c r="D94" s="40" t="str">
        <f>IF(B94=0,"   ",C94/B94*100)</f>
        <v>   </v>
      </c>
      <c r="E94" s="107">
        <f>C94-B94</f>
        <v>0</v>
      </c>
    </row>
    <row r="95" spans="1:5" ht="28.5" customHeight="1" thickBot="1">
      <c r="A95" s="17" t="s">
        <v>271</v>
      </c>
      <c r="B95" s="108">
        <v>0</v>
      </c>
      <c r="C95" s="139">
        <v>0</v>
      </c>
      <c r="D95" s="90" t="str">
        <f t="shared" si="0"/>
        <v>   </v>
      </c>
      <c r="E95" s="139">
        <f t="shared" si="1"/>
        <v>0</v>
      </c>
    </row>
    <row r="96" spans="1:5" ht="21" customHeight="1" thickBot="1">
      <c r="A96" s="62" t="s">
        <v>302</v>
      </c>
      <c r="B96" s="111">
        <f>SUM(B97)</f>
        <v>100</v>
      </c>
      <c r="C96" s="111">
        <f>SUM(C97)</f>
        <v>0</v>
      </c>
      <c r="D96" s="40">
        <f t="shared" si="0"/>
        <v>0</v>
      </c>
      <c r="E96" s="107">
        <f t="shared" si="1"/>
        <v>-100</v>
      </c>
    </row>
    <row r="97" spans="1:5" ht="14.25" customHeight="1">
      <c r="A97" s="62" t="s">
        <v>259</v>
      </c>
      <c r="B97" s="36">
        <v>100</v>
      </c>
      <c r="C97" s="99">
        <v>0</v>
      </c>
      <c r="D97" s="40">
        <f t="shared" si="0"/>
        <v>0</v>
      </c>
      <c r="E97" s="107">
        <f t="shared" si="1"/>
        <v>-100</v>
      </c>
    </row>
    <row r="98" spans="1:5" ht="18.75" customHeight="1" thickBot="1">
      <c r="A98" s="112" t="s">
        <v>17</v>
      </c>
      <c r="B98" s="106">
        <v>8000</v>
      </c>
      <c r="C98" s="106">
        <v>0</v>
      </c>
      <c r="D98" s="110">
        <f t="shared" si="0"/>
        <v>0</v>
      </c>
      <c r="E98" s="113">
        <f t="shared" si="1"/>
        <v>-8000</v>
      </c>
    </row>
    <row r="99" spans="1:5" ht="19.5" customHeight="1" thickBot="1">
      <c r="A99" s="92" t="s">
        <v>41</v>
      </c>
      <c r="B99" s="111">
        <f>B100</f>
        <v>493300</v>
      </c>
      <c r="C99" s="111">
        <f>C100</f>
        <v>174960</v>
      </c>
      <c r="D99" s="94">
        <f t="shared" si="0"/>
        <v>35.46726130143929</v>
      </c>
      <c r="E99" s="95">
        <f t="shared" si="1"/>
        <v>-318340</v>
      </c>
    </row>
    <row r="100" spans="1:5" ht="13.5">
      <c r="A100" s="68" t="s">
        <v>42</v>
      </c>
      <c r="B100" s="96">
        <f>SUM(B101:B103)</f>
        <v>493300</v>
      </c>
      <c r="C100" s="96">
        <f>SUM(C101:C103)</f>
        <v>174960</v>
      </c>
      <c r="D100" s="97">
        <f t="shared" si="0"/>
        <v>35.46726130143929</v>
      </c>
      <c r="E100" s="98">
        <f t="shared" si="1"/>
        <v>-318340</v>
      </c>
    </row>
    <row r="101" spans="1:5" ht="13.5">
      <c r="A101" s="21" t="s">
        <v>134</v>
      </c>
      <c r="B101" s="96">
        <v>493300</v>
      </c>
      <c r="C101" s="114">
        <v>174960</v>
      </c>
      <c r="D101" s="97">
        <f t="shared" si="0"/>
        <v>35.46726130143929</v>
      </c>
      <c r="E101" s="98">
        <f t="shared" si="1"/>
        <v>-318340</v>
      </c>
    </row>
    <row r="102" spans="1:5" ht="13.5">
      <c r="A102" s="21" t="s">
        <v>213</v>
      </c>
      <c r="B102" s="96">
        <v>0</v>
      </c>
      <c r="C102" s="114">
        <v>0</v>
      </c>
      <c r="D102" s="97" t="str">
        <f t="shared" si="0"/>
        <v>   </v>
      </c>
      <c r="E102" s="98">
        <f t="shared" si="1"/>
        <v>0</v>
      </c>
    </row>
    <row r="103" spans="1:5" ht="13.5">
      <c r="A103" s="68" t="s">
        <v>193</v>
      </c>
      <c r="B103" s="96">
        <v>0</v>
      </c>
      <c r="C103" s="114">
        <v>0</v>
      </c>
      <c r="D103" s="97" t="str">
        <f t="shared" si="0"/>
        <v>   </v>
      </c>
      <c r="E103" s="98">
        <f t="shared" si="1"/>
        <v>0</v>
      </c>
    </row>
    <row r="104" spans="1:5" ht="18.75" customHeight="1">
      <c r="A104" s="21" t="s">
        <v>119</v>
      </c>
      <c r="B104" s="36">
        <f>SUM(B105,)</f>
        <v>10000</v>
      </c>
      <c r="C104" s="36">
        <f>SUM(C105,)</f>
        <v>0</v>
      </c>
      <c r="D104" s="40">
        <f t="shared" si="0"/>
        <v>0</v>
      </c>
      <c r="E104" s="41">
        <f t="shared" si="1"/>
        <v>-10000</v>
      </c>
    </row>
    <row r="105" spans="1:5" ht="14.25" customHeight="1">
      <c r="A105" s="17" t="s">
        <v>43</v>
      </c>
      <c r="B105" s="108">
        <v>10000</v>
      </c>
      <c r="C105" s="142">
        <v>0</v>
      </c>
      <c r="D105" s="90">
        <f t="shared" si="0"/>
        <v>0</v>
      </c>
      <c r="E105" s="91">
        <f t="shared" si="1"/>
        <v>-10000</v>
      </c>
    </row>
    <row r="106" spans="1:5" ht="22.5" customHeight="1">
      <c r="A106" s="44" t="s">
        <v>15</v>
      </c>
      <c r="B106" s="116">
        <f>SUM(B51,B59,B61,B63,B80,B98,B99,B104,)</f>
        <v>3708800</v>
      </c>
      <c r="C106" s="116">
        <f>SUM(C51,C59,C61,C63,C80,C98,C99,C104,)</f>
        <v>719518.61</v>
      </c>
      <c r="D106" s="46">
        <f>IF(B106=0,"   ",C106/B106*100)</f>
        <v>19.40030764667817</v>
      </c>
      <c r="E106" s="47">
        <f t="shared" si="1"/>
        <v>-2989281.39</v>
      </c>
    </row>
    <row r="107" spans="1:5" ht="42.75" customHeight="1">
      <c r="A107" s="71" t="s">
        <v>288</v>
      </c>
      <c r="B107" s="71"/>
      <c r="C107" s="167"/>
      <c r="D107" s="167"/>
      <c r="E107" s="167"/>
    </row>
    <row r="108" spans="1:5" ht="18" customHeight="1">
      <c r="A108" s="71" t="s">
        <v>145</v>
      </c>
      <c r="B108" s="71"/>
      <c r="C108" s="72" t="s">
        <v>289</v>
      </c>
      <c r="D108" s="73"/>
      <c r="E108" s="74"/>
    </row>
    <row r="109" spans="1:5" s="13" customFormat="1" ht="23.25" customHeight="1">
      <c r="A109" s="71"/>
      <c r="B109" s="71"/>
      <c r="C109" s="117"/>
      <c r="D109" s="71"/>
      <c r="E109" s="118"/>
    </row>
    <row r="110" spans="1:5" s="13" customFormat="1" ht="12" customHeight="1">
      <c r="A110" s="71"/>
      <c r="B110" s="71"/>
      <c r="C110" s="117"/>
      <c r="D110" s="71"/>
      <c r="E110" s="118"/>
    </row>
    <row r="111" spans="1:5" ht="13.5">
      <c r="A111" s="71"/>
      <c r="B111" s="71"/>
      <c r="C111" s="117"/>
      <c r="D111" s="71"/>
      <c r="E111" s="118"/>
    </row>
    <row r="112" spans="1:5" ht="13.5">
      <c r="A112" s="71"/>
      <c r="B112" s="71"/>
      <c r="C112" s="117"/>
      <c r="D112" s="71"/>
      <c r="E112" s="118"/>
    </row>
    <row r="113" spans="1:5" ht="13.5">
      <c r="A113" s="22"/>
      <c r="B113" s="22"/>
      <c r="C113" s="22"/>
      <c r="D113" s="22"/>
      <c r="E113" s="22"/>
    </row>
    <row r="114" spans="1:5" ht="13.5">
      <c r="A114" s="122"/>
      <c r="B114" s="122"/>
      <c r="C114" s="122"/>
      <c r="D114" s="122"/>
      <c r="E114" s="122"/>
    </row>
    <row r="115" spans="1:5" ht="13.5">
      <c r="A115" s="122"/>
      <c r="B115" s="122"/>
      <c r="C115" s="122"/>
      <c r="D115" s="122"/>
      <c r="E115" s="122"/>
    </row>
    <row r="116" spans="1:5" ht="13.5">
      <c r="A116" s="122"/>
      <c r="B116" s="122"/>
      <c r="C116" s="122"/>
      <c r="D116" s="122"/>
      <c r="E116" s="122"/>
    </row>
    <row r="117" spans="1:5" ht="13.5">
      <c r="A117" s="122"/>
      <c r="B117" s="122"/>
      <c r="C117" s="122"/>
      <c r="D117" s="122"/>
      <c r="E117" s="122"/>
    </row>
    <row r="118" spans="1:5" ht="13.5">
      <c r="A118" s="122"/>
      <c r="B118" s="122"/>
      <c r="C118" s="122"/>
      <c r="D118" s="122"/>
      <c r="E118" s="122"/>
    </row>
    <row r="119" spans="1:5" ht="13.5">
      <c r="A119" s="122"/>
      <c r="B119" s="122"/>
      <c r="C119" s="122"/>
      <c r="D119" s="122"/>
      <c r="E119" s="122"/>
    </row>
    <row r="120" spans="1:5" ht="13.5">
      <c r="A120" s="122"/>
      <c r="B120" s="122"/>
      <c r="C120" s="122"/>
      <c r="D120" s="122"/>
      <c r="E120" s="122"/>
    </row>
    <row r="121" spans="1:5" ht="13.5">
      <c r="A121" s="122"/>
      <c r="B121" s="122"/>
      <c r="C121" s="122"/>
      <c r="D121" s="122"/>
      <c r="E121" s="122"/>
    </row>
    <row r="122" spans="1:5" ht="13.5">
      <c r="A122" s="122"/>
      <c r="B122" s="122"/>
      <c r="C122" s="122"/>
      <c r="D122" s="122"/>
      <c r="E122" s="122"/>
    </row>
    <row r="123" spans="1:5" ht="13.5">
      <c r="A123" s="122"/>
      <c r="B123" s="122"/>
      <c r="C123" s="122"/>
      <c r="D123" s="122"/>
      <c r="E123" s="122"/>
    </row>
    <row r="124" spans="1:5" ht="13.5">
      <c r="A124" s="122"/>
      <c r="B124" s="122"/>
      <c r="C124" s="122"/>
      <c r="D124" s="122"/>
      <c r="E124" s="122"/>
    </row>
    <row r="125" spans="1:5" ht="13.5">
      <c r="A125" s="122"/>
      <c r="B125" s="122"/>
      <c r="C125" s="122"/>
      <c r="D125" s="122"/>
      <c r="E125" s="122"/>
    </row>
    <row r="126" spans="1:5" ht="13.5">
      <c r="A126" s="122"/>
      <c r="B126" s="122"/>
      <c r="C126" s="122"/>
      <c r="D126" s="122"/>
      <c r="E126" s="122"/>
    </row>
    <row r="127" spans="1:5" ht="13.5">
      <c r="A127" s="122"/>
      <c r="B127" s="122"/>
      <c r="C127" s="122"/>
      <c r="D127" s="122"/>
      <c r="E127" s="122"/>
    </row>
    <row r="128" spans="1:5" ht="12.75">
      <c r="A128" s="3"/>
      <c r="B128" s="3"/>
      <c r="C128" s="3"/>
      <c r="D128" s="3"/>
      <c r="E128" s="3"/>
    </row>
    <row r="129" spans="1:5" ht="12.75">
      <c r="A129" s="3"/>
      <c r="B129" s="3"/>
      <c r="C129" s="3"/>
      <c r="D129" s="3"/>
      <c r="E129" s="3"/>
    </row>
    <row r="130" spans="1:5" ht="12.75">
      <c r="A130" s="3"/>
      <c r="B130" s="3"/>
      <c r="C130" s="3"/>
      <c r="D130" s="3"/>
      <c r="E130" s="3"/>
    </row>
    <row r="131" spans="1:5" ht="12.75">
      <c r="A131" s="3"/>
      <c r="B131" s="3"/>
      <c r="C131" s="3"/>
      <c r="D131" s="3"/>
      <c r="E131" s="3"/>
    </row>
    <row r="132" spans="1:5" ht="12.75">
      <c r="A132" s="3"/>
      <c r="B132" s="3"/>
      <c r="C132" s="3"/>
      <c r="D132" s="3"/>
      <c r="E132" s="3"/>
    </row>
    <row r="133" spans="1:5" ht="12.75">
      <c r="A133" s="3"/>
      <c r="B133" s="3"/>
      <c r="C133" s="3"/>
      <c r="D133" s="3"/>
      <c r="E133" s="3"/>
    </row>
    <row r="134" spans="1:5" ht="12.75">
      <c r="A134" s="3"/>
      <c r="B134" s="3"/>
      <c r="C134" s="3"/>
      <c r="D134" s="3"/>
      <c r="E134" s="3"/>
    </row>
    <row r="135" spans="1:5" ht="12.75">
      <c r="A135" s="3"/>
      <c r="B135" s="3"/>
      <c r="C135" s="3"/>
      <c r="D135" s="3"/>
      <c r="E135" s="3"/>
    </row>
    <row r="136" spans="1:5" ht="12.75">
      <c r="A136" s="3"/>
      <c r="B136" s="3"/>
      <c r="C136" s="3"/>
      <c r="D136" s="3"/>
      <c r="E136" s="3"/>
    </row>
    <row r="137" spans="1:5" ht="12.75">
      <c r="A137" s="3"/>
      <c r="B137" s="3"/>
      <c r="C137" s="3"/>
      <c r="D137" s="3"/>
      <c r="E137" s="3"/>
    </row>
  </sheetData>
  <sheetProtection/>
  <mergeCells count="2">
    <mergeCell ref="A1:E1"/>
    <mergeCell ref="C107:E107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5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zoomScalePageLayoutView="0" workbookViewId="0" topLeftCell="A67">
      <selection activeCell="B74" sqref="B74"/>
    </sheetView>
  </sheetViews>
  <sheetFormatPr defaultColWidth="9.00390625" defaultRowHeight="12.75"/>
  <cols>
    <col min="1" max="1" width="118.375" style="0" customWidth="1"/>
    <col min="2" max="2" width="15.125" style="0" customWidth="1"/>
    <col min="3" max="3" width="16.375" style="0" customWidth="1"/>
    <col min="4" max="4" width="15.875" style="0" customWidth="1"/>
    <col min="5" max="5" width="15.50390625" style="0" customWidth="1"/>
  </cols>
  <sheetData>
    <row r="1" spans="1:5" ht="13.5">
      <c r="A1" s="168" t="s">
        <v>354</v>
      </c>
      <c r="B1" s="168"/>
      <c r="C1" s="168"/>
      <c r="D1" s="168"/>
      <c r="E1" s="168"/>
    </row>
    <row r="2" spans="1:5" ht="13.5">
      <c r="A2" s="22"/>
      <c r="B2" s="22"/>
      <c r="C2" s="148"/>
      <c r="D2" s="148"/>
      <c r="E2" s="148"/>
    </row>
    <row r="3" spans="1:5" ht="1.5" customHeight="1" thickBot="1">
      <c r="A3" s="22"/>
      <c r="B3" s="22"/>
      <c r="C3" s="23"/>
      <c r="D3" s="22"/>
      <c r="E3" s="22" t="s">
        <v>0</v>
      </c>
    </row>
    <row r="4" spans="1:5" ht="85.5" customHeight="1">
      <c r="A4" s="24" t="s">
        <v>1</v>
      </c>
      <c r="B4" s="25" t="s">
        <v>331</v>
      </c>
      <c r="C4" s="26" t="s">
        <v>351</v>
      </c>
      <c r="D4" s="25" t="s">
        <v>332</v>
      </c>
      <c r="E4" s="27" t="s">
        <v>333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3.5" customHeight="1">
      <c r="A6" s="33" t="s">
        <v>2</v>
      </c>
      <c r="B6" s="34"/>
      <c r="C6" s="35"/>
      <c r="D6" s="36"/>
      <c r="E6" s="37"/>
    </row>
    <row r="7" spans="1:5" ht="15" customHeight="1">
      <c r="A7" s="38" t="s">
        <v>45</v>
      </c>
      <c r="B7" s="79">
        <f>SUM(B8)</f>
        <v>51600</v>
      </c>
      <c r="C7" s="79">
        <f>SUM(C8)</f>
        <v>10277.97</v>
      </c>
      <c r="D7" s="40">
        <f aca="true" t="shared" si="0" ref="D7:D106">IF(B7=0,"   ",C7/B7*100)</f>
        <v>19.918546511627905</v>
      </c>
      <c r="E7" s="41">
        <f aca="true" t="shared" si="1" ref="E7:E108">C7-B7</f>
        <v>-41322.03</v>
      </c>
    </row>
    <row r="8" spans="1:5" ht="12.75" customHeight="1">
      <c r="A8" s="21" t="s">
        <v>44</v>
      </c>
      <c r="B8" s="80">
        <v>51600</v>
      </c>
      <c r="C8" s="81">
        <v>10277.97</v>
      </c>
      <c r="D8" s="40">
        <f t="shared" si="0"/>
        <v>19.918546511627905</v>
      </c>
      <c r="E8" s="41">
        <f t="shared" si="1"/>
        <v>-41322.03</v>
      </c>
    </row>
    <row r="9" spans="1:5" ht="12.75" customHeight="1">
      <c r="A9" s="38" t="s">
        <v>129</v>
      </c>
      <c r="B9" s="79">
        <f>SUM(B10)</f>
        <v>809200</v>
      </c>
      <c r="C9" s="79">
        <f>SUM(C10)</f>
        <v>213813.76</v>
      </c>
      <c r="D9" s="40">
        <f t="shared" si="0"/>
        <v>26.422857142857143</v>
      </c>
      <c r="E9" s="41">
        <f t="shared" si="1"/>
        <v>-595386.24</v>
      </c>
    </row>
    <row r="10" spans="1:5" ht="12.75" customHeight="1">
      <c r="A10" s="21" t="s">
        <v>130</v>
      </c>
      <c r="B10" s="80">
        <v>809200</v>
      </c>
      <c r="C10" s="81">
        <v>213813.76</v>
      </c>
      <c r="D10" s="40">
        <f t="shared" si="0"/>
        <v>26.422857142857143</v>
      </c>
      <c r="E10" s="41">
        <f t="shared" si="1"/>
        <v>-595386.24</v>
      </c>
    </row>
    <row r="11" spans="1:5" ht="16.5" customHeight="1">
      <c r="A11" s="21" t="s">
        <v>7</v>
      </c>
      <c r="B11" s="80">
        <f>SUM(B12:B12)</f>
        <v>24500</v>
      </c>
      <c r="C11" s="80">
        <f>SUM(C12:C12)</f>
        <v>5563.04</v>
      </c>
      <c r="D11" s="40">
        <f t="shared" si="0"/>
        <v>22.706285714285716</v>
      </c>
      <c r="E11" s="41">
        <f t="shared" si="1"/>
        <v>-18936.96</v>
      </c>
    </row>
    <row r="12" spans="1:5" ht="16.5" customHeight="1">
      <c r="A12" s="21" t="s">
        <v>26</v>
      </c>
      <c r="B12" s="80">
        <v>24500</v>
      </c>
      <c r="C12" s="81">
        <v>5563.04</v>
      </c>
      <c r="D12" s="40">
        <f t="shared" si="0"/>
        <v>22.706285714285716</v>
      </c>
      <c r="E12" s="41">
        <f t="shared" si="1"/>
        <v>-18936.96</v>
      </c>
    </row>
    <row r="13" spans="1:5" ht="15.75" customHeight="1">
      <c r="A13" s="21" t="s">
        <v>9</v>
      </c>
      <c r="B13" s="80">
        <f>SUM(B14:B15)</f>
        <v>430000</v>
      </c>
      <c r="C13" s="80">
        <f>SUM(C14:C15)</f>
        <v>15661.03</v>
      </c>
      <c r="D13" s="40">
        <f t="shared" si="0"/>
        <v>3.6421</v>
      </c>
      <c r="E13" s="41">
        <f t="shared" si="1"/>
        <v>-414338.97</v>
      </c>
    </row>
    <row r="14" spans="1:5" ht="15.75" customHeight="1">
      <c r="A14" s="21" t="s">
        <v>27</v>
      </c>
      <c r="B14" s="80">
        <v>186000</v>
      </c>
      <c r="C14" s="81">
        <v>815.27</v>
      </c>
      <c r="D14" s="40">
        <f t="shared" si="0"/>
        <v>0.43831720430107524</v>
      </c>
      <c r="E14" s="41">
        <f t="shared" si="1"/>
        <v>-185184.73</v>
      </c>
    </row>
    <row r="15" spans="1:5" ht="14.25" customHeight="1">
      <c r="A15" s="21" t="s">
        <v>151</v>
      </c>
      <c r="B15" s="80">
        <f>SUM(B16:B17)</f>
        <v>244000</v>
      </c>
      <c r="C15" s="80">
        <f>SUM(C16:C17)</f>
        <v>14845.76</v>
      </c>
      <c r="D15" s="40">
        <f t="shared" si="0"/>
        <v>6.084327868852459</v>
      </c>
      <c r="E15" s="41">
        <f t="shared" si="1"/>
        <v>-229154.24</v>
      </c>
    </row>
    <row r="16" spans="1:5" ht="14.25" customHeight="1">
      <c r="A16" s="21" t="s">
        <v>152</v>
      </c>
      <c r="B16" s="80">
        <v>56000</v>
      </c>
      <c r="C16" s="81">
        <v>31005</v>
      </c>
      <c r="D16" s="40">
        <f t="shared" si="0"/>
        <v>55.36607142857143</v>
      </c>
      <c r="E16" s="41">
        <f t="shared" si="1"/>
        <v>-24995</v>
      </c>
    </row>
    <row r="17" spans="1:5" ht="14.25" customHeight="1">
      <c r="A17" s="21" t="s">
        <v>153</v>
      </c>
      <c r="B17" s="80">
        <v>188000</v>
      </c>
      <c r="C17" s="81">
        <v>-16159.24</v>
      </c>
      <c r="D17" s="40">
        <f t="shared" si="0"/>
        <v>-8.595340425531916</v>
      </c>
      <c r="E17" s="41">
        <f t="shared" si="1"/>
        <v>-204159.24</v>
      </c>
    </row>
    <row r="18" spans="1:5" ht="14.25" customHeight="1">
      <c r="A18" s="21" t="s">
        <v>186</v>
      </c>
      <c r="B18" s="80">
        <v>0</v>
      </c>
      <c r="C18" s="81">
        <v>0</v>
      </c>
      <c r="D18" s="40" t="str">
        <f t="shared" si="0"/>
        <v>   </v>
      </c>
      <c r="E18" s="41">
        <f t="shared" si="1"/>
        <v>0</v>
      </c>
    </row>
    <row r="19" spans="1:5" ht="15" customHeight="1">
      <c r="A19" s="21" t="s">
        <v>85</v>
      </c>
      <c r="B19" s="80">
        <v>0</v>
      </c>
      <c r="C19" s="80">
        <v>0</v>
      </c>
      <c r="D19" s="40" t="str">
        <f t="shared" si="0"/>
        <v>   </v>
      </c>
      <c r="E19" s="41">
        <f t="shared" si="1"/>
        <v>0</v>
      </c>
    </row>
    <row r="20" spans="1:5" ht="28.5" customHeight="1">
      <c r="A20" s="21" t="s">
        <v>28</v>
      </c>
      <c r="B20" s="36">
        <f>SUM(B21:B23)</f>
        <v>248600</v>
      </c>
      <c r="C20" s="36">
        <f>SUM(C21:C23)</f>
        <v>19878.4</v>
      </c>
      <c r="D20" s="40">
        <f t="shared" si="0"/>
        <v>7.996138374899438</v>
      </c>
      <c r="E20" s="41">
        <f t="shared" si="1"/>
        <v>-228721.6</v>
      </c>
    </row>
    <row r="21" spans="1:5" ht="13.5" customHeight="1">
      <c r="A21" s="21" t="s">
        <v>143</v>
      </c>
      <c r="B21" s="80">
        <v>148600</v>
      </c>
      <c r="C21" s="81">
        <v>6177.22</v>
      </c>
      <c r="D21" s="40">
        <f t="shared" si="0"/>
        <v>4.156944818304172</v>
      </c>
      <c r="E21" s="41">
        <f t="shared" si="1"/>
        <v>-142422.78</v>
      </c>
    </row>
    <row r="22" spans="1:5" ht="15.75" customHeight="1">
      <c r="A22" s="21" t="s">
        <v>30</v>
      </c>
      <c r="B22" s="80">
        <v>100000</v>
      </c>
      <c r="C22" s="81">
        <v>13701.18</v>
      </c>
      <c r="D22" s="40">
        <f t="shared" si="0"/>
        <v>13.701179999999999</v>
      </c>
      <c r="E22" s="41">
        <f t="shared" si="1"/>
        <v>-86298.82</v>
      </c>
    </row>
    <row r="23" spans="1:5" ht="15.75" customHeight="1">
      <c r="A23" s="21" t="s">
        <v>248</v>
      </c>
      <c r="B23" s="80">
        <v>0</v>
      </c>
      <c r="C23" s="81">
        <v>0</v>
      </c>
      <c r="D23" s="40" t="str">
        <f>IF(B23=0,"   ",C23/B23*100)</f>
        <v>   </v>
      </c>
      <c r="E23" s="41">
        <f>C23-B23</f>
        <v>0</v>
      </c>
    </row>
    <row r="24" spans="1:5" ht="17.25" customHeight="1">
      <c r="A24" s="21" t="s">
        <v>88</v>
      </c>
      <c r="B24" s="80">
        <v>0</v>
      </c>
      <c r="C24" s="81">
        <v>0</v>
      </c>
      <c r="D24" s="40" t="str">
        <f t="shared" si="0"/>
        <v>   </v>
      </c>
      <c r="E24" s="41">
        <f t="shared" si="1"/>
        <v>0</v>
      </c>
    </row>
    <row r="25" spans="1:5" ht="18.75" customHeight="1">
      <c r="A25" s="21" t="s">
        <v>78</v>
      </c>
      <c r="B25" s="80">
        <f>SUM(B26+B27)</f>
        <v>0</v>
      </c>
      <c r="C25" s="80">
        <f>SUM(C26+C27)</f>
        <v>0</v>
      </c>
      <c r="D25" s="40" t="str">
        <f t="shared" si="0"/>
        <v>   </v>
      </c>
      <c r="E25" s="41">
        <f t="shared" si="1"/>
        <v>0</v>
      </c>
    </row>
    <row r="26" spans="1:5" ht="18.75" customHeight="1">
      <c r="A26" s="21" t="s">
        <v>127</v>
      </c>
      <c r="B26" s="80">
        <v>0</v>
      </c>
      <c r="C26" s="149">
        <v>0</v>
      </c>
      <c r="D26" s="40" t="str">
        <f>IF(B26=0,"   ",C26/B26*100)</f>
        <v>   </v>
      </c>
      <c r="E26" s="41">
        <f>C26-B26</f>
        <v>0</v>
      </c>
    </row>
    <row r="27" spans="1:5" ht="22.5" customHeight="1">
      <c r="A27" s="21" t="s">
        <v>187</v>
      </c>
      <c r="B27" s="80">
        <v>0</v>
      </c>
      <c r="C27" s="150">
        <v>0</v>
      </c>
      <c r="D27" s="40" t="str">
        <f t="shared" si="0"/>
        <v>   </v>
      </c>
      <c r="E27" s="41">
        <f t="shared" si="1"/>
        <v>0</v>
      </c>
    </row>
    <row r="28" spans="1:5" ht="16.5" customHeight="1">
      <c r="A28" s="21" t="s">
        <v>32</v>
      </c>
      <c r="B28" s="80">
        <f>B29+B31+B30</f>
        <v>0</v>
      </c>
      <c r="C28" s="80">
        <f>C29+C31+C30</f>
        <v>0</v>
      </c>
      <c r="D28" s="40" t="str">
        <f t="shared" si="0"/>
        <v>   </v>
      </c>
      <c r="E28" s="41">
        <f t="shared" si="1"/>
        <v>0</v>
      </c>
    </row>
    <row r="29" spans="1:5" ht="13.5" customHeight="1">
      <c r="A29" s="21" t="s">
        <v>46</v>
      </c>
      <c r="B29" s="80">
        <v>0</v>
      </c>
      <c r="C29" s="82">
        <v>0</v>
      </c>
      <c r="D29" s="40" t="str">
        <f t="shared" si="0"/>
        <v>   </v>
      </c>
      <c r="E29" s="41">
        <f t="shared" si="1"/>
        <v>0</v>
      </c>
    </row>
    <row r="30" spans="1:5" ht="13.5" customHeight="1">
      <c r="A30" s="21" t="s">
        <v>313</v>
      </c>
      <c r="B30" s="80">
        <v>0</v>
      </c>
      <c r="C30" s="82">
        <v>0</v>
      </c>
      <c r="D30" s="40" t="str">
        <f t="shared" si="0"/>
        <v>   </v>
      </c>
      <c r="E30" s="41">
        <f t="shared" si="1"/>
        <v>0</v>
      </c>
    </row>
    <row r="31" spans="1:5" ht="13.5" customHeight="1">
      <c r="A31" s="21" t="s">
        <v>20</v>
      </c>
      <c r="B31" s="80">
        <v>0</v>
      </c>
      <c r="C31" s="82">
        <v>0</v>
      </c>
      <c r="D31" s="40"/>
      <c r="E31" s="41">
        <f t="shared" si="1"/>
        <v>0</v>
      </c>
    </row>
    <row r="32" spans="1:5" ht="12" customHeight="1">
      <c r="A32" s="21" t="s">
        <v>31</v>
      </c>
      <c r="B32" s="80">
        <v>0</v>
      </c>
      <c r="C32" s="80">
        <v>0</v>
      </c>
      <c r="D32" s="40" t="str">
        <f t="shared" si="0"/>
        <v>   </v>
      </c>
      <c r="E32" s="41">
        <f t="shared" si="1"/>
        <v>0</v>
      </c>
    </row>
    <row r="33" spans="1:5" ht="21" customHeight="1">
      <c r="A33" s="44" t="s">
        <v>10</v>
      </c>
      <c r="B33" s="83">
        <f>SUM(B7,B9,B11,B13,B20,B24,B25,B28,B32,B18)</f>
        <v>1563900</v>
      </c>
      <c r="C33" s="83">
        <f>SUM(C7,C9,C11,C13,C20,C24,C25,C28,C32,C18)</f>
        <v>265194.2</v>
      </c>
      <c r="D33" s="46">
        <f t="shared" si="0"/>
        <v>16.957235117334868</v>
      </c>
      <c r="E33" s="47">
        <f t="shared" si="1"/>
        <v>-1298705.8</v>
      </c>
    </row>
    <row r="34" spans="1:5" ht="21" customHeight="1">
      <c r="A34" s="64" t="s">
        <v>132</v>
      </c>
      <c r="B34" s="84">
        <f>SUM(B35:B38,B41:B45,B49)</f>
        <v>5150820.4</v>
      </c>
      <c r="C34" s="84">
        <f>SUM(C35:C38,C41:C45,C49)</f>
        <v>773265.7</v>
      </c>
      <c r="D34" s="46">
        <f t="shared" si="0"/>
        <v>15.012476459089893</v>
      </c>
      <c r="E34" s="47">
        <f t="shared" si="1"/>
        <v>-4377554.7</v>
      </c>
    </row>
    <row r="35" spans="1:5" ht="18" customHeight="1">
      <c r="A35" s="38" t="s">
        <v>34</v>
      </c>
      <c r="B35" s="79">
        <v>2192100</v>
      </c>
      <c r="C35" s="81">
        <v>547900</v>
      </c>
      <c r="D35" s="40">
        <f t="shared" si="0"/>
        <v>24.99429770539665</v>
      </c>
      <c r="E35" s="41">
        <f t="shared" si="1"/>
        <v>-1644200</v>
      </c>
    </row>
    <row r="36" spans="1:5" ht="18" customHeight="1">
      <c r="A36" s="38" t="s">
        <v>217</v>
      </c>
      <c r="B36" s="79">
        <v>0</v>
      </c>
      <c r="C36" s="81">
        <v>0</v>
      </c>
      <c r="D36" s="54" t="str">
        <f>IF(B36=0,"   ",C36/B36*100)</f>
        <v>   </v>
      </c>
      <c r="E36" s="55">
        <f>C36-B36</f>
        <v>0</v>
      </c>
    </row>
    <row r="37" spans="1:5" ht="28.5" customHeight="1">
      <c r="A37" s="52" t="s">
        <v>51</v>
      </c>
      <c r="B37" s="85">
        <v>94300</v>
      </c>
      <c r="C37" s="86">
        <v>29000</v>
      </c>
      <c r="D37" s="54">
        <f t="shared" si="0"/>
        <v>30.75291622481442</v>
      </c>
      <c r="E37" s="55">
        <f t="shared" si="1"/>
        <v>-65300</v>
      </c>
    </row>
    <row r="38" spans="1:5" ht="30.75" customHeight="1">
      <c r="A38" s="52" t="s">
        <v>139</v>
      </c>
      <c r="B38" s="85">
        <f>SUM(B39:B40)</f>
        <v>100</v>
      </c>
      <c r="C38" s="85">
        <f>SUM(C39:C40)</f>
        <v>100</v>
      </c>
      <c r="D38" s="54">
        <f t="shared" si="0"/>
        <v>100</v>
      </c>
      <c r="E38" s="55">
        <f t="shared" si="1"/>
        <v>0</v>
      </c>
    </row>
    <row r="39" spans="1:5" ht="16.5" customHeight="1">
      <c r="A39" s="52" t="s">
        <v>154</v>
      </c>
      <c r="B39" s="151">
        <v>100</v>
      </c>
      <c r="C39" s="152">
        <v>100</v>
      </c>
      <c r="D39" s="54">
        <f aca="true" t="shared" si="2" ref="D39:D44">IF(B39=0,"   ",C39/B39*100)</f>
        <v>100</v>
      </c>
      <c r="E39" s="55">
        <f aca="true" t="shared" si="3" ref="E39:E44">C39-B39</f>
        <v>0</v>
      </c>
    </row>
    <row r="40" spans="1:5" ht="30.75" customHeight="1">
      <c r="A40" s="52" t="s">
        <v>155</v>
      </c>
      <c r="B40" s="85">
        <v>0</v>
      </c>
      <c r="C40" s="153">
        <v>0</v>
      </c>
      <c r="D40" s="54" t="str">
        <f t="shared" si="2"/>
        <v>   </v>
      </c>
      <c r="E40" s="55">
        <f t="shared" si="3"/>
        <v>0</v>
      </c>
    </row>
    <row r="41" spans="1:5" ht="25.5" customHeight="1">
      <c r="A41" s="21" t="s">
        <v>272</v>
      </c>
      <c r="B41" s="85">
        <v>0</v>
      </c>
      <c r="C41" s="85">
        <v>0</v>
      </c>
      <c r="D41" s="54" t="str">
        <f t="shared" si="2"/>
        <v>   </v>
      </c>
      <c r="E41" s="55">
        <f t="shared" si="3"/>
        <v>0</v>
      </c>
    </row>
    <row r="42" spans="1:5" ht="25.5" customHeight="1">
      <c r="A42" s="21" t="s">
        <v>322</v>
      </c>
      <c r="B42" s="85">
        <v>0</v>
      </c>
      <c r="C42" s="85">
        <v>0</v>
      </c>
      <c r="D42" s="54" t="str">
        <f t="shared" si="2"/>
        <v>   </v>
      </c>
      <c r="E42" s="55">
        <f t="shared" si="3"/>
        <v>0</v>
      </c>
    </row>
    <row r="43" spans="1:5" ht="57.75" customHeight="1">
      <c r="A43" s="21" t="s">
        <v>225</v>
      </c>
      <c r="B43" s="85">
        <v>1245100</v>
      </c>
      <c r="C43" s="85">
        <v>0</v>
      </c>
      <c r="D43" s="54">
        <f t="shared" si="2"/>
        <v>0</v>
      </c>
      <c r="E43" s="55">
        <f t="shared" si="3"/>
        <v>-1245100</v>
      </c>
    </row>
    <row r="44" spans="1:5" ht="30.75" customHeight="1">
      <c r="A44" s="21" t="s">
        <v>250</v>
      </c>
      <c r="B44" s="85">
        <v>0</v>
      </c>
      <c r="C44" s="85">
        <v>0</v>
      </c>
      <c r="D44" s="54" t="str">
        <f t="shared" si="2"/>
        <v>   </v>
      </c>
      <c r="E44" s="55">
        <f t="shared" si="3"/>
        <v>0</v>
      </c>
    </row>
    <row r="45" spans="1:5" ht="15" customHeight="1">
      <c r="A45" s="21" t="s">
        <v>81</v>
      </c>
      <c r="B45" s="80">
        <f>SUM(B46:B48)</f>
        <v>1619220.4</v>
      </c>
      <c r="C45" s="80">
        <f>SUM(C46:C48)</f>
        <v>196265.7</v>
      </c>
      <c r="D45" s="40">
        <f t="shared" si="0"/>
        <v>12.120999710724991</v>
      </c>
      <c r="E45" s="41">
        <f t="shared" si="1"/>
        <v>-1422954.7</v>
      </c>
    </row>
    <row r="46" spans="1:5" ht="15" customHeight="1">
      <c r="A46" s="21" t="s">
        <v>178</v>
      </c>
      <c r="B46" s="80">
        <v>1172720.4</v>
      </c>
      <c r="C46" s="80">
        <v>0</v>
      </c>
      <c r="D46" s="40">
        <f t="shared" si="0"/>
        <v>0</v>
      </c>
      <c r="E46" s="41">
        <f t="shared" si="1"/>
        <v>-1172720.4</v>
      </c>
    </row>
    <row r="47" spans="1:5" ht="15" customHeight="1">
      <c r="A47" s="21" t="s">
        <v>290</v>
      </c>
      <c r="B47" s="80">
        <v>4700</v>
      </c>
      <c r="C47" s="80">
        <v>0</v>
      </c>
      <c r="D47" s="40">
        <f t="shared" si="0"/>
        <v>0</v>
      </c>
      <c r="E47" s="41">
        <f t="shared" si="1"/>
        <v>-4700</v>
      </c>
    </row>
    <row r="48" spans="1:5" s="6" customFormat="1" ht="15" customHeight="1">
      <c r="A48" s="21" t="s">
        <v>104</v>
      </c>
      <c r="B48" s="80">
        <v>441800</v>
      </c>
      <c r="C48" s="80">
        <v>196265.7</v>
      </c>
      <c r="D48" s="54">
        <f>IF(B48=0,"   ",C48/B48*100)</f>
        <v>44.4241059302852</v>
      </c>
      <c r="E48" s="55">
        <f>C48-B48</f>
        <v>-245534.3</v>
      </c>
    </row>
    <row r="49" spans="1:5" s="6" customFormat="1" ht="15" customHeight="1">
      <c r="A49" s="21" t="s">
        <v>188</v>
      </c>
      <c r="B49" s="80">
        <v>0</v>
      </c>
      <c r="C49" s="80">
        <v>0</v>
      </c>
      <c r="D49" s="36" t="str">
        <f t="shared" si="0"/>
        <v>   </v>
      </c>
      <c r="E49" s="41">
        <f t="shared" si="1"/>
        <v>0</v>
      </c>
    </row>
    <row r="50" spans="1:5" ht="43.5" customHeight="1">
      <c r="A50" s="44" t="s">
        <v>11</v>
      </c>
      <c r="B50" s="116">
        <f>SUM(B33:B34,)</f>
        <v>6714720.4</v>
      </c>
      <c r="C50" s="116">
        <f>SUM(C33:C34,)</f>
        <v>1038459.8999999999</v>
      </c>
      <c r="D50" s="40">
        <f t="shared" si="0"/>
        <v>15.465422804499795</v>
      </c>
      <c r="E50" s="41">
        <f t="shared" si="1"/>
        <v>-5676260.5</v>
      </c>
    </row>
    <row r="51" spans="1:5" ht="12.75" customHeight="1">
      <c r="A51" s="33" t="s">
        <v>12</v>
      </c>
      <c r="B51" s="154"/>
      <c r="C51" s="155"/>
      <c r="D51" s="40" t="str">
        <f t="shared" si="0"/>
        <v>   </v>
      </c>
      <c r="E51" s="41">
        <f t="shared" si="1"/>
        <v>0</v>
      </c>
    </row>
    <row r="52" spans="1:5" ht="21" customHeight="1">
      <c r="A52" s="21" t="s">
        <v>35</v>
      </c>
      <c r="B52" s="36">
        <f>SUM(B53,B56,B57)</f>
        <v>1592100</v>
      </c>
      <c r="C52" s="36">
        <f>SUM(C53,C56,C57)</f>
        <v>240241.15</v>
      </c>
      <c r="D52" s="40">
        <f t="shared" si="0"/>
        <v>15.089576659757553</v>
      </c>
      <c r="E52" s="41">
        <f t="shared" si="1"/>
        <v>-1351858.85</v>
      </c>
    </row>
    <row r="53" spans="1:5" ht="15" customHeight="1">
      <c r="A53" s="21" t="s">
        <v>36</v>
      </c>
      <c r="B53" s="36">
        <v>1551600</v>
      </c>
      <c r="C53" s="36">
        <v>240241.15</v>
      </c>
      <c r="D53" s="40">
        <f t="shared" si="0"/>
        <v>15.483446120134053</v>
      </c>
      <c r="E53" s="41">
        <f t="shared" si="1"/>
        <v>-1311358.85</v>
      </c>
    </row>
    <row r="54" spans="1:5" ht="15" customHeight="1">
      <c r="A54" s="21" t="s">
        <v>116</v>
      </c>
      <c r="B54" s="36">
        <v>1021121</v>
      </c>
      <c r="C54" s="99">
        <v>133154.72</v>
      </c>
      <c r="D54" s="40">
        <f t="shared" si="0"/>
        <v>13.040053039747493</v>
      </c>
      <c r="E54" s="41">
        <f t="shared" si="1"/>
        <v>-887966.28</v>
      </c>
    </row>
    <row r="55" spans="1:5" ht="15" customHeight="1">
      <c r="A55" s="21" t="s">
        <v>324</v>
      </c>
      <c r="B55" s="36">
        <v>0</v>
      </c>
      <c r="C55" s="99">
        <v>0</v>
      </c>
      <c r="D55" s="40" t="str">
        <f>IF(B55=0,"   ",C55/B55*100)</f>
        <v>   </v>
      </c>
      <c r="E55" s="41">
        <f>C55-B55</f>
        <v>0</v>
      </c>
    </row>
    <row r="56" spans="1:5" ht="12.75" customHeight="1">
      <c r="A56" s="21" t="s">
        <v>91</v>
      </c>
      <c r="B56" s="36">
        <v>500</v>
      </c>
      <c r="C56" s="107">
        <v>0</v>
      </c>
      <c r="D56" s="40">
        <f t="shared" si="0"/>
        <v>0</v>
      </c>
      <c r="E56" s="41">
        <f t="shared" si="1"/>
        <v>-500</v>
      </c>
    </row>
    <row r="57" spans="1:5" ht="12.75" customHeight="1">
      <c r="A57" s="21" t="s">
        <v>52</v>
      </c>
      <c r="B57" s="107">
        <f>SUM(B59+B58)</f>
        <v>40000</v>
      </c>
      <c r="C57" s="107">
        <f>SUM(C59+C58)</f>
        <v>0</v>
      </c>
      <c r="D57" s="40">
        <f t="shared" si="0"/>
        <v>0</v>
      </c>
      <c r="E57" s="41">
        <f t="shared" si="1"/>
        <v>-40000</v>
      </c>
    </row>
    <row r="58" spans="1:5" ht="18.75" customHeight="1">
      <c r="A58" s="17" t="s">
        <v>328</v>
      </c>
      <c r="B58" s="107">
        <v>0</v>
      </c>
      <c r="C58" s="107">
        <v>0</v>
      </c>
      <c r="D58" s="40" t="str">
        <f>IF(B58=0,"   ",C58/B58*100)</f>
        <v>   </v>
      </c>
      <c r="E58" s="41">
        <f>C58-B58</f>
        <v>0</v>
      </c>
    </row>
    <row r="59" spans="1:5" ht="23.25" customHeight="1">
      <c r="A59" s="17" t="s">
        <v>233</v>
      </c>
      <c r="B59" s="36">
        <v>40000</v>
      </c>
      <c r="C59" s="107">
        <v>0</v>
      </c>
      <c r="D59" s="40">
        <f t="shared" si="0"/>
        <v>0</v>
      </c>
      <c r="E59" s="41">
        <f t="shared" si="1"/>
        <v>-40000</v>
      </c>
    </row>
    <row r="60" spans="1:5" ht="21.75" customHeight="1">
      <c r="A60" s="21" t="s">
        <v>49</v>
      </c>
      <c r="B60" s="107">
        <f>SUM(B61)</f>
        <v>94300</v>
      </c>
      <c r="C60" s="107">
        <f>SUM(C61)</f>
        <v>20900.78</v>
      </c>
      <c r="D60" s="40">
        <f t="shared" si="0"/>
        <v>22.164135737009545</v>
      </c>
      <c r="E60" s="41">
        <f t="shared" si="1"/>
        <v>-73399.22</v>
      </c>
    </row>
    <row r="61" spans="1:5" ht="13.5" customHeight="1">
      <c r="A61" s="21" t="s">
        <v>102</v>
      </c>
      <c r="B61" s="36">
        <v>94300</v>
      </c>
      <c r="C61" s="107">
        <v>20900.78</v>
      </c>
      <c r="D61" s="40">
        <f t="shared" si="0"/>
        <v>22.164135737009545</v>
      </c>
      <c r="E61" s="41">
        <f t="shared" si="1"/>
        <v>-73399.22</v>
      </c>
    </row>
    <row r="62" spans="1:5" ht="16.5" customHeight="1">
      <c r="A62" s="21" t="s">
        <v>37</v>
      </c>
      <c r="B62" s="36">
        <f>SUM(B63)</f>
        <v>5000</v>
      </c>
      <c r="C62" s="107">
        <f>SUM(C63)</f>
        <v>0</v>
      </c>
      <c r="D62" s="40">
        <f t="shared" si="0"/>
        <v>0</v>
      </c>
      <c r="E62" s="41">
        <f t="shared" si="1"/>
        <v>-5000</v>
      </c>
    </row>
    <row r="63" spans="1:5" ht="15" customHeight="1">
      <c r="A63" s="60" t="s">
        <v>315</v>
      </c>
      <c r="B63" s="36">
        <v>5000</v>
      </c>
      <c r="C63" s="107">
        <v>0</v>
      </c>
      <c r="D63" s="40">
        <f t="shared" si="0"/>
        <v>0</v>
      </c>
      <c r="E63" s="41">
        <f t="shared" si="1"/>
        <v>-5000</v>
      </c>
    </row>
    <row r="64" spans="1:5" ht="18.75" customHeight="1" thickBot="1">
      <c r="A64" s="21" t="s">
        <v>38</v>
      </c>
      <c r="B64" s="36">
        <f>SUM(B70,B65,B82)</f>
        <v>3713820.4</v>
      </c>
      <c r="C64" s="36">
        <f>SUM(C70,C65,C82)</f>
        <v>231625.54</v>
      </c>
      <c r="D64" s="40">
        <f t="shared" si="0"/>
        <v>6.236853564593485</v>
      </c>
      <c r="E64" s="41">
        <f t="shared" si="1"/>
        <v>-3482194.86</v>
      </c>
    </row>
    <row r="65" spans="1:5" ht="18.75" customHeight="1" thickBot="1">
      <c r="A65" s="62" t="s">
        <v>156</v>
      </c>
      <c r="B65" s="93">
        <f>SUM(B66:B69)</f>
        <v>5000</v>
      </c>
      <c r="C65" s="36">
        <f>SUM(C66+C67)</f>
        <v>0</v>
      </c>
      <c r="D65" s="40">
        <f>IF(B65=0,"   ",C65/B65*100)</f>
        <v>0</v>
      </c>
      <c r="E65" s="41">
        <f>C65-B65</f>
        <v>-5000</v>
      </c>
    </row>
    <row r="66" spans="1:5" ht="15" customHeight="1">
      <c r="A66" s="62" t="s">
        <v>157</v>
      </c>
      <c r="B66" s="36">
        <v>0</v>
      </c>
      <c r="C66" s="36">
        <v>0</v>
      </c>
      <c r="D66" s="40" t="str">
        <f>IF(B66=0,"   ",C66/B66*100)</f>
        <v>   </v>
      </c>
      <c r="E66" s="41">
        <f>C66-B66</f>
        <v>0</v>
      </c>
    </row>
    <row r="67" spans="1:5" ht="15" customHeight="1">
      <c r="A67" s="62" t="s">
        <v>179</v>
      </c>
      <c r="B67" s="36">
        <v>0</v>
      </c>
      <c r="C67" s="36">
        <v>0</v>
      </c>
      <c r="D67" s="40" t="str">
        <f>IF(B67=0,"   ",C67/B67*100)</f>
        <v>   </v>
      </c>
      <c r="E67" s="41">
        <f>C67-B67</f>
        <v>0</v>
      </c>
    </row>
    <row r="68" spans="1:5" ht="15" customHeight="1">
      <c r="A68" s="62" t="s">
        <v>291</v>
      </c>
      <c r="B68" s="36">
        <v>4700</v>
      </c>
      <c r="C68" s="36"/>
      <c r="D68" s="40">
        <f>IF(B68=0,"   ",C68/B68*100)</f>
        <v>0</v>
      </c>
      <c r="E68" s="41">
        <f>C68-B68</f>
        <v>-4700</v>
      </c>
    </row>
    <row r="69" spans="1:5" ht="15" customHeight="1">
      <c r="A69" s="62" t="s">
        <v>292</v>
      </c>
      <c r="B69" s="36">
        <v>300</v>
      </c>
      <c r="C69" s="36"/>
      <c r="D69" s="40">
        <f>IF(B69=0,"   ",C69/B69*100)</f>
        <v>0</v>
      </c>
      <c r="E69" s="41">
        <f>C69-B69</f>
        <v>-300</v>
      </c>
    </row>
    <row r="70" spans="1:5" ht="13.5" customHeight="1">
      <c r="A70" s="21" t="s">
        <v>39</v>
      </c>
      <c r="B70" s="36">
        <f>SUM(B72,B76:B81)</f>
        <v>3668820.4</v>
      </c>
      <c r="C70" s="36">
        <f>SUM(C72,C76:C81)</f>
        <v>231625.54</v>
      </c>
      <c r="D70" s="40">
        <f t="shared" si="0"/>
        <v>6.313351833739259</v>
      </c>
      <c r="E70" s="41">
        <f t="shared" si="1"/>
        <v>-3437194.86</v>
      </c>
    </row>
    <row r="71" spans="1:5" ht="17.25" customHeight="1" thickBot="1">
      <c r="A71" s="60" t="s">
        <v>140</v>
      </c>
      <c r="B71" s="36">
        <v>0</v>
      </c>
      <c r="C71" s="36">
        <v>0</v>
      </c>
      <c r="D71" s="40" t="str">
        <f t="shared" si="0"/>
        <v>   </v>
      </c>
      <c r="E71" s="41">
        <f t="shared" si="1"/>
        <v>0</v>
      </c>
    </row>
    <row r="72" spans="1:5" ht="17.25" customHeight="1" thickBot="1">
      <c r="A72" s="17" t="s">
        <v>339</v>
      </c>
      <c r="B72" s="93">
        <f>SUM(B73:B75)</f>
        <v>1172720.4</v>
      </c>
      <c r="C72" s="93">
        <f>SUM(C73:C75)</f>
        <v>0</v>
      </c>
      <c r="D72" s="40">
        <f>IF(B72=0,"   ",C72/B72*100)</f>
        <v>0</v>
      </c>
      <c r="E72" s="41">
        <f>C72-B72</f>
        <v>-1172720.4</v>
      </c>
    </row>
    <row r="73" spans="1:5" ht="23.25" customHeight="1">
      <c r="A73" s="17" t="s">
        <v>337</v>
      </c>
      <c r="B73" s="36">
        <v>1172720.4</v>
      </c>
      <c r="C73" s="36">
        <v>0</v>
      </c>
      <c r="D73" s="40">
        <f>IF(B73=0,"   ",C73/B73*100)</f>
        <v>0</v>
      </c>
      <c r="E73" s="41">
        <f>C73-B73</f>
        <v>-1172720.4</v>
      </c>
    </row>
    <row r="74" spans="1:5" ht="18" customHeight="1">
      <c r="A74" s="17" t="s">
        <v>338</v>
      </c>
      <c r="B74" s="36">
        <v>0</v>
      </c>
      <c r="C74" s="36">
        <v>0</v>
      </c>
      <c r="D74" s="40" t="str">
        <f>IF(B74=0,"   ",C74/B74*100)</f>
        <v>   </v>
      </c>
      <c r="E74" s="41">
        <f>C74-B74</f>
        <v>0</v>
      </c>
    </row>
    <row r="75" spans="1:5" ht="17.25" customHeight="1">
      <c r="A75" s="17" t="s">
        <v>340</v>
      </c>
      <c r="B75" s="36">
        <v>0</v>
      </c>
      <c r="C75" s="36">
        <v>0</v>
      </c>
      <c r="D75" s="40" t="str">
        <f>IF(B75=0,"   ",C75/B75*100)</f>
        <v>   </v>
      </c>
      <c r="E75" s="41">
        <f>C75-B75</f>
        <v>0</v>
      </c>
    </row>
    <row r="76" spans="1:5" ht="24" customHeight="1">
      <c r="A76" s="17" t="s">
        <v>236</v>
      </c>
      <c r="B76" s="36">
        <v>521700</v>
      </c>
      <c r="C76" s="36">
        <v>13552.54</v>
      </c>
      <c r="D76" s="40">
        <f t="shared" si="0"/>
        <v>2.597764999041595</v>
      </c>
      <c r="E76" s="41">
        <f t="shared" si="1"/>
        <v>-508147.46</v>
      </c>
    </row>
    <row r="77" spans="1:5" ht="24" customHeight="1">
      <c r="A77" s="17" t="s">
        <v>237</v>
      </c>
      <c r="B77" s="36">
        <v>100000</v>
      </c>
      <c r="C77" s="36">
        <v>0</v>
      </c>
      <c r="D77" s="40">
        <f t="shared" si="0"/>
        <v>0</v>
      </c>
      <c r="E77" s="41">
        <f t="shared" si="1"/>
        <v>-100000</v>
      </c>
    </row>
    <row r="78" spans="1:5" ht="24" customHeight="1">
      <c r="A78" s="17" t="s">
        <v>238</v>
      </c>
      <c r="B78" s="36">
        <v>1245100</v>
      </c>
      <c r="C78" s="36">
        <v>0</v>
      </c>
      <c r="D78" s="40">
        <f t="shared" si="0"/>
        <v>0</v>
      </c>
      <c r="E78" s="41">
        <f t="shared" si="1"/>
        <v>-1245100</v>
      </c>
    </row>
    <row r="79" spans="1:5" ht="24" customHeight="1">
      <c r="A79" s="17" t="s">
        <v>239</v>
      </c>
      <c r="B79" s="36">
        <v>138400</v>
      </c>
      <c r="C79" s="36">
        <v>0</v>
      </c>
      <c r="D79" s="40">
        <f t="shared" si="0"/>
        <v>0</v>
      </c>
      <c r="E79" s="41">
        <f t="shared" si="1"/>
        <v>-138400</v>
      </c>
    </row>
    <row r="80" spans="1:5" ht="24" customHeight="1">
      <c r="A80" s="17" t="s">
        <v>240</v>
      </c>
      <c r="B80" s="36">
        <v>441800</v>
      </c>
      <c r="C80" s="36">
        <v>196265.7</v>
      </c>
      <c r="D80" s="40">
        <f t="shared" si="0"/>
        <v>44.4241059302852</v>
      </c>
      <c r="E80" s="41">
        <f t="shared" si="1"/>
        <v>-245534.3</v>
      </c>
    </row>
    <row r="81" spans="1:5" ht="26.25" customHeight="1">
      <c r="A81" s="62" t="s">
        <v>241</v>
      </c>
      <c r="B81" s="36">
        <v>49100</v>
      </c>
      <c r="C81" s="36">
        <v>21807.3</v>
      </c>
      <c r="D81" s="40">
        <f t="shared" si="0"/>
        <v>44.414052953156826</v>
      </c>
      <c r="E81" s="41">
        <f t="shared" si="1"/>
        <v>-27292.7</v>
      </c>
    </row>
    <row r="82" spans="1:5" ht="18.75" customHeight="1">
      <c r="A82" s="62" t="s">
        <v>167</v>
      </c>
      <c r="B82" s="36">
        <f>B83+B84</f>
        <v>40000</v>
      </c>
      <c r="C82" s="36">
        <f>C83+C84</f>
        <v>0</v>
      </c>
      <c r="D82" s="40">
        <f>IF(B82=0,"   ",C82/B82*100)</f>
        <v>0</v>
      </c>
      <c r="E82" s="41">
        <f>C82-B82</f>
        <v>-40000</v>
      </c>
    </row>
    <row r="83" spans="1:5" ht="26.25" customHeight="1">
      <c r="A83" s="17" t="s">
        <v>146</v>
      </c>
      <c r="B83" s="36">
        <v>10000</v>
      </c>
      <c r="C83" s="36">
        <v>0</v>
      </c>
      <c r="D83" s="40">
        <f>IF(B83=0,"   ",C83/B83*100)</f>
        <v>0</v>
      </c>
      <c r="E83" s="41">
        <f>C83-B83</f>
        <v>-10000</v>
      </c>
    </row>
    <row r="84" spans="1:5" ht="26.25" customHeight="1">
      <c r="A84" s="62" t="s">
        <v>168</v>
      </c>
      <c r="B84" s="36">
        <v>30000</v>
      </c>
      <c r="C84" s="36">
        <v>0</v>
      </c>
      <c r="D84" s="40">
        <f>IF(B84=0,"   ",C84/B84*100)</f>
        <v>0</v>
      </c>
      <c r="E84" s="41">
        <f>C84-B84</f>
        <v>-30000</v>
      </c>
    </row>
    <row r="85" spans="1:5" ht="20.25" customHeight="1">
      <c r="A85" s="21" t="s">
        <v>13</v>
      </c>
      <c r="B85" s="36">
        <f>B90+B86+B98</f>
        <v>500300</v>
      </c>
      <c r="C85" s="36">
        <f>C90+C86+C98</f>
        <v>45036.63</v>
      </c>
      <c r="D85" s="40">
        <f t="shared" si="0"/>
        <v>9.001924845092944</v>
      </c>
      <c r="E85" s="41">
        <f t="shared" si="1"/>
        <v>-455263.37</v>
      </c>
    </row>
    <row r="86" spans="1:5" ht="20.25" customHeight="1">
      <c r="A86" s="21" t="s">
        <v>141</v>
      </c>
      <c r="B86" s="36">
        <f>B87+B88+B89</f>
        <v>150200</v>
      </c>
      <c r="C86" s="36">
        <f>C87+C88+C89</f>
        <v>0</v>
      </c>
      <c r="D86" s="40">
        <f t="shared" si="0"/>
        <v>0</v>
      </c>
      <c r="E86" s="41">
        <f t="shared" si="1"/>
        <v>-150200</v>
      </c>
    </row>
    <row r="87" spans="1:5" ht="31.5" customHeight="1">
      <c r="A87" s="21" t="s">
        <v>185</v>
      </c>
      <c r="B87" s="36">
        <v>15000</v>
      </c>
      <c r="C87" s="36">
        <v>0</v>
      </c>
      <c r="D87" s="40">
        <f>IF(B87=0,"   ",C87/B87*100)</f>
        <v>0</v>
      </c>
      <c r="E87" s="41">
        <f>C87-B87</f>
        <v>-15000</v>
      </c>
    </row>
    <row r="88" spans="1:5" ht="20.25" customHeight="1">
      <c r="A88" s="21" t="s">
        <v>316</v>
      </c>
      <c r="B88" s="36">
        <v>135200</v>
      </c>
      <c r="C88" s="36">
        <v>0</v>
      </c>
      <c r="D88" s="40">
        <f>IF(B88=0,"   ",C88/B88*100)</f>
        <v>0</v>
      </c>
      <c r="E88" s="41">
        <f>C88-B88</f>
        <v>-135200</v>
      </c>
    </row>
    <row r="89" spans="1:5" ht="20.25" customHeight="1">
      <c r="A89" s="38" t="s">
        <v>263</v>
      </c>
      <c r="B89" s="36">
        <v>0</v>
      </c>
      <c r="C89" s="36">
        <v>0</v>
      </c>
      <c r="D89" s="40" t="str">
        <f t="shared" si="0"/>
        <v>   </v>
      </c>
      <c r="E89" s="41">
        <f t="shared" si="1"/>
        <v>0</v>
      </c>
    </row>
    <row r="90" spans="1:5" ht="12.75" customHeight="1">
      <c r="A90" s="21" t="s">
        <v>94</v>
      </c>
      <c r="B90" s="36">
        <f>B91+B92+B97+B93</f>
        <v>350000</v>
      </c>
      <c r="C90" s="36">
        <f>C91+C92+C97+C93</f>
        <v>45036.63</v>
      </c>
      <c r="D90" s="40">
        <f t="shared" si="0"/>
        <v>12.86760857142857</v>
      </c>
      <c r="E90" s="41">
        <f t="shared" si="1"/>
        <v>-304963.37</v>
      </c>
    </row>
    <row r="91" spans="1:5" ht="12.75" customHeight="1">
      <c r="A91" s="21" t="s">
        <v>95</v>
      </c>
      <c r="B91" s="36">
        <v>350000</v>
      </c>
      <c r="C91" s="36">
        <v>45036.63</v>
      </c>
      <c r="D91" s="40">
        <f t="shared" si="0"/>
        <v>12.86760857142857</v>
      </c>
      <c r="E91" s="41">
        <f t="shared" si="1"/>
        <v>-304963.37</v>
      </c>
    </row>
    <row r="92" spans="1:5" ht="12.75" customHeight="1">
      <c r="A92" s="21" t="s">
        <v>61</v>
      </c>
      <c r="B92" s="36">
        <v>0</v>
      </c>
      <c r="C92" s="107">
        <v>0</v>
      </c>
      <c r="D92" s="40">
        <v>0</v>
      </c>
      <c r="E92" s="41">
        <f t="shared" si="1"/>
        <v>0</v>
      </c>
    </row>
    <row r="93" spans="1:5" ht="12.75" customHeight="1">
      <c r="A93" s="17" t="s">
        <v>197</v>
      </c>
      <c r="B93" s="36">
        <f>SUM(B94:B96)</f>
        <v>0</v>
      </c>
      <c r="C93" s="36">
        <f>SUM(C94:C96)</f>
        <v>0</v>
      </c>
      <c r="D93" s="40">
        <v>0</v>
      </c>
      <c r="E93" s="41">
        <f>C93-B93</f>
        <v>0</v>
      </c>
    </row>
    <row r="94" spans="1:5" ht="29.25" customHeight="1">
      <c r="A94" s="17" t="s">
        <v>198</v>
      </c>
      <c r="B94" s="36">
        <v>0</v>
      </c>
      <c r="C94" s="107">
        <v>0</v>
      </c>
      <c r="D94" s="40" t="str">
        <f t="shared" si="0"/>
        <v>   </v>
      </c>
      <c r="E94" s="107">
        <f t="shared" si="1"/>
        <v>0</v>
      </c>
    </row>
    <row r="95" spans="1:5" ht="25.5" customHeight="1">
      <c r="A95" s="17" t="s">
        <v>199</v>
      </c>
      <c r="B95" s="36">
        <v>0</v>
      </c>
      <c r="C95" s="107">
        <v>0</v>
      </c>
      <c r="D95" s="40" t="str">
        <f t="shared" si="0"/>
        <v>   </v>
      </c>
      <c r="E95" s="107">
        <f t="shared" si="1"/>
        <v>0</v>
      </c>
    </row>
    <row r="96" spans="1:5" ht="23.25" customHeight="1">
      <c r="A96" s="17" t="s">
        <v>200</v>
      </c>
      <c r="B96" s="36">
        <v>0</v>
      </c>
      <c r="C96" s="107">
        <v>0</v>
      </c>
      <c r="D96" s="40" t="str">
        <f t="shared" si="0"/>
        <v>   </v>
      </c>
      <c r="E96" s="107">
        <f t="shared" si="1"/>
        <v>0</v>
      </c>
    </row>
    <row r="97" spans="1:5" ht="19.5" customHeight="1" thickBot="1">
      <c r="A97" s="17" t="s">
        <v>271</v>
      </c>
      <c r="B97" s="100">
        <v>0</v>
      </c>
      <c r="C97" s="101">
        <v>0</v>
      </c>
      <c r="D97" s="40" t="str">
        <f t="shared" si="0"/>
        <v>   </v>
      </c>
      <c r="E97" s="107">
        <f t="shared" si="1"/>
        <v>0</v>
      </c>
    </row>
    <row r="98" spans="1:5" ht="19.5" customHeight="1" thickBot="1">
      <c r="A98" s="62" t="s">
        <v>302</v>
      </c>
      <c r="B98" s="111">
        <f>SUM(B99)</f>
        <v>100</v>
      </c>
      <c r="C98" s="111">
        <f>SUM(C99)</f>
        <v>0</v>
      </c>
      <c r="D98" s="40">
        <f>IF(B98=0,"   ",C98/B98*100)</f>
        <v>0</v>
      </c>
      <c r="E98" s="107">
        <f>C98-B98</f>
        <v>-100</v>
      </c>
    </row>
    <row r="99" spans="1:5" ht="19.5" customHeight="1">
      <c r="A99" s="62" t="s">
        <v>259</v>
      </c>
      <c r="B99" s="36">
        <v>100</v>
      </c>
      <c r="C99" s="99">
        <v>0</v>
      </c>
      <c r="D99" s="40">
        <f>IF(B99=0,"   ",C99/B99*100)</f>
        <v>0</v>
      </c>
      <c r="E99" s="107">
        <f>C99-B99</f>
        <v>-100</v>
      </c>
    </row>
    <row r="100" spans="1:5" ht="20.25" customHeight="1">
      <c r="A100" s="21" t="s">
        <v>17</v>
      </c>
      <c r="B100" s="36">
        <v>8000</v>
      </c>
      <c r="C100" s="36">
        <v>0</v>
      </c>
      <c r="D100" s="40">
        <f t="shared" si="0"/>
        <v>0</v>
      </c>
      <c r="E100" s="41">
        <f t="shared" si="1"/>
        <v>-8000</v>
      </c>
    </row>
    <row r="101" spans="1:5" ht="18" customHeight="1">
      <c r="A101" s="21" t="s">
        <v>41</v>
      </c>
      <c r="B101" s="143">
        <f>B102</f>
        <v>789200</v>
      </c>
      <c r="C101" s="143">
        <f>C102</f>
        <v>740150</v>
      </c>
      <c r="D101" s="40">
        <f t="shared" si="0"/>
        <v>93.78484541307654</v>
      </c>
      <c r="E101" s="41">
        <f t="shared" si="1"/>
        <v>-49050</v>
      </c>
    </row>
    <row r="102" spans="1:5" ht="12.75" customHeight="1">
      <c r="A102" s="21" t="s">
        <v>42</v>
      </c>
      <c r="B102" s="36">
        <f>SUM(B103:B105)</f>
        <v>789200</v>
      </c>
      <c r="C102" s="36">
        <f>SUM(C103:C105)</f>
        <v>740150</v>
      </c>
      <c r="D102" s="40">
        <f t="shared" si="0"/>
        <v>93.78484541307654</v>
      </c>
      <c r="E102" s="41">
        <f t="shared" si="1"/>
        <v>-49050</v>
      </c>
    </row>
    <row r="103" spans="1:5" ht="12.75" customHeight="1">
      <c r="A103" s="21" t="s">
        <v>134</v>
      </c>
      <c r="B103" s="36">
        <v>789200</v>
      </c>
      <c r="C103" s="107">
        <v>740150</v>
      </c>
      <c r="D103" s="40">
        <f t="shared" si="0"/>
        <v>93.78484541307654</v>
      </c>
      <c r="E103" s="41">
        <f t="shared" si="1"/>
        <v>-49050</v>
      </c>
    </row>
    <row r="104" spans="1:5" ht="12.75" customHeight="1">
      <c r="A104" s="21" t="s">
        <v>242</v>
      </c>
      <c r="B104" s="36">
        <v>0</v>
      </c>
      <c r="C104" s="107">
        <v>0</v>
      </c>
      <c r="D104" s="40" t="str">
        <f t="shared" si="0"/>
        <v>   </v>
      </c>
      <c r="E104" s="41">
        <f t="shared" si="1"/>
        <v>0</v>
      </c>
    </row>
    <row r="105" spans="1:5" ht="12.75" customHeight="1">
      <c r="A105" s="68" t="s">
        <v>193</v>
      </c>
      <c r="B105" s="36">
        <v>0</v>
      </c>
      <c r="C105" s="107">
        <v>0</v>
      </c>
      <c r="D105" s="40" t="str">
        <f t="shared" si="0"/>
        <v>   </v>
      </c>
      <c r="E105" s="41">
        <f t="shared" si="1"/>
        <v>0</v>
      </c>
    </row>
    <row r="106" spans="1:5" ht="16.5" customHeight="1">
      <c r="A106" s="21" t="s">
        <v>119</v>
      </c>
      <c r="B106" s="36">
        <f>SUM(B107:B107)</f>
        <v>12000</v>
      </c>
      <c r="C106" s="36">
        <f>SUM(C107:C107)</f>
        <v>0</v>
      </c>
      <c r="D106" s="40">
        <f t="shared" si="0"/>
        <v>0</v>
      </c>
      <c r="E106" s="41">
        <f t="shared" si="1"/>
        <v>-12000</v>
      </c>
    </row>
    <row r="107" spans="1:5" ht="16.5" customHeight="1">
      <c r="A107" s="21" t="s">
        <v>43</v>
      </c>
      <c r="B107" s="36">
        <v>12000</v>
      </c>
      <c r="C107" s="36">
        <v>0</v>
      </c>
      <c r="D107" s="40">
        <f>IF(B107=0,"   ",C107/B107*100)</f>
        <v>0</v>
      </c>
      <c r="E107" s="41">
        <f>C107-B107</f>
        <v>-12000</v>
      </c>
    </row>
    <row r="108" spans="1:5" ht="22.5" customHeight="1">
      <c r="A108" s="44" t="s">
        <v>15</v>
      </c>
      <c r="B108" s="116">
        <f>SUM(B52,B60,B62,B64,B85,B100,B101,B106,)</f>
        <v>6714720.4</v>
      </c>
      <c r="C108" s="116">
        <f>SUM(C52,C60,C62,C64,C85,C100,C101,C106,)</f>
        <v>1277954.1</v>
      </c>
      <c r="D108" s="46">
        <f>IF(B108=0,"   ",C108/B108*100)</f>
        <v>19.032126788183167</v>
      </c>
      <c r="E108" s="47">
        <f t="shared" si="1"/>
        <v>-5436766.300000001</v>
      </c>
    </row>
    <row r="109" spans="1:5" s="13" customFormat="1" ht="30" customHeight="1">
      <c r="A109" s="71" t="s">
        <v>288</v>
      </c>
      <c r="B109" s="71"/>
      <c r="C109" s="167"/>
      <c r="D109" s="167"/>
      <c r="E109" s="167"/>
    </row>
    <row r="110" spans="1:5" s="13" customFormat="1" ht="18" customHeight="1">
      <c r="A110" s="71" t="s">
        <v>145</v>
      </c>
      <c r="B110" s="71"/>
      <c r="C110" s="72" t="s">
        <v>289</v>
      </c>
      <c r="D110" s="73"/>
      <c r="E110" s="74"/>
    </row>
    <row r="111" spans="1:5" ht="13.5">
      <c r="A111" s="71"/>
      <c r="B111" s="71"/>
      <c r="C111" s="117"/>
      <c r="D111" s="71"/>
      <c r="E111" s="118"/>
    </row>
    <row r="112" spans="1:5" ht="13.5">
      <c r="A112" s="71"/>
      <c r="B112" s="71"/>
      <c r="C112" s="117"/>
      <c r="D112" s="71"/>
      <c r="E112" s="118"/>
    </row>
    <row r="113" spans="1:5" ht="13.5">
      <c r="A113" s="119"/>
      <c r="B113" s="119"/>
      <c r="C113" s="120"/>
      <c r="D113" s="119"/>
      <c r="E113" s="121"/>
    </row>
    <row r="114" spans="1:5" ht="13.5">
      <c r="A114" s="119"/>
      <c r="B114" s="119"/>
      <c r="C114" s="120"/>
      <c r="D114" s="119"/>
      <c r="E114" s="121"/>
    </row>
  </sheetData>
  <sheetProtection/>
  <mergeCells count="2">
    <mergeCell ref="A1:E1"/>
    <mergeCell ref="C109:E109"/>
  </mergeCells>
  <printOptions/>
  <pageMargins left="0.984251968503937" right="0.5905511811023623" top="0.5118110236220472" bottom="0.5118110236220472" header="0.5118110236220472" footer="0.5118110236220472"/>
  <pageSetup fitToHeight="2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8"/>
  <sheetViews>
    <sheetView zoomScalePageLayoutView="0" workbookViewId="0" topLeftCell="A92">
      <selection activeCell="C106" sqref="C106"/>
    </sheetView>
  </sheetViews>
  <sheetFormatPr defaultColWidth="9.00390625" defaultRowHeight="12.75"/>
  <cols>
    <col min="1" max="1" width="107.625" style="0" customWidth="1"/>
    <col min="2" max="2" width="14.50390625" style="0" customWidth="1"/>
    <col min="3" max="3" width="16.875" style="0" customWidth="1"/>
    <col min="4" max="4" width="18.00390625" style="0" customWidth="1"/>
    <col min="5" max="5" width="16.375" style="0" customWidth="1"/>
  </cols>
  <sheetData>
    <row r="1" spans="1:5" ht="13.5">
      <c r="A1" s="168" t="s">
        <v>355</v>
      </c>
      <c r="B1" s="168"/>
      <c r="C1" s="168"/>
      <c r="D1" s="168"/>
      <c r="E1" s="168"/>
    </row>
    <row r="2" spans="1:5" ht="13.5">
      <c r="A2" s="22"/>
      <c r="B2" s="22"/>
      <c r="C2" s="148"/>
      <c r="D2" s="148"/>
      <c r="E2" s="148"/>
    </row>
    <row r="3" spans="1:5" ht="14.25" thickBot="1">
      <c r="A3" s="22"/>
      <c r="B3" s="22"/>
      <c r="C3" s="23"/>
      <c r="D3" s="22"/>
      <c r="E3" s="22" t="s">
        <v>0</v>
      </c>
    </row>
    <row r="4" spans="1:5" ht="62.25" customHeight="1">
      <c r="A4" s="24" t="s">
        <v>1</v>
      </c>
      <c r="B4" s="25" t="s">
        <v>331</v>
      </c>
      <c r="C4" s="26" t="s">
        <v>351</v>
      </c>
      <c r="D4" s="25" t="s">
        <v>332</v>
      </c>
      <c r="E4" s="27" t="s">
        <v>333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3.5">
      <c r="A7" s="38" t="s">
        <v>45</v>
      </c>
      <c r="B7" s="143">
        <f>SUM(B8)</f>
        <v>78600</v>
      </c>
      <c r="C7" s="143">
        <f>SUM(C8)</f>
        <v>11586.8</v>
      </c>
      <c r="D7" s="40">
        <f aca="true" t="shared" si="0" ref="D7:D107">IF(B7=0,"   ",C7/B7*100)</f>
        <v>14.741475826972009</v>
      </c>
      <c r="E7" s="41">
        <f aca="true" t="shared" si="1" ref="E7:E108">C7-B7</f>
        <v>-67013.2</v>
      </c>
    </row>
    <row r="8" spans="1:5" ht="12" customHeight="1">
      <c r="A8" s="21" t="s">
        <v>44</v>
      </c>
      <c r="B8" s="36">
        <v>78600</v>
      </c>
      <c r="C8" s="86">
        <v>11586.8</v>
      </c>
      <c r="D8" s="40">
        <f t="shared" si="0"/>
        <v>14.741475826972009</v>
      </c>
      <c r="E8" s="41">
        <f t="shared" si="1"/>
        <v>-67013.2</v>
      </c>
    </row>
    <row r="9" spans="1:5" ht="16.5" customHeight="1">
      <c r="A9" s="38" t="s">
        <v>129</v>
      </c>
      <c r="B9" s="143">
        <f>SUM(B10)</f>
        <v>1203900</v>
      </c>
      <c r="C9" s="143">
        <f>SUM(C10)</f>
        <v>318094.88</v>
      </c>
      <c r="D9" s="40">
        <f t="shared" si="0"/>
        <v>26.422035052745247</v>
      </c>
      <c r="E9" s="41">
        <f t="shared" si="1"/>
        <v>-885805.12</v>
      </c>
    </row>
    <row r="10" spans="1:5" ht="15" customHeight="1">
      <c r="A10" s="21" t="s">
        <v>130</v>
      </c>
      <c r="B10" s="36">
        <v>1203900</v>
      </c>
      <c r="C10" s="86">
        <v>318094.88</v>
      </c>
      <c r="D10" s="40">
        <f t="shared" si="0"/>
        <v>26.422035052745247</v>
      </c>
      <c r="E10" s="41">
        <f t="shared" si="1"/>
        <v>-885805.12</v>
      </c>
    </row>
    <row r="11" spans="1:5" ht="13.5">
      <c r="A11" s="21" t="s">
        <v>7</v>
      </c>
      <c r="B11" s="36">
        <f>SUM(B12:B12)</f>
        <v>71100</v>
      </c>
      <c r="C11" s="36">
        <f>SUM(C12:C12)</f>
        <v>26494.12</v>
      </c>
      <c r="D11" s="40">
        <f t="shared" si="0"/>
        <v>37.263178621659634</v>
      </c>
      <c r="E11" s="41">
        <f t="shared" si="1"/>
        <v>-44605.880000000005</v>
      </c>
    </row>
    <row r="12" spans="1:5" ht="16.5" customHeight="1">
      <c r="A12" s="21" t="s">
        <v>26</v>
      </c>
      <c r="B12" s="36">
        <v>71100</v>
      </c>
      <c r="C12" s="86">
        <v>26494.12</v>
      </c>
      <c r="D12" s="40">
        <f t="shared" si="0"/>
        <v>37.263178621659634</v>
      </c>
      <c r="E12" s="41">
        <f t="shared" si="1"/>
        <v>-44605.880000000005</v>
      </c>
    </row>
    <row r="13" spans="1:5" ht="16.5" customHeight="1">
      <c r="A13" s="21" t="s">
        <v>9</v>
      </c>
      <c r="B13" s="36">
        <f>SUM(B14:B15)</f>
        <v>455000</v>
      </c>
      <c r="C13" s="36">
        <f>SUM(C14:C15)</f>
        <v>8428.61</v>
      </c>
      <c r="D13" s="40">
        <f t="shared" si="0"/>
        <v>1.8524417582417585</v>
      </c>
      <c r="E13" s="41">
        <f t="shared" si="1"/>
        <v>-446571.39</v>
      </c>
    </row>
    <row r="14" spans="1:5" ht="15" customHeight="1">
      <c r="A14" s="21" t="s">
        <v>27</v>
      </c>
      <c r="B14" s="36">
        <v>261000</v>
      </c>
      <c r="C14" s="86">
        <v>2909.53</v>
      </c>
      <c r="D14" s="40">
        <f t="shared" si="0"/>
        <v>1.1147624521072799</v>
      </c>
      <c r="E14" s="41">
        <f t="shared" si="1"/>
        <v>-258090.47</v>
      </c>
    </row>
    <row r="15" spans="1:5" ht="15.75" customHeight="1">
      <c r="A15" s="21" t="s">
        <v>151</v>
      </c>
      <c r="B15" s="36">
        <f>SUM(B16:B17)</f>
        <v>194000</v>
      </c>
      <c r="C15" s="36">
        <f>SUM(C16:C17)</f>
        <v>5519.08</v>
      </c>
      <c r="D15" s="40">
        <f t="shared" si="0"/>
        <v>2.8448865979381446</v>
      </c>
      <c r="E15" s="41">
        <f t="shared" si="1"/>
        <v>-188480.92</v>
      </c>
    </row>
    <row r="16" spans="1:5" ht="14.25" customHeight="1">
      <c r="A16" s="21" t="s">
        <v>152</v>
      </c>
      <c r="B16" s="36">
        <v>24000</v>
      </c>
      <c r="C16" s="86">
        <v>-1853.34</v>
      </c>
      <c r="D16" s="40">
        <f t="shared" si="0"/>
        <v>-7.72225</v>
      </c>
      <c r="E16" s="41">
        <f t="shared" si="1"/>
        <v>-25853.34</v>
      </c>
    </row>
    <row r="17" spans="1:5" ht="12.75" customHeight="1">
      <c r="A17" s="21" t="s">
        <v>153</v>
      </c>
      <c r="B17" s="36">
        <v>170000</v>
      </c>
      <c r="C17" s="86">
        <v>7372.42</v>
      </c>
      <c r="D17" s="40">
        <f t="shared" si="0"/>
        <v>4.336717647058824</v>
      </c>
      <c r="E17" s="41">
        <f t="shared" si="1"/>
        <v>-162627.58</v>
      </c>
    </row>
    <row r="18" spans="1:5" ht="12.75" customHeight="1">
      <c r="A18" s="21" t="s">
        <v>186</v>
      </c>
      <c r="B18" s="36">
        <v>0</v>
      </c>
      <c r="C18" s="86">
        <v>1000</v>
      </c>
      <c r="D18" s="40" t="str">
        <f t="shared" si="0"/>
        <v>   </v>
      </c>
      <c r="E18" s="41">
        <f t="shared" si="1"/>
        <v>1000</v>
      </c>
    </row>
    <row r="19" spans="1:5" ht="13.5" customHeight="1">
      <c r="A19" s="21" t="s">
        <v>85</v>
      </c>
      <c r="B19" s="36">
        <v>0</v>
      </c>
      <c r="C19" s="107">
        <v>0</v>
      </c>
      <c r="D19" s="40" t="str">
        <f t="shared" si="0"/>
        <v>   </v>
      </c>
      <c r="E19" s="41">
        <f t="shared" si="1"/>
        <v>0</v>
      </c>
    </row>
    <row r="20" spans="1:5" ht="24.75" customHeight="1">
      <c r="A20" s="21" t="s">
        <v>28</v>
      </c>
      <c r="B20" s="36">
        <f>B21+B22</f>
        <v>104500</v>
      </c>
      <c r="C20" s="36">
        <f>SUM(C21:C22)</f>
        <v>8997.2</v>
      </c>
      <c r="D20" s="40">
        <f t="shared" si="0"/>
        <v>8.60976076555024</v>
      </c>
      <c r="E20" s="41">
        <f t="shared" si="1"/>
        <v>-95502.8</v>
      </c>
    </row>
    <row r="21" spans="1:5" ht="14.25" customHeight="1">
      <c r="A21" s="21" t="s">
        <v>143</v>
      </c>
      <c r="B21" s="36">
        <v>104500</v>
      </c>
      <c r="C21" s="36">
        <v>8997.2</v>
      </c>
      <c r="D21" s="40">
        <f t="shared" si="0"/>
        <v>8.60976076555024</v>
      </c>
      <c r="E21" s="41">
        <f t="shared" si="1"/>
        <v>-95502.8</v>
      </c>
    </row>
    <row r="22" spans="1:5" ht="12" customHeight="1">
      <c r="A22" s="21" t="s">
        <v>30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12.75" customHeight="1">
      <c r="A23" s="21" t="s">
        <v>83</v>
      </c>
      <c r="B23" s="36">
        <v>0</v>
      </c>
      <c r="C23" s="107">
        <v>0</v>
      </c>
      <c r="D23" s="40" t="str">
        <f t="shared" si="0"/>
        <v>   </v>
      </c>
      <c r="E23" s="41">
        <f t="shared" si="1"/>
        <v>0</v>
      </c>
    </row>
    <row r="24" spans="1:5" ht="13.5" customHeight="1">
      <c r="A24" s="21" t="s">
        <v>78</v>
      </c>
      <c r="B24" s="36">
        <f>SUM(B25:B25)</f>
        <v>0</v>
      </c>
      <c r="C24" s="36">
        <f>SUM(C25:C25)</f>
        <v>0</v>
      </c>
      <c r="D24" s="40" t="str">
        <f t="shared" si="0"/>
        <v>   </v>
      </c>
      <c r="E24" s="41">
        <f t="shared" si="1"/>
        <v>0</v>
      </c>
    </row>
    <row r="25" spans="1:5" ht="13.5" customHeight="1">
      <c r="A25" s="21" t="s">
        <v>120</v>
      </c>
      <c r="B25" s="36">
        <v>0</v>
      </c>
      <c r="C25" s="36"/>
      <c r="D25" s="40" t="str">
        <f t="shared" si="0"/>
        <v>   </v>
      </c>
      <c r="E25" s="41"/>
    </row>
    <row r="26" spans="1:5" ht="13.5">
      <c r="A26" s="21" t="s">
        <v>32</v>
      </c>
      <c r="B26" s="36">
        <f>B27</f>
        <v>0</v>
      </c>
      <c r="C26" s="36">
        <f>C27</f>
        <v>100</v>
      </c>
      <c r="D26" s="40" t="str">
        <f t="shared" si="0"/>
        <v>   </v>
      </c>
      <c r="E26" s="41">
        <f t="shared" si="1"/>
        <v>100</v>
      </c>
    </row>
    <row r="27" spans="1:5" ht="13.5">
      <c r="A27" s="21" t="s">
        <v>46</v>
      </c>
      <c r="B27" s="36">
        <v>0</v>
      </c>
      <c r="C27" s="36">
        <v>100</v>
      </c>
      <c r="D27" s="40" t="str">
        <f t="shared" si="0"/>
        <v>   </v>
      </c>
      <c r="E27" s="41">
        <f t="shared" si="1"/>
        <v>100</v>
      </c>
    </row>
    <row r="28" spans="1:5" ht="13.5">
      <c r="A28" s="21" t="s">
        <v>31</v>
      </c>
      <c r="B28" s="36">
        <v>0</v>
      </c>
      <c r="C28" s="36">
        <v>0</v>
      </c>
      <c r="D28" s="40" t="str">
        <f t="shared" si="0"/>
        <v>   </v>
      </c>
      <c r="E28" s="41">
        <f t="shared" si="1"/>
        <v>0</v>
      </c>
    </row>
    <row r="29" spans="1:5" ht="18" customHeight="1">
      <c r="A29" s="44" t="s">
        <v>10</v>
      </c>
      <c r="B29" s="156">
        <f>B7+B9+B11+B13+B19+B20+B24+B26+B28+B18</f>
        <v>1913100</v>
      </c>
      <c r="C29" s="156">
        <f>C7+C9+C11+C13+C19+C20+C24+C26+C28+C18</f>
        <v>374701.61</v>
      </c>
      <c r="D29" s="46">
        <f t="shared" si="0"/>
        <v>19.58609638806126</v>
      </c>
      <c r="E29" s="47">
        <f t="shared" si="1"/>
        <v>-1538398.3900000001</v>
      </c>
    </row>
    <row r="30" spans="1:5" ht="18" customHeight="1">
      <c r="A30" s="62" t="s">
        <v>132</v>
      </c>
      <c r="B30" s="145">
        <f>SUM(B31:B34,B37,B38,B43,B44,B45,B46)</f>
        <v>8399460</v>
      </c>
      <c r="C30" s="145">
        <f>SUM(C31:C34,C37,C38,C43,C44,C45,C46)</f>
        <v>1463971.4</v>
      </c>
      <c r="D30" s="46">
        <f t="shared" si="0"/>
        <v>17.42935141068592</v>
      </c>
      <c r="E30" s="47">
        <f t="shared" si="1"/>
        <v>-6935488.6</v>
      </c>
    </row>
    <row r="31" spans="1:5" ht="16.5" customHeight="1">
      <c r="A31" s="38" t="s">
        <v>34</v>
      </c>
      <c r="B31" s="143">
        <v>4298800</v>
      </c>
      <c r="C31" s="86">
        <v>1074800</v>
      </c>
      <c r="D31" s="40">
        <f t="shared" si="0"/>
        <v>25.00232623057597</v>
      </c>
      <c r="E31" s="41">
        <f t="shared" si="1"/>
        <v>-3224000</v>
      </c>
    </row>
    <row r="32" spans="1:5" ht="16.5" customHeight="1">
      <c r="A32" s="38" t="s">
        <v>217</v>
      </c>
      <c r="B32" s="143">
        <v>0</v>
      </c>
      <c r="C32" s="86">
        <v>0</v>
      </c>
      <c r="D32" s="40" t="str">
        <f>IF(B32=0,"   ",C32/B32*100)</f>
        <v>   </v>
      </c>
      <c r="E32" s="41">
        <f>C32-B32</f>
        <v>0</v>
      </c>
    </row>
    <row r="33" spans="1:5" ht="27" customHeight="1">
      <c r="A33" s="21" t="s">
        <v>51</v>
      </c>
      <c r="B33" s="36">
        <v>94400</v>
      </c>
      <c r="C33" s="86">
        <v>29000</v>
      </c>
      <c r="D33" s="40">
        <f t="shared" si="0"/>
        <v>30.720338983050848</v>
      </c>
      <c r="E33" s="41">
        <f t="shared" si="1"/>
        <v>-65400</v>
      </c>
    </row>
    <row r="34" spans="1:5" ht="27" customHeight="1">
      <c r="A34" s="21" t="s">
        <v>139</v>
      </c>
      <c r="B34" s="36">
        <f>SUM(B35:B36)</f>
        <v>200</v>
      </c>
      <c r="C34" s="36">
        <f>SUM(C35:C36)</f>
        <v>175</v>
      </c>
      <c r="D34" s="40">
        <f t="shared" si="0"/>
        <v>87.5</v>
      </c>
      <c r="E34" s="41">
        <f t="shared" si="1"/>
        <v>-25</v>
      </c>
    </row>
    <row r="35" spans="1:5" ht="17.25" customHeight="1">
      <c r="A35" s="52" t="s">
        <v>154</v>
      </c>
      <c r="B35" s="36">
        <v>200</v>
      </c>
      <c r="C35" s="36">
        <v>175</v>
      </c>
      <c r="D35" s="40">
        <f t="shared" si="0"/>
        <v>87.5</v>
      </c>
      <c r="E35" s="41">
        <f t="shared" si="1"/>
        <v>-25</v>
      </c>
    </row>
    <row r="36" spans="1:5" ht="27" customHeight="1">
      <c r="A36" s="52" t="s">
        <v>155</v>
      </c>
      <c r="B36" s="36">
        <v>0</v>
      </c>
      <c r="C36" s="36">
        <v>0</v>
      </c>
      <c r="D36" s="40" t="str">
        <f>IF(B36=0,"   ",C36/B36*100)</f>
        <v>   </v>
      </c>
      <c r="E36" s="41">
        <f>C36-B36</f>
        <v>0</v>
      </c>
    </row>
    <row r="37" spans="1:5" ht="54.75" customHeight="1">
      <c r="A37" s="21" t="s">
        <v>225</v>
      </c>
      <c r="B37" s="36">
        <v>1807900</v>
      </c>
      <c r="C37" s="36">
        <v>0</v>
      </c>
      <c r="D37" s="40">
        <f>IF(B37=0,"   ",C37/B37*100)</f>
        <v>0</v>
      </c>
      <c r="E37" s="41">
        <f>C37-B37</f>
        <v>-1807900</v>
      </c>
    </row>
    <row r="38" spans="1:5" ht="17.25" customHeight="1">
      <c r="A38" s="21" t="s">
        <v>55</v>
      </c>
      <c r="B38" s="36">
        <f>B39+B42+B41+B40</f>
        <v>2198160</v>
      </c>
      <c r="C38" s="36">
        <f>C39+C42+C41+C40</f>
        <v>359996.4</v>
      </c>
      <c r="D38" s="40">
        <f t="shared" si="0"/>
        <v>16.377169996724533</v>
      </c>
      <c r="E38" s="41">
        <f t="shared" si="1"/>
        <v>-1838163.6</v>
      </c>
    </row>
    <row r="39" spans="1:5" s="6" customFormat="1" ht="14.25" customHeight="1">
      <c r="A39" s="21" t="s">
        <v>104</v>
      </c>
      <c r="B39" s="36">
        <v>656200</v>
      </c>
      <c r="C39" s="36">
        <v>359996.4</v>
      </c>
      <c r="D39" s="36">
        <f t="shared" si="0"/>
        <v>54.86077415422128</v>
      </c>
      <c r="E39" s="41">
        <f t="shared" si="1"/>
        <v>-296203.6</v>
      </c>
    </row>
    <row r="40" spans="1:5" s="6" customFormat="1" ht="14.25" customHeight="1">
      <c r="A40" s="21" t="s">
        <v>290</v>
      </c>
      <c r="B40" s="36">
        <v>282200</v>
      </c>
      <c r="C40" s="36">
        <v>0</v>
      </c>
      <c r="D40" s="36">
        <f t="shared" si="0"/>
        <v>0</v>
      </c>
      <c r="E40" s="41">
        <f t="shared" si="1"/>
        <v>-282200</v>
      </c>
    </row>
    <row r="41" spans="1:5" s="6" customFormat="1" ht="14.25" customHeight="1">
      <c r="A41" s="21" t="s">
        <v>267</v>
      </c>
      <c r="B41" s="36">
        <v>1259760</v>
      </c>
      <c r="C41" s="36">
        <v>0</v>
      </c>
      <c r="D41" s="36">
        <f t="shared" si="0"/>
        <v>0</v>
      </c>
      <c r="E41" s="41">
        <f t="shared" si="1"/>
        <v>-1259760</v>
      </c>
    </row>
    <row r="42" spans="1:5" s="6" customFormat="1" ht="25.5" customHeight="1">
      <c r="A42" s="21" t="s">
        <v>178</v>
      </c>
      <c r="B42" s="36">
        <v>0</v>
      </c>
      <c r="C42" s="36">
        <v>0</v>
      </c>
      <c r="D42" s="36" t="str">
        <f t="shared" si="0"/>
        <v>   </v>
      </c>
      <c r="E42" s="41">
        <f t="shared" si="1"/>
        <v>0</v>
      </c>
    </row>
    <row r="43" spans="1:5" ht="39" customHeight="1">
      <c r="A43" s="21" t="s">
        <v>98</v>
      </c>
      <c r="B43" s="36">
        <v>0</v>
      </c>
      <c r="C43" s="86">
        <v>0</v>
      </c>
      <c r="D43" s="40" t="str">
        <f t="shared" si="0"/>
        <v>   </v>
      </c>
      <c r="E43" s="41">
        <f t="shared" si="1"/>
        <v>0</v>
      </c>
    </row>
    <row r="44" spans="1:5" ht="29.25" customHeight="1">
      <c r="A44" s="21" t="s">
        <v>323</v>
      </c>
      <c r="B44" s="36">
        <v>0</v>
      </c>
      <c r="C44" s="86">
        <v>0</v>
      </c>
      <c r="D44" s="40" t="str">
        <f t="shared" si="0"/>
        <v>   </v>
      </c>
      <c r="E44" s="41">
        <f t="shared" si="1"/>
        <v>0</v>
      </c>
    </row>
    <row r="45" spans="1:5" ht="29.25" customHeight="1">
      <c r="A45" s="21" t="s">
        <v>330</v>
      </c>
      <c r="B45" s="36">
        <v>0</v>
      </c>
      <c r="C45" s="86">
        <v>0</v>
      </c>
      <c r="D45" s="40" t="str">
        <f t="shared" si="0"/>
        <v>   </v>
      </c>
      <c r="E45" s="41">
        <f t="shared" si="1"/>
        <v>0</v>
      </c>
    </row>
    <row r="46" spans="1:5" ht="15.75" customHeight="1">
      <c r="A46" s="21" t="s">
        <v>188</v>
      </c>
      <c r="B46" s="36">
        <v>0</v>
      </c>
      <c r="C46" s="36">
        <v>0</v>
      </c>
      <c r="D46" s="40" t="str">
        <f t="shared" si="0"/>
        <v>   </v>
      </c>
      <c r="E46" s="41">
        <f t="shared" si="1"/>
        <v>0</v>
      </c>
    </row>
    <row r="47" spans="1:5" ht="27" customHeight="1">
      <c r="A47" s="44" t="s">
        <v>11</v>
      </c>
      <c r="B47" s="116">
        <f>SUM(B29,B30,)</f>
        <v>10312560</v>
      </c>
      <c r="C47" s="116">
        <f>SUM(C29,C30,)</f>
        <v>1838673.0099999998</v>
      </c>
      <c r="D47" s="46">
        <f t="shared" si="0"/>
        <v>17.829452725608384</v>
      </c>
      <c r="E47" s="47">
        <f t="shared" si="1"/>
        <v>-8473886.99</v>
      </c>
    </row>
    <row r="48" spans="1:5" ht="20.25" customHeight="1">
      <c r="A48" s="44"/>
      <c r="B48" s="143"/>
      <c r="C48" s="36"/>
      <c r="D48" s="40" t="str">
        <f t="shared" si="0"/>
        <v>   </v>
      </c>
      <c r="E48" s="41">
        <f t="shared" si="1"/>
        <v>0</v>
      </c>
    </row>
    <row r="49" spans="1:5" ht="14.25">
      <c r="A49" s="56" t="s">
        <v>12</v>
      </c>
      <c r="B49" s="116"/>
      <c r="C49" s="99"/>
      <c r="D49" s="40" t="str">
        <f t="shared" si="0"/>
        <v>   </v>
      </c>
      <c r="E49" s="41">
        <f t="shared" si="1"/>
        <v>0</v>
      </c>
    </row>
    <row r="50" spans="1:5" ht="19.5" customHeight="1">
      <c r="A50" s="21" t="s">
        <v>35</v>
      </c>
      <c r="B50" s="36">
        <f>SUM(B51,B55,B56)</f>
        <v>1393100</v>
      </c>
      <c r="C50" s="36">
        <f>SUM(C51,C55,C56)</f>
        <v>209930.17</v>
      </c>
      <c r="D50" s="40">
        <f t="shared" si="0"/>
        <v>15.069282176441032</v>
      </c>
      <c r="E50" s="41">
        <f t="shared" si="1"/>
        <v>-1183169.83</v>
      </c>
    </row>
    <row r="51" spans="1:5" ht="13.5" customHeight="1">
      <c r="A51" s="21" t="s">
        <v>36</v>
      </c>
      <c r="B51" s="36">
        <v>1382600</v>
      </c>
      <c r="C51" s="36">
        <v>209930.17</v>
      </c>
      <c r="D51" s="40">
        <f t="shared" si="0"/>
        <v>15.18372414291914</v>
      </c>
      <c r="E51" s="41">
        <f t="shared" si="1"/>
        <v>-1172669.83</v>
      </c>
    </row>
    <row r="52" spans="1:5" ht="13.5">
      <c r="A52" s="21" t="s">
        <v>116</v>
      </c>
      <c r="B52" s="36">
        <v>915438</v>
      </c>
      <c r="C52" s="99">
        <v>125542</v>
      </c>
      <c r="D52" s="40">
        <f t="shared" si="0"/>
        <v>13.713872485083641</v>
      </c>
      <c r="E52" s="41">
        <f t="shared" si="1"/>
        <v>-789896</v>
      </c>
    </row>
    <row r="53" spans="1:5" ht="13.5">
      <c r="A53" s="21" t="s">
        <v>324</v>
      </c>
      <c r="B53" s="36">
        <v>0</v>
      </c>
      <c r="C53" s="99">
        <v>0</v>
      </c>
      <c r="D53" s="40" t="str">
        <f>IF(B53=0,"   ",C53/B53*100)</f>
        <v>   </v>
      </c>
      <c r="E53" s="41">
        <f>C53-B53</f>
        <v>0</v>
      </c>
    </row>
    <row r="54" spans="1:5" ht="13.5">
      <c r="A54" s="21" t="s">
        <v>329</v>
      </c>
      <c r="B54" s="36">
        <v>0</v>
      </c>
      <c r="C54" s="99">
        <v>0</v>
      </c>
      <c r="D54" s="40" t="str">
        <f>IF(B54=0,"   ",C54/B54*100)</f>
        <v>   </v>
      </c>
      <c r="E54" s="41">
        <f>C54-B54</f>
        <v>0</v>
      </c>
    </row>
    <row r="55" spans="1:5" ht="13.5">
      <c r="A55" s="21" t="s">
        <v>91</v>
      </c>
      <c r="B55" s="36">
        <v>500</v>
      </c>
      <c r="C55" s="107">
        <v>0</v>
      </c>
      <c r="D55" s="40">
        <f t="shared" si="0"/>
        <v>0</v>
      </c>
      <c r="E55" s="41">
        <f t="shared" si="1"/>
        <v>-500</v>
      </c>
    </row>
    <row r="56" spans="1:5" ht="13.5">
      <c r="A56" s="21" t="s">
        <v>52</v>
      </c>
      <c r="B56" s="107">
        <f>SUM(B57+B58)</f>
        <v>10000</v>
      </c>
      <c r="C56" s="107">
        <f>SUM(C57+C58)</f>
        <v>0</v>
      </c>
      <c r="D56" s="40">
        <f>IF(B56=0,"   ",C56/B56*100)</f>
        <v>0</v>
      </c>
      <c r="E56" s="41">
        <f>C56-B56</f>
        <v>-10000</v>
      </c>
    </row>
    <row r="57" spans="1:5" ht="27">
      <c r="A57" s="17" t="s">
        <v>233</v>
      </c>
      <c r="B57" s="36">
        <v>10000</v>
      </c>
      <c r="C57" s="107">
        <v>0</v>
      </c>
      <c r="D57" s="40">
        <f>IF(B57=0,"   ",C57/B57*100)</f>
        <v>0</v>
      </c>
      <c r="E57" s="41">
        <f>C57-B57</f>
        <v>-10000</v>
      </c>
    </row>
    <row r="58" spans="1:5" ht="13.5">
      <c r="A58" s="17" t="s">
        <v>243</v>
      </c>
      <c r="B58" s="36">
        <v>0</v>
      </c>
      <c r="C58" s="107">
        <v>0</v>
      </c>
      <c r="D58" s="40" t="str">
        <f>IF(B58=0,"   ",C58/B58*100)</f>
        <v>   </v>
      </c>
      <c r="E58" s="41">
        <f>C58-B58</f>
        <v>0</v>
      </c>
    </row>
    <row r="59" spans="1:5" ht="18.75" customHeight="1">
      <c r="A59" s="21" t="s">
        <v>49</v>
      </c>
      <c r="B59" s="107">
        <f>SUM(B60)</f>
        <v>94400</v>
      </c>
      <c r="C59" s="107">
        <f>SUM(C60)</f>
        <v>20900.78</v>
      </c>
      <c r="D59" s="40">
        <f t="shared" si="0"/>
        <v>22.140656779661015</v>
      </c>
      <c r="E59" s="41">
        <f t="shared" si="1"/>
        <v>-73499.22</v>
      </c>
    </row>
    <row r="60" spans="1:5" ht="13.5" customHeight="1">
      <c r="A60" s="21" t="s">
        <v>102</v>
      </c>
      <c r="B60" s="36">
        <v>94400</v>
      </c>
      <c r="C60" s="107">
        <v>20900.78</v>
      </c>
      <c r="D60" s="40">
        <f t="shared" si="0"/>
        <v>22.140656779661015</v>
      </c>
      <c r="E60" s="41">
        <f t="shared" si="1"/>
        <v>-73499.22</v>
      </c>
    </row>
    <row r="61" spans="1:5" ht="17.25" customHeight="1">
      <c r="A61" s="21" t="s">
        <v>37</v>
      </c>
      <c r="B61" s="36">
        <f>SUM(B62)</f>
        <v>5000</v>
      </c>
      <c r="C61" s="36">
        <f>SUM(C62)</f>
        <v>0</v>
      </c>
      <c r="D61" s="40">
        <f t="shared" si="0"/>
        <v>0</v>
      </c>
      <c r="E61" s="41">
        <f t="shared" si="1"/>
        <v>-5000</v>
      </c>
    </row>
    <row r="62" spans="1:5" ht="15" customHeight="1">
      <c r="A62" s="60" t="s">
        <v>315</v>
      </c>
      <c r="B62" s="36">
        <v>5000</v>
      </c>
      <c r="C62" s="107">
        <v>0</v>
      </c>
      <c r="D62" s="40">
        <f t="shared" si="0"/>
        <v>0</v>
      </c>
      <c r="E62" s="41">
        <f t="shared" si="1"/>
        <v>-5000</v>
      </c>
    </row>
    <row r="63" spans="1:5" ht="15.75" customHeight="1">
      <c r="A63" s="21" t="s">
        <v>38</v>
      </c>
      <c r="B63" s="36">
        <f>B69+B64+B77</f>
        <v>4018300</v>
      </c>
      <c r="C63" s="36">
        <f>C69+C64+C77</f>
        <v>416376.4</v>
      </c>
      <c r="D63" s="40">
        <f t="shared" si="0"/>
        <v>10.362003832466467</v>
      </c>
      <c r="E63" s="41">
        <f t="shared" si="1"/>
        <v>-3601923.6</v>
      </c>
    </row>
    <row r="64" spans="1:5" ht="15.75" customHeight="1">
      <c r="A64" s="60" t="s">
        <v>156</v>
      </c>
      <c r="B64" s="36">
        <f>SUM(B65:B68)</f>
        <v>300300</v>
      </c>
      <c r="C64" s="36">
        <f>SUM(C65:C68)</f>
        <v>0</v>
      </c>
      <c r="D64" s="40">
        <f>IF(B64=0,"   ",C64/B64*100)</f>
        <v>0</v>
      </c>
      <c r="E64" s="41">
        <f>C64-B64</f>
        <v>-300300</v>
      </c>
    </row>
    <row r="65" spans="1:5" ht="15.75" customHeight="1">
      <c r="A65" s="60" t="s">
        <v>157</v>
      </c>
      <c r="B65" s="36">
        <v>0</v>
      </c>
      <c r="C65" s="36">
        <v>0</v>
      </c>
      <c r="D65" s="40" t="str">
        <f>IF(B65=0,"   ",C65/B65*100)</f>
        <v>   </v>
      </c>
      <c r="E65" s="41">
        <f>C65-B65</f>
        <v>0</v>
      </c>
    </row>
    <row r="66" spans="1:5" ht="15.75" customHeight="1">
      <c r="A66" s="60" t="s">
        <v>179</v>
      </c>
      <c r="B66" s="36">
        <v>0</v>
      </c>
      <c r="C66" s="36">
        <v>0</v>
      </c>
      <c r="D66" s="40" t="str">
        <f>IF(B66=0,"   ",C66/B66*100)</f>
        <v>   </v>
      </c>
      <c r="E66" s="41">
        <f>C66-B66</f>
        <v>0</v>
      </c>
    </row>
    <row r="67" spans="1:5" ht="15.75" customHeight="1">
      <c r="A67" s="60" t="s">
        <v>291</v>
      </c>
      <c r="B67" s="36">
        <v>282200</v>
      </c>
      <c r="C67" s="36">
        <v>0</v>
      </c>
      <c r="D67" s="40">
        <f>IF(B67=0,"   ",C67/B67*100)</f>
        <v>0</v>
      </c>
      <c r="E67" s="41">
        <f>C67-B67</f>
        <v>-282200</v>
      </c>
    </row>
    <row r="68" spans="1:5" ht="15.75" customHeight="1">
      <c r="A68" s="60" t="s">
        <v>292</v>
      </c>
      <c r="B68" s="36">
        <v>18100</v>
      </c>
      <c r="C68" s="36">
        <v>0</v>
      </c>
      <c r="D68" s="40">
        <f>IF(B68=0,"   ",C68/B68*100)</f>
        <v>0</v>
      </c>
      <c r="E68" s="41">
        <f>C68-B68</f>
        <v>-18100</v>
      </c>
    </row>
    <row r="69" spans="1:5" ht="13.5">
      <c r="A69" s="68" t="s">
        <v>124</v>
      </c>
      <c r="B69" s="36">
        <f>SUM(B70:B76)</f>
        <v>3668000</v>
      </c>
      <c r="C69" s="36">
        <f>SUM(C70:C76)</f>
        <v>416376.4</v>
      </c>
      <c r="D69" s="40">
        <f t="shared" si="0"/>
        <v>11.351592148309706</v>
      </c>
      <c r="E69" s="41">
        <f t="shared" si="1"/>
        <v>-3251623.6</v>
      </c>
    </row>
    <row r="70" spans="1:5" ht="21.75" customHeight="1">
      <c r="A70" s="60" t="s">
        <v>140</v>
      </c>
      <c r="B70" s="36">
        <v>0</v>
      </c>
      <c r="C70" s="36">
        <v>0</v>
      </c>
      <c r="D70" s="40" t="str">
        <f t="shared" si="0"/>
        <v>   </v>
      </c>
      <c r="E70" s="41">
        <f t="shared" si="1"/>
        <v>0</v>
      </c>
    </row>
    <row r="71" spans="1:5" ht="30.75" customHeight="1">
      <c r="A71" s="17" t="s">
        <v>236</v>
      </c>
      <c r="B71" s="36">
        <v>830000</v>
      </c>
      <c r="C71" s="36">
        <v>0</v>
      </c>
      <c r="D71" s="40">
        <f t="shared" si="0"/>
        <v>0</v>
      </c>
      <c r="E71" s="41">
        <f t="shared" si="1"/>
        <v>-830000</v>
      </c>
    </row>
    <row r="72" spans="1:5" ht="30" customHeight="1">
      <c r="A72" s="17" t="s">
        <v>237</v>
      </c>
      <c r="B72" s="36">
        <v>100000</v>
      </c>
      <c r="C72" s="36">
        <v>0</v>
      </c>
      <c r="D72" s="40">
        <f t="shared" si="0"/>
        <v>0</v>
      </c>
      <c r="E72" s="41">
        <f t="shared" si="1"/>
        <v>-100000</v>
      </c>
    </row>
    <row r="73" spans="1:5" ht="26.25" customHeight="1">
      <c r="A73" s="17" t="s">
        <v>238</v>
      </c>
      <c r="B73" s="36">
        <v>1807900</v>
      </c>
      <c r="C73" s="36">
        <v>0</v>
      </c>
      <c r="D73" s="40">
        <f t="shared" si="0"/>
        <v>0</v>
      </c>
      <c r="E73" s="41">
        <f t="shared" si="1"/>
        <v>-1807900</v>
      </c>
    </row>
    <row r="74" spans="1:5" ht="27" customHeight="1">
      <c r="A74" s="17" t="s">
        <v>239</v>
      </c>
      <c r="B74" s="36">
        <v>200900</v>
      </c>
      <c r="C74" s="36">
        <v>0</v>
      </c>
      <c r="D74" s="40">
        <f t="shared" si="0"/>
        <v>0</v>
      </c>
      <c r="E74" s="41">
        <f t="shared" si="1"/>
        <v>-200900</v>
      </c>
    </row>
    <row r="75" spans="1:5" ht="24" customHeight="1">
      <c r="A75" s="17" t="s">
        <v>240</v>
      </c>
      <c r="B75" s="36">
        <v>656200</v>
      </c>
      <c r="C75" s="36">
        <v>359996.4</v>
      </c>
      <c r="D75" s="40">
        <f>IF(B75=0,"   ",C75/B75*100)</f>
        <v>54.86077415422128</v>
      </c>
      <c r="E75" s="41">
        <f>C75-B75</f>
        <v>-296203.6</v>
      </c>
    </row>
    <row r="76" spans="1:5" ht="31.5" customHeight="1">
      <c r="A76" s="17" t="s">
        <v>241</v>
      </c>
      <c r="B76" s="36">
        <v>73000</v>
      </c>
      <c r="C76" s="36">
        <v>56380</v>
      </c>
      <c r="D76" s="40">
        <f t="shared" si="0"/>
        <v>77.23287671232877</v>
      </c>
      <c r="E76" s="41">
        <f t="shared" si="1"/>
        <v>-16620</v>
      </c>
    </row>
    <row r="77" spans="1:5" ht="23.25" customHeight="1">
      <c r="A77" s="68" t="s">
        <v>167</v>
      </c>
      <c r="B77" s="36">
        <f>SUM(B79+B78)</f>
        <v>50000</v>
      </c>
      <c r="C77" s="36">
        <f>SUM(C79+C78)</f>
        <v>0</v>
      </c>
      <c r="D77" s="40">
        <f>IF(B77=0,"   ",C77/B77*100)</f>
        <v>0</v>
      </c>
      <c r="E77" s="41">
        <f>C77-B77</f>
        <v>-50000</v>
      </c>
    </row>
    <row r="78" spans="1:5" ht="23.25" customHeight="1">
      <c r="A78" s="17" t="s">
        <v>146</v>
      </c>
      <c r="B78" s="36">
        <v>10000</v>
      </c>
      <c r="C78" s="36">
        <v>0</v>
      </c>
      <c r="D78" s="40">
        <f>IF(B78=0,"   ",C78/B78*100)</f>
        <v>0</v>
      </c>
      <c r="E78" s="41">
        <f>C78-B78</f>
        <v>-10000</v>
      </c>
    </row>
    <row r="79" spans="1:5" ht="23.25" customHeight="1">
      <c r="A79" s="60" t="s">
        <v>168</v>
      </c>
      <c r="B79" s="36">
        <v>40000</v>
      </c>
      <c r="C79" s="36">
        <v>0</v>
      </c>
      <c r="D79" s="40">
        <f>IF(B79=0,"   ",C79/B79*100)</f>
        <v>0</v>
      </c>
      <c r="E79" s="41">
        <f>C79-B79</f>
        <v>-40000</v>
      </c>
    </row>
    <row r="80" spans="1:5" ht="17.25" customHeight="1">
      <c r="A80" s="21" t="s">
        <v>13</v>
      </c>
      <c r="B80" s="36">
        <f>SUM(B92,B81+B101)</f>
        <v>1889360</v>
      </c>
      <c r="C80" s="36">
        <f>SUM(C92,C81+C101)</f>
        <v>74303.84</v>
      </c>
      <c r="D80" s="40">
        <f t="shared" si="0"/>
        <v>3.932751831307956</v>
      </c>
      <c r="E80" s="41">
        <f t="shared" si="1"/>
        <v>-1815056.16</v>
      </c>
    </row>
    <row r="81" spans="1:5" ht="15.75" customHeight="1">
      <c r="A81" s="21" t="s">
        <v>87</v>
      </c>
      <c r="B81" s="36">
        <f>SUM(B82+B83+B86+B87+B88+B84+B85)</f>
        <v>1479760</v>
      </c>
      <c r="C81" s="36">
        <f>SUM(C82+C83+C86+C87+C88+C84+C85)</f>
        <v>0</v>
      </c>
      <c r="D81" s="40">
        <f t="shared" si="0"/>
        <v>0</v>
      </c>
      <c r="E81" s="41">
        <f t="shared" si="1"/>
        <v>-1479760</v>
      </c>
    </row>
    <row r="82" spans="1:5" ht="15.75" customHeight="1">
      <c r="A82" s="38" t="s">
        <v>263</v>
      </c>
      <c r="B82" s="36">
        <v>0</v>
      </c>
      <c r="C82" s="36"/>
      <c r="D82" s="40" t="str">
        <f aca="true" t="shared" si="2" ref="D82:D88">IF(B82=0,"   ",C82/B82*100)</f>
        <v>   </v>
      </c>
      <c r="E82" s="41">
        <f aca="true" t="shared" si="3" ref="E82:E88">C82-B82</f>
        <v>0</v>
      </c>
    </row>
    <row r="83" spans="1:5" ht="36.75" customHeight="1">
      <c r="A83" s="21" t="s">
        <v>185</v>
      </c>
      <c r="B83" s="36">
        <v>20000</v>
      </c>
      <c r="C83" s="36">
        <v>0</v>
      </c>
      <c r="D83" s="40">
        <f t="shared" si="2"/>
        <v>0</v>
      </c>
      <c r="E83" s="41">
        <f t="shared" si="3"/>
        <v>-20000</v>
      </c>
    </row>
    <row r="84" spans="1:5" ht="15.75" customHeight="1">
      <c r="A84" s="21" t="s">
        <v>270</v>
      </c>
      <c r="B84" s="36">
        <v>1259760</v>
      </c>
      <c r="C84" s="36">
        <v>0</v>
      </c>
      <c r="D84" s="40">
        <f t="shared" si="2"/>
        <v>0</v>
      </c>
      <c r="E84" s="41">
        <f t="shared" si="3"/>
        <v>-1259760</v>
      </c>
    </row>
    <row r="85" spans="1:5" ht="15.75" customHeight="1">
      <c r="A85" s="21" t="s">
        <v>278</v>
      </c>
      <c r="B85" s="36">
        <v>0</v>
      </c>
      <c r="C85" s="36">
        <v>0</v>
      </c>
      <c r="D85" s="40" t="str">
        <f t="shared" si="2"/>
        <v>   </v>
      </c>
      <c r="E85" s="41">
        <f t="shared" si="3"/>
        <v>0</v>
      </c>
    </row>
    <row r="86" spans="1:5" ht="15.75" customHeight="1">
      <c r="A86" s="21" t="s">
        <v>316</v>
      </c>
      <c r="B86" s="36">
        <v>200000</v>
      </c>
      <c r="C86" s="36"/>
      <c r="D86" s="40">
        <f t="shared" si="2"/>
        <v>0</v>
      </c>
      <c r="E86" s="41">
        <f t="shared" si="3"/>
        <v>-200000</v>
      </c>
    </row>
    <row r="87" spans="1:5" ht="15.75" customHeight="1">
      <c r="A87" s="21" t="s">
        <v>329</v>
      </c>
      <c r="B87" s="36">
        <v>0</v>
      </c>
      <c r="C87" s="36"/>
      <c r="D87" s="40" t="str">
        <f t="shared" si="2"/>
        <v>   </v>
      </c>
      <c r="E87" s="41">
        <f t="shared" si="3"/>
        <v>0</v>
      </c>
    </row>
    <row r="88" spans="1:5" ht="15.75" customHeight="1">
      <c r="A88" s="17" t="s">
        <v>195</v>
      </c>
      <c r="B88" s="36">
        <f>B90+B89+B91</f>
        <v>0</v>
      </c>
      <c r="C88" s="36">
        <f>C90+C89+C91</f>
        <v>0</v>
      </c>
      <c r="D88" s="40" t="str">
        <f t="shared" si="2"/>
        <v>   </v>
      </c>
      <c r="E88" s="41">
        <f t="shared" si="3"/>
        <v>0</v>
      </c>
    </row>
    <row r="89" spans="1:5" ht="27.75" customHeight="1">
      <c r="A89" s="17" t="s">
        <v>177</v>
      </c>
      <c r="B89" s="36">
        <v>0</v>
      </c>
      <c r="C89" s="36">
        <v>0</v>
      </c>
      <c r="D89" s="40" t="str">
        <f t="shared" si="0"/>
        <v>   </v>
      </c>
      <c r="E89" s="41">
        <f t="shared" si="1"/>
        <v>0</v>
      </c>
    </row>
    <row r="90" spans="1:5" ht="27.75" customHeight="1">
      <c r="A90" s="17" t="s">
        <v>189</v>
      </c>
      <c r="B90" s="36">
        <v>0</v>
      </c>
      <c r="C90" s="36">
        <v>0</v>
      </c>
      <c r="D90" s="40" t="str">
        <f t="shared" si="0"/>
        <v>   </v>
      </c>
      <c r="E90" s="41">
        <f t="shared" si="1"/>
        <v>0</v>
      </c>
    </row>
    <row r="91" spans="1:5" ht="27.75" customHeight="1">
      <c r="A91" s="17" t="s">
        <v>201</v>
      </c>
      <c r="B91" s="36">
        <v>0</v>
      </c>
      <c r="C91" s="36">
        <v>0</v>
      </c>
      <c r="D91" s="40" t="str">
        <f t="shared" si="0"/>
        <v>   </v>
      </c>
      <c r="E91" s="41">
        <f t="shared" si="1"/>
        <v>0</v>
      </c>
    </row>
    <row r="92" spans="1:5" ht="13.5">
      <c r="A92" s="21" t="s">
        <v>58</v>
      </c>
      <c r="B92" s="36">
        <f>B93+B94+B95+B96+B100</f>
        <v>409400</v>
      </c>
      <c r="C92" s="36">
        <f>C93+C94+C95+C96+C100</f>
        <v>74303.84</v>
      </c>
      <c r="D92" s="40">
        <f t="shared" si="0"/>
        <v>18.14944797264289</v>
      </c>
      <c r="E92" s="41">
        <f t="shared" si="1"/>
        <v>-335096.16000000003</v>
      </c>
    </row>
    <row r="93" spans="1:5" ht="13.5">
      <c r="A93" s="21" t="s">
        <v>56</v>
      </c>
      <c r="B93" s="36">
        <v>360000</v>
      </c>
      <c r="C93" s="36">
        <v>74303.84</v>
      </c>
      <c r="D93" s="40">
        <f t="shared" si="0"/>
        <v>20.639955555555556</v>
      </c>
      <c r="E93" s="41">
        <f t="shared" si="1"/>
        <v>-285696.16000000003</v>
      </c>
    </row>
    <row r="94" spans="1:5" ht="13.5">
      <c r="A94" s="21" t="s">
        <v>59</v>
      </c>
      <c r="B94" s="36">
        <v>49400</v>
      </c>
      <c r="C94" s="107">
        <v>0</v>
      </c>
      <c r="D94" s="40">
        <f t="shared" si="0"/>
        <v>0</v>
      </c>
      <c r="E94" s="41">
        <f t="shared" si="1"/>
        <v>-49400</v>
      </c>
    </row>
    <row r="95" spans="1:5" ht="13.5">
      <c r="A95" s="21" t="s">
        <v>329</v>
      </c>
      <c r="B95" s="36">
        <v>0</v>
      </c>
      <c r="C95" s="107">
        <v>0</v>
      </c>
      <c r="D95" s="40" t="str">
        <f>IF(B95=0,"   ",C95/B95*100)</f>
        <v>   </v>
      </c>
      <c r="E95" s="41">
        <f>C95-B95</f>
        <v>0</v>
      </c>
    </row>
    <row r="96" spans="1:5" ht="13.5">
      <c r="A96" s="17" t="s">
        <v>195</v>
      </c>
      <c r="B96" s="36">
        <f>B98+B97+B99</f>
        <v>0</v>
      </c>
      <c r="C96" s="36">
        <f>C98+C97+C99</f>
        <v>0</v>
      </c>
      <c r="D96" s="40" t="str">
        <f>IF(B96=0,"   ",C96/B96*100)</f>
        <v>   </v>
      </c>
      <c r="E96" s="41">
        <f>C96-B96</f>
        <v>0</v>
      </c>
    </row>
    <row r="97" spans="1:5" ht="27">
      <c r="A97" s="17" t="s">
        <v>177</v>
      </c>
      <c r="B97" s="36">
        <v>0</v>
      </c>
      <c r="C97" s="107">
        <v>0</v>
      </c>
      <c r="D97" s="40" t="str">
        <f>IF(B97=0,"   ",C97/B97*100)</f>
        <v>   </v>
      </c>
      <c r="E97" s="41">
        <f>C97-B97</f>
        <v>0</v>
      </c>
    </row>
    <row r="98" spans="1:5" ht="27">
      <c r="A98" s="17" t="s">
        <v>189</v>
      </c>
      <c r="B98" s="36">
        <v>0</v>
      </c>
      <c r="C98" s="107">
        <v>0</v>
      </c>
      <c r="D98" s="40" t="str">
        <f>IF(B98=0,"   ",C98/B98*100)</f>
        <v>   </v>
      </c>
      <c r="E98" s="41">
        <f>C98-B98</f>
        <v>0</v>
      </c>
    </row>
    <row r="99" spans="1:5" ht="27">
      <c r="A99" s="17" t="s">
        <v>201</v>
      </c>
      <c r="B99" s="36">
        <v>0</v>
      </c>
      <c r="C99" s="107">
        <v>0</v>
      </c>
      <c r="D99" s="40" t="str">
        <f>IF(B99=0,"   ",C99/B99*100)</f>
        <v>   </v>
      </c>
      <c r="E99" s="41">
        <f>C99-B99</f>
        <v>0</v>
      </c>
    </row>
    <row r="100" spans="1:5" ht="27" customHeight="1" thickBot="1">
      <c r="A100" s="17" t="s">
        <v>271</v>
      </c>
      <c r="B100" s="36">
        <v>0</v>
      </c>
      <c r="C100" s="107">
        <v>0</v>
      </c>
      <c r="D100" s="40" t="str">
        <f t="shared" si="0"/>
        <v>   </v>
      </c>
      <c r="E100" s="41">
        <f t="shared" si="1"/>
        <v>0</v>
      </c>
    </row>
    <row r="101" spans="1:5" ht="15.75" customHeight="1" thickBot="1">
      <c r="A101" s="62" t="s">
        <v>302</v>
      </c>
      <c r="B101" s="111">
        <f>SUM(B102)</f>
        <v>200</v>
      </c>
      <c r="C101" s="111">
        <f>SUM(C102)</f>
        <v>0</v>
      </c>
      <c r="D101" s="40">
        <f>IF(B101=0,"   ",C101/B101*100)</f>
        <v>0</v>
      </c>
      <c r="E101" s="41">
        <f>C101-B101</f>
        <v>-200</v>
      </c>
    </row>
    <row r="102" spans="1:5" ht="15" customHeight="1">
      <c r="A102" s="62" t="s">
        <v>259</v>
      </c>
      <c r="B102" s="36">
        <v>200</v>
      </c>
      <c r="C102" s="99">
        <v>0</v>
      </c>
      <c r="D102" s="40">
        <f>IF(B102=0,"   ",C102/B102*100)</f>
        <v>0</v>
      </c>
      <c r="E102" s="41">
        <f>C102-B102</f>
        <v>-200</v>
      </c>
    </row>
    <row r="103" spans="1:5" ht="12.75" customHeight="1">
      <c r="A103" s="21" t="s">
        <v>17</v>
      </c>
      <c r="B103" s="36">
        <v>8000</v>
      </c>
      <c r="C103" s="36">
        <v>0</v>
      </c>
      <c r="D103" s="40">
        <f t="shared" si="0"/>
        <v>0</v>
      </c>
      <c r="E103" s="41">
        <f t="shared" si="1"/>
        <v>-8000</v>
      </c>
    </row>
    <row r="104" spans="1:5" ht="19.5" customHeight="1">
      <c r="A104" s="21" t="s">
        <v>41</v>
      </c>
      <c r="B104" s="143">
        <f>B105</f>
        <v>2884400</v>
      </c>
      <c r="C104" s="143">
        <f>C105</f>
        <v>916320</v>
      </c>
      <c r="D104" s="40">
        <f t="shared" si="0"/>
        <v>31.7681320205242</v>
      </c>
      <c r="E104" s="41">
        <f t="shared" si="1"/>
        <v>-1968080</v>
      </c>
    </row>
    <row r="105" spans="1:5" ht="15" customHeight="1">
      <c r="A105" s="21" t="s">
        <v>42</v>
      </c>
      <c r="B105" s="36">
        <v>2884400</v>
      </c>
      <c r="C105" s="107">
        <v>916320</v>
      </c>
      <c r="D105" s="40">
        <f t="shared" si="0"/>
        <v>31.7681320205242</v>
      </c>
      <c r="E105" s="41">
        <f t="shared" si="1"/>
        <v>-1968080</v>
      </c>
    </row>
    <row r="106" spans="1:5" ht="14.25" customHeight="1">
      <c r="A106" s="21" t="s">
        <v>119</v>
      </c>
      <c r="B106" s="36">
        <f>SUM(B107,)</f>
        <v>20000</v>
      </c>
      <c r="C106" s="36">
        <f>SUM(C107,)</f>
        <v>0</v>
      </c>
      <c r="D106" s="40">
        <f t="shared" si="0"/>
        <v>0</v>
      </c>
      <c r="E106" s="41">
        <f t="shared" si="1"/>
        <v>-20000</v>
      </c>
    </row>
    <row r="107" spans="1:5" ht="13.5">
      <c r="A107" s="21" t="s">
        <v>43</v>
      </c>
      <c r="B107" s="36">
        <v>20000</v>
      </c>
      <c r="C107" s="99">
        <v>0</v>
      </c>
      <c r="D107" s="40">
        <f t="shared" si="0"/>
        <v>0</v>
      </c>
      <c r="E107" s="41">
        <f t="shared" si="1"/>
        <v>-20000</v>
      </c>
    </row>
    <row r="108" spans="1:5" ht="27.75" customHeight="1">
      <c r="A108" s="44" t="s">
        <v>15</v>
      </c>
      <c r="B108" s="116">
        <f>SUM(B50,B59,B61,B63,B80,B103,B104,B106,)</f>
        <v>10312560</v>
      </c>
      <c r="C108" s="116">
        <f>SUM(C50,C59,C61,C63,C80,C103,C104,C106,)</f>
        <v>1637831.19</v>
      </c>
      <c r="D108" s="46">
        <f>IF(B108=0,"   ",C108/B108*100)</f>
        <v>15.88190701435919</v>
      </c>
      <c r="E108" s="47">
        <f t="shared" si="1"/>
        <v>-8674728.81</v>
      </c>
    </row>
    <row r="109" spans="1:5" s="13" customFormat="1" ht="31.5" customHeight="1">
      <c r="A109" s="71" t="s">
        <v>288</v>
      </c>
      <c r="B109" s="71"/>
      <c r="C109" s="167"/>
      <c r="D109" s="167"/>
      <c r="E109" s="167"/>
    </row>
    <row r="110" spans="1:5" s="13" customFormat="1" ht="12" customHeight="1">
      <c r="A110" s="71" t="s">
        <v>145</v>
      </c>
      <c r="B110" s="71"/>
      <c r="C110" s="72" t="s">
        <v>289</v>
      </c>
      <c r="D110" s="73"/>
      <c r="E110" s="74"/>
    </row>
    <row r="111" spans="1:5" ht="13.5">
      <c r="A111" s="71"/>
      <c r="B111" s="71"/>
      <c r="C111" s="117"/>
      <c r="D111" s="71"/>
      <c r="E111" s="118"/>
    </row>
    <row r="112" spans="1:5" ht="13.5">
      <c r="A112" s="71"/>
      <c r="B112" s="71"/>
      <c r="C112" s="117"/>
      <c r="D112" s="71"/>
      <c r="E112" s="118"/>
    </row>
    <row r="113" spans="1:5" ht="13.5">
      <c r="A113" s="22"/>
      <c r="B113" s="22"/>
      <c r="C113" s="22"/>
      <c r="D113" s="22"/>
      <c r="E113" s="22"/>
    </row>
    <row r="114" spans="1:5" ht="13.5">
      <c r="A114" s="22"/>
      <c r="B114" s="22"/>
      <c r="C114" s="22"/>
      <c r="D114" s="22"/>
      <c r="E114" s="22"/>
    </row>
    <row r="115" spans="1:5" ht="15">
      <c r="A115" s="75"/>
      <c r="B115" s="75"/>
      <c r="C115" s="75"/>
      <c r="D115" s="75"/>
      <c r="E115" s="75"/>
    </row>
    <row r="116" spans="1:5" ht="15">
      <c r="A116" s="75"/>
      <c r="B116" s="75"/>
      <c r="C116" s="75"/>
      <c r="D116" s="75"/>
      <c r="E116" s="75"/>
    </row>
    <row r="117" spans="1:5" ht="15">
      <c r="A117" s="75"/>
      <c r="B117" s="75"/>
      <c r="C117" s="75"/>
      <c r="D117" s="75"/>
      <c r="E117" s="75"/>
    </row>
    <row r="118" spans="1:5" ht="12.75">
      <c r="A118" s="15"/>
      <c r="B118" s="15"/>
      <c r="C118" s="15"/>
      <c r="D118" s="15"/>
      <c r="E118" s="15"/>
    </row>
  </sheetData>
  <sheetProtection/>
  <mergeCells count="2">
    <mergeCell ref="A1:E1"/>
    <mergeCell ref="C109:E109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5"/>
  <sheetViews>
    <sheetView zoomScalePageLayoutView="0" workbookViewId="0" topLeftCell="A82">
      <selection activeCell="C104" sqref="C104"/>
    </sheetView>
  </sheetViews>
  <sheetFormatPr defaultColWidth="9.00390625" defaultRowHeight="12.75"/>
  <cols>
    <col min="1" max="1" width="119.75390625" style="0" customWidth="1"/>
    <col min="2" max="2" width="17.50390625" style="0" customWidth="1"/>
    <col min="3" max="3" width="17.625" style="0" customWidth="1"/>
    <col min="4" max="4" width="17.125" style="0" customWidth="1"/>
    <col min="5" max="5" width="15.00390625" style="0" customWidth="1"/>
  </cols>
  <sheetData>
    <row r="1" spans="1:5" ht="13.5">
      <c r="A1" s="168" t="s">
        <v>356</v>
      </c>
      <c r="B1" s="168"/>
      <c r="C1" s="168"/>
      <c r="D1" s="168"/>
      <c r="E1" s="168"/>
    </row>
    <row r="2" spans="1:5" ht="13.5">
      <c r="A2" s="22"/>
      <c r="B2" s="22"/>
      <c r="C2" s="148"/>
      <c r="D2" s="148"/>
      <c r="E2" s="148"/>
    </row>
    <row r="3" spans="1:5" ht="14.25" thickBot="1">
      <c r="A3" s="22"/>
      <c r="B3" s="22"/>
      <c r="C3" s="23"/>
      <c r="D3" s="22"/>
      <c r="E3" s="22" t="s">
        <v>0</v>
      </c>
    </row>
    <row r="4" spans="1:5" ht="54.75">
      <c r="A4" s="24" t="s">
        <v>1</v>
      </c>
      <c r="B4" s="25" t="s">
        <v>331</v>
      </c>
      <c r="C4" s="26" t="s">
        <v>357</v>
      </c>
      <c r="D4" s="25" t="s">
        <v>332</v>
      </c>
      <c r="E4" s="27" t="s">
        <v>333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3.5">
      <c r="A7" s="38" t="s">
        <v>45</v>
      </c>
      <c r="B7" s="143">
        <f>SUM(B8)</f>
        <v>59400</v>
      </c>
      <c r="C7" s="143">
        <f>C8</f>
        <v>19464.04</v>
      </c>
      <c r="D7" s="40">
        <f aca="true" t="shared" si="0" ref="D7:D108">IF(B7=0,"   ",C7/B7*100)</f>
        <v>32.76774410774411</v>
      </c>
      <c r="E7" s="41">
        <f aca="true" t="shared" si="1" ref="E7:E109">C7-B7</f>
        <v>-39935.96</v>
      </c>
    </row>
    <row r="8" spans="1:5" ht="13.5">
      <c r="A8" s="21" t="s">
        <v>44</v>
      </c>
      <c r="B8" s="36">
        <v>59400</v>
      </c>
      <c r="C8" s="86">
        <v>19464.04</v>
      </c>
      <c r="D8" s="40">
        <f t="shared" si="0"/>
        <v>32.76774410774411</v>
      </c>
      <c r="E8" s="41">
        <f t="shared" si="1"/>
        <v>-39935.96</v>
      </c>
    </row>
    <row r="9" spans="1:5" ht="13.5">
      <c r="A9" s="38" t="s">
        <v>129</v>
      </c>
      <c r="B9" s="143">
        <f>SUM(B10)</f>
        <v>556500</v>
      </c>
      <c r="C9" s="143">
        <f>SUM(C10)</f>
        <v>147043.86</v>
      </c>
      <c r="D9" s="40">
        <f t="shared" si="0"/>
        <v>26.422975741239892</v>
      </c>
      <c r="E9" s="41">
        <f t="shared" si="1"/>
        <v>-409456.14</v>
      </c>
    </row>
    <row r="10" spans="1:5" ht="13.5">
      <c r="A10" s="21" t="s">
        <v>130</v>
      </c>
      <c r="B10" s="36">
        <v>556500</v>
      </c>
      <c r="C10" s="86">
        <v>147043.86</v>
      </c>
      <c r="D10" s="40">
        <f t="shared" si="0"/>
        <v>26.422975741239892</v>
      </c>
      <c r="E10" s="41">
        <f t="shared" si="1"/>
        <v>-409456.14</v>
      </c>
    </row>
    <row r="11" spans="1:5" ht="13.5" customHeight="1">
      <c r="A11" s="21" t="s">
        <v>7</v>
      </c>
      <c r="B11" s="36">
        <f>SUM(B12:B12)</f>
        <v>184400</v>
      </c>
      <c r="C11" s="36">
        <f>SUM(C12:C12)</f>
        <v>50718.9</v>
      </c>
      <c r="D11" s="40">
        <f t="shared" si="0"/>
        <v>27.504826464208243</v>
      </c>
      <c r="E11" s="41">
        <f t="shared" si="1"/>
        <v>-133681.1</v>
      </c>
    </row>
    <row r="12" spans="1:5" ht="13.5" customHeight="1">
      <c r="A12" s="21" t="s">
        <v>26</v>
      </c>
      <c r="B12" s="36">
        <v>184400</v>
      </c>
      <c r="C12" s="86">
        <v>50718.9</v>
      </c>
      <c r="D12" s="40">
        <f t="shared" si="0"/>
        <v>27.504826464208243</v>
      </c>
      <c r="E12" s="41">
        <f t="shared" si="1"/>
        <v>-133681.1</v>
      </c>
    </row>
    <row r="13" spans="1:5" ht="13.5">
      <c r="A13" s="21" t="s">
        <v>9</v>
      </c>
      <c r="B13" s="36">
        <f>SUM(B14:B15)</f>
        <v>386000</v>
      </c>
      <c r="C13" s="36">
        <f>SUM(C14:C15)</f>
        <v>8325.33</v>
      </c>
      <c r="D13" s="40">
        <f t="shared" si="0"/>
        <v>2.156821243523316</v>
      </c>
      <c r="E13" s="41">
        <f t="shared" si="1"/>
        <v>-377674.67</v>
      </c>
    </row>
    <row r="14" spans="1:5" ht="19.5" customHeight="1">
      <c r="A14" s="21" t="s">
        <v>27</v>
      </c>
      <c r="B14" s="36">
        <v>138000</v>
      </c>
      <c r="C14" s="86">
        <v>1833.04</v>
      </c>
      <c r="D14" s="40">
        <f t="shared" si="0"/>
        <v>1.3282898550724638</v>
      </c>
      <c r="E14" s="41">
        <f t="shared" si="1"/>
        <v>-136166.96</v>
      </c>
    </row>
    <row r="15" spans="1:5" ht="18.75" customHeight="1">
      <c r="A15" s="21" t="s">
        <v>151</v>
      </c>
      <c r="B15" s="36">
        <f>SUM(B16:B17)</f>
        <v>248000</v>
      </c>
      <c r="C15" s="36">
        <f>SUM(C16:C17)</f>
        <v>6492.29</v>
      </c>
      <c r="D15" s="40">
        <f t="shared" si="0"/>
        <v>2.617858870967742</v>
      </c>
      <c r="E15" s="41">
        <f t="shared" si="1"/>
        <v>-241507.71</v>
      </c>
    </row>
    <row r="16" spans="1:5" ht="18.75" customHeight="1">
      <c r="A16" s="21" t="s">
        <v>152</v>
      </c>
      <c r="B16" s="36">
        <v>21000</v>
      </c>
      <c r="C16" s="86">
        <v>-736.83</v>
      </c>
      <c r="D16" s="40">
        <f t="shared" si="0"/>
        <v>-3.508714285714286</v>
      </c>
      <c r="E16" s="41">
        <f t="shared" si="1"/>
        <v>-21736.83</v>
      </c>
    </row>
    <row r="17" spans="1:5" ht="18" customHeight="1">
      <c r="A17" s="21" t="s">
        <v>153</v>
      </c>
      <c r="B17" s="36">
        <v>227000</v>
      </c>
      <c r="C17" s="86">
        <v>7229.12</v>
      </c>
      <c r="D17" s="40">
        <f t="shared" si="0"/>
        <v>3.18463436123348</v>
      </c>
      <c r="E17" s="41">
        <f t="shared" si="1"/>
        <v>-219770.88</v>
      </c>
    </row>
    <row r="18" spans="1:5" ht="18" customHeight="1">
      <c r="A18" s="21" t="s">
        <v>186</v>
      </c>
      <c r="B18" s="36">
        <v>0</v>
      </c>
      <c r="C18" s="86">
        <v>0</v>
      </c>
      <c r="D18" s="40" t="str">
        <f t="shared" si="0"/>
        <v>   </v>
      </c>
      <c r="E18" s="41">
        <f t="shared" si="1"/>
        <v>0</v>
      </c>
    </row>
    <row r="19" spans="1:5" ht="15" customHeight="1">
      <c r="A19" s="21" t="s">
        <v>85</v>
      </c>
      <c r="B19" s="36">
        <v>0</v>
      </c>
      <c r="C19" s="107">
        <v>0</v>
      </c>
      <c r="D19" s="40" t="str">
        <f t="shared" si="0"/>
        <v>   </v>
      </c>
      <c r="E19" s="41">
        <f t="shared" si="1"/>
        <v>0</v>
      </c>
    </row>
    <row r="20" spans="1:5" ht="14.25" customHeight="1">
      <c r="A20" s="21" t="s">
        <v>28</v>
      </c>
      <c r="B20" s="36">
        <f>B22+B21</f>
        <v>88800</v>
      </c>
      <c r="C20" s="143">
        <f>SUM(C21:C22)</f>
        <v>6230.97</v>
      </c>
      <c r="D20" s="40">
        <f t="shared" si="0"/>
        <v>7.016858108108108</v>
      </c>
      <c r="E20" s="41">
        <f t="shared" si="1"/>
        <v>-82569.03</v>
      </c>
    </row>
    <row r="21" spans="1:5" ht="15.75" customHeight="1">
      <c r="A21" s="21" t="s">
        <v>143</v>
      </c>
      <c r="B21" s="36">
        <v>88800</v>
      </c>
      <c r="C21" s="107">
        <v>6230.97</v>
      </c>
      <c r="D21" s="40">
        <f t="shared" si="0"/>
        <v>7.016858108108108</v>
      </c>
      <c r="E21" s="41">
        <f t="shared" si="1"/>
        <v>-82569.03</v>
      </c>
    </row>
    <row r="22" spans="1:5" ht="15" customHeight="1">
      <c r="A22" s="21" t="s">
        <v>30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18.75" customHeight="1">
      <c r="A23" s="21" t="s">
        <v>88</v>
      </c>
      <c r="B23" s="36">
        <v>0</v>
      </c>
      <c r="C23" s="107">
        <v>0</v>
      </c>
      <c r="D23" s="40" t="str">
        <f t="shared" si="0"/>
        <v>   </v>
      </c>
      <c r="E23" s="41">
        <f t="shared" si="1"/>
        <v>0</v>
      </c>
    </row>
    <row r="24" spans="1:5" ht="18.75" customHeight="1">
      <c r="A24" s="21" t="s">
        <v>76</v>
      </c>
      <c r="B24" s="36">
        <f>SUM(B25)</f>
        <v>0</v>
      </c>
      <c r="C24" s="36">
        <f>SUM(C25)</f>
        <v>0</v>
      </c>
      <c r="D24" s="40" t="str">
        <f t="shared" si="0"/>
        <v>   </v>
      </c>
      <c r="E24" s="41">
        <f t="shared" si="1"/>
        <v>0</v>
      </c>
    </row>
    <row r="25" spans="1:5" ht="24.75" customHeight="1">
      <c r="A25" s="21" t="s">
        <v>77</v>
      </c>
      <c r="B25" s="36">
        <v>0</v>
      </c>
      <c r="C25" s="107">
        <v>0</v>
      </c>
      <c r="D25" s="40" t="str">
        <f t="shared" si="0"/>
        <v>   </v>
      </c>
      <c r="E25" s="41">
        <f t="shared" si="1"/>
        <v>0</v>
      </c>
    </row>
    <row r="26" spans="1:5" ht="15" customHeight="1">
      <c r="A26" s="21" t="s">
        <v>31</v>
      </c>
      <c r="B26" s="36">
        <v>0</v>
      </c>
      <c r="C26" s="107">
        <v>0</v>
      </c>
      <c r="D26" s="40" t="str">
        <f t="shared" si="0"/>
        <v>   </v>
      </c>
      <c r="E26" s="41">
        <f t="shared" si="1"/>
        <v>0</v>
      </c>
    </row>
    <row r="27" spans="1:5" ht="17.25" customHeight="1">
      <c r="A27" s="21" t="s">
        <v>32</v>
      </c>
      <c r="B27" s="143">
        <f>B28+B29</f>
        <v>0</v>
      </c>
      <c r="C27" s="143">
        <f>C28+C29</f>
        <v>0</v>
      </c>
      <c r="D27" s="40" t="str">
        <f t="shared" si="0"/>
        <v>   </v>
      </c>
      <c r="E27" s="41">
        <f t="shared" si="1"/>
        <v>0</v>
      </c>
    </row>
    <row r="28" spans="1:5" ht="14.25" customHeight="1">
      <c r="A28" s="21" t="s">
        <v>128</v>
      </c>
      <c r="B28" s="36">
        <v>0</v>
      </c>
      <c r="C28" s="107">
        <v>0</v>
      </c>
      <c r="D28" s="40" t="str">
        <f t="shared" si="0"/>
        <v>   </v>
      </c>
      <c r="E28" s="41">
        <f t="shared" si="1"/>
        <v>0</v>
      </c>
    </row>
    <row r="29" spans="1:5" ht="14.25" customHeight="1">
      <c r="A29" s="21" t="s">
        <v>105</v>
      </c>
      <c r="B29" s="36">
        <v>0</v>
      </c>
      <c r="C29" s="36">
        <v>0</v>
      </c>
      <c r="D29" s="40" t="str">
        <f t="shared" si="0"/>
        <v>   </v>
      </c>
      <c r="E29" s="41">
        <f t="shared" si="1"/>
        <v>0</v>
      </c>
    </row>
    <row r="30" spans="1:5" ht="18" customHeight="1">
      <c r="A30" s="44" t="s">
        <v>10</v>
      </c>
      <c r="B30" s="116">
        <f>SUM(B7,B9,B11,B13,B19,B20,B23,B24,B26,B28,B29,B18)</f>
        <v>1275100</v>
      </c>
      <c r="C30" s="116">
        <f>SUM(C7,C9,C11,C13,C19,C20,C23,C24,C26,C28,C29,C18)</f>
        <v>231783.09999999998</v>
      </c>
      <c r="D30" s="46">
        <f t="shared" si="0"/>
        <v>18.177640969335737</v>
      </c>
      <c r="E30" s="47">
        <f t="shared" si="1"/>
        <v>-1043316.9</v>
      </c>
    </row>
    <row r="31" spans="1:5" ht="18" customHeight="1">
      <c r="A31" s="62" t="s">
        <v>132</v>
      </c>
      <c r="B31" s="145">
        <f>SUM(B32:B35,B38,B39,B40,B45+B47)</f>
        <v>2768400</v>
      </c>
      <c r="C31" s="145">
        <f>SUM(C32:C35,C38,C39,C40,C45+C47)</f>
        <v>550140</v>
      </c>
      <c r="D31" s="46">
        <f t="shared" si="0"/>
        <v>19.872128305158217</v>
      </c>
      <c r="E31" s="47">
        <f t="shared" si="1"/>
        <v>-2218260</v>
      </c>
    </row>
    <row r="32" spans="1:5" ht="16.5" customHeight="1">
      <c r="A32" s="38" t="s">
        <v>34</v>
      </c>
      <c r="B32" s="143">
        <v>1476400</v>
      </c>
      <c r="C32" s="86">
        <v>369040</v>
      </c>
      <c r="D32" s="40">
        <f t="shared" si="0"/>
        <v>24.99593606068816</v>
      </c>
      <c r="E32" s="41">
        <f t="shared" si="1"/>
        <v>-1107360</v>
      </c>
    </row>
    <row r="33" spans="1:5" ht="16.5" customHeight="1">
      <c r="A33" s="38" t="s">
        <v>217</v>
      </c>
      <c r="B33" s="143">
        <v>0</v>
      </c>
      <c r="C33" s="86">
        <v>0</v>
      </c>
      <c r="D33" s="40" t="str">
        <f>IF(B33=0,"   ",C33/B33*100)</f>
        <v>   </v>
      </c>
      <c r="E33" s="41">
        <f>C33-B33</f>
        <v>0</v>
      </c>
    </row>
    <row r="34" spans="1:5" ht="31.5" customHeight="1">
      <c r="A34" s="21" t="s">
        <v>51</v>
      </c>
      <c r="B34" s="36">
        <v>94300</v>
      </c>
      <c r="C34" s="86">
        <v>29000</v>
      </c>
      <c r="D34" s="40">
        <f t="shared" si="0"/>
        <v>30.75291622481442</v>
      </c>
      <c r="E34" s="41">
        <f t="shared" si="1"/>
        <v>-65300</v>
      </c>
    </row>
    <row r="35" spans="1:5" ht="15.75" customHeight="1">
      <c r="A35" s="21" t="s">
        <v>139</v>
      </c>
      <c r="B35" s="36">
        <f>SUM(B36:B37)</f>
        <v>100</v>
      </c>
      <c r="C35" s="36">
        <f>SUM(C36:C37)</f>
        <v>0</v>
      </c>
      <c r="D35" s="40">
        <f t="shared" si="0"/>
        <v>0</v>
      </c>
      <c r="E35" s="41">
        <f t="shared" si="1"/>
        <v>-100</v>
      </c>
    </row>
    <row r="36" spans="1:5" ht="16.5" customHeight="1">
      <c r="A36" s="52" t="s">
        <v>154</v>
      </c>
      <c r="B36" s="36">
        <v>100</v>
      </c>
      <c r="C36" s="107">
        <v>0</v>
      </c>
      <c r="D36" s="40">
        <f>IF(B36=0,"   ",C36/B36*100)</f>
        <v>0</v>
      </c>
      <c r="E36" s="41">
        <f>C36-B36</f>
        <v>-100</v>
      </c>
    </row>
    <row r="37" spans="1:5" ht="26.25" customHeight="1">
      <c r="A37" s="52" t="s">
        <v>155</v>
      </c>
      <c r="B37" s="36">
        <v>0</v>
      </c>
      <c r="C37" s="107">
        <v>0</v>
      </c>
      <c r="D37" s="40" t="str">
        <f>IF(B37=0,"   ",C37/B37*100)</f>
        <v>   </v>
      </c>
      <c r="E37" s="41">
        <f>C37-B37</f>
        <v>0</v>
      </c>
    </row>
    <row r="38" spans="1:5" ht="61.5" customHeight="1">
      <c r="A38" s="21" t="s">
        <v>225</v>
      </c>
      <c r="B38" s="36">
        <v>802000</v>
      </c>
      <c r="C38" s="107">
        <v>0</v>
      </c>
      <c r="D38" s="40">
        <f>IF(B38=0,"   ",C38/B38*100)</f>
        <v>0</v>
      </c>
      <c r="E38" s="41">
        <f>C38-B38</f>
        <v>-802000</v>
      </c>
    </row>
    <row r="39" spans="1:5" ht="26.25" customHeight="1">
      <c r="A39" s="21" t="s">
        <v>280</v>
      </c>
      <c r="B39" s="36">
        <v>0</v>
      </c>
      <c r="C39" s="107">
        <v>0</v>
      </c>
      <c r="D39" s="40" t="str">
        <f>IF(B39=0,"   ",C39/B39*100)</f>
        <v>   </v>
      </c>
      <c r="E39" s="41">
        <f>C39-B39</f>
        <v>0</v>
      </c>
    </row>
    <row r="40" spans="1:5" ht="14.25" customHeight="1">
      <c r="A40" s="21" t="s">
        <v>80</v>
      </c>
      <c r="B40" s="36">
        <f>B41+B44+B43+B42</f>
        <v>395600</v>
      </c>
      <c r="C40" s="36">
        <f>C41+C44+C43+C42</f>
        <v>152100</v>
      </c>
      <c r="D40" s="40">
        <f t="shared" si="0"/>
        <v>38.4479271991911</v>
      </c>
      <c r="E40" s="41">
        <f t="shared" si="1"/>
        <v>-243500</v>
      </c>
    </row>
    <row r="41" spans="1:5" ht="16.5" customHeight="1">
      <c r="A41" s="21" t="s">
        <v>104</v>
      </c>
      <c r="B41" s="36">
        <v>304200</v>
      </c>
      <c r="C41" s="107">
        <v>152100</v>
      </c>
      <c r="D41" s="40">
        <f t="shared" si="0"/>
        <v>50</v>
      </c>
      <c r="E41" s="41">
        <f t="shared" si="1"/>
        <v>-152100</v>
      </c>
    </row>
    <row r="42" spans="1:5" ht="16.5" customHeight="1">
      <c r="A42" s="21" t="s">
        <v>290</v>
      </c>
      <c r="B42" s="36">
        <v>91400</v>
      </c>
      <c r="C42" s="107">
        <v>0</v>
      </c>
      <c r="D42" s="40">
        <f t="shared" si="0"/>
        <v>0</v>
      </c>
      <c r="E42" s="41">
        <f t="shared" si="1"/>
        <v>-91400</v>
      </c>
    </row>
    <row r="43" spans="1:5" ht="16.5" customHeight="1">
      <c r="A43" s="21" t="s">
        <v>267</v>
      </c>
      <c r="B43" s="36">
        <v>0</v>
      </c>
      <c r="C43" s="107">
        <v>0</v>
      </c>
      <c r="D43" s="40" t="str">
        <f t="shared" si="0"/>
        <v>   </v>
      </c>
      <c r="E43" s="41">
        <f t="shared" si="1"/>
        <v>0</v>
      </c>
    </row>
    <row r="44" spans="1:5" ht="16.5" customHeight="1">
      <c r="A44" s="21" t="s">
        <v>178</v>
      </c>
      <c r="B44" s="36">
        <v>0</v>
      </c>
      <c r="C44" s="107">
        <v>0</v>
      </c>
      <c r="D44" s="40" t="str">
        <f t="shared" si="0"/>
        <v>   </v>
      </c>
      <c r="E44" s="41">
        <f t="shared" si="1"/>
        <v>0</v>
      </c>
    </row>
    <row r="45" spans="1:5" ht="27" customHeight="1">
      <c r="A45" s="21" t="s">
        <v>322</v>
      </c>
      <c r="B45" s="36">
        <v>0</v>
      </c>
      <c r="C45" s="107">
        <v>0</v>
      </c>
      <c r="D45" s="40" t="str">
        <f t="shared" si="0"/>
        <v>   </v>
      </c>
      <c r="E45" s="41">
        <f t="shared" si="1"/>
        <v>0</v>
      </c>
    </row>
    <row r="46" spans="1:5" ht="28.5" customHeight="1">
      <c r="A46" s="21" t="s">
        <v>98</v>
      </c>
      <c r="B46" s="36">
        <v>0</v>
      </c>
      <c r="C46" s="36">
        <v>0</v>
      </c>
      <c r="D46" s="40" t="str">
        <f t="shared" si="0"/>
        <v>   </v>
      </c>
      <c r="E46" s="41">
        <f t="shared" si="1"/>
        <v>0</v>
      </c>
    </row>
    <row r="47" spans="1:5" ht="15" customHeight="1">
      <c r="A47" s="21" t="s">
        <v>188</v>
      </c>
      <c r="B47" s="36">
        <v>0</v>
      </c>
      <c r="C47" s="86">
        <v>0</v>
      </c>
      <c r="D47" s="40" t="str">
        <f t="shared" si="0"/>
        <v>   </v>
      </c>
      <c r="E47" s="41">
        <f t="shared" si="1"/>
        <v>0</v>
      </c>
    </row>
    <row r="48" spans="1:5" ht="27" customHeight="1">
      <c r="A48" s="44" t="s">
        <v>11</v>
      </c>
      <c r="B48" s="116">
        <f>SUM(B30,B31,)</f>
        <v>4043500</v>
      </c>
      <c r="C48" s="116">
        <f>SUM(C30,C31,)</f>
        <v>781923.1</v>
      </c>
      <c r="D48" s="46">
        <f t="shared" si="0"/>
        <v>19.33777915172499</v>
      </c>
      <c r="E48" s="47">
        <f t="shared" si="1"/>
        <v>-3261576.9</v>
      </c>
    </row>
    <row r="49" spans="1:5" ht="21.75" customHeight="1">
      <c r="A49" s="56" t="s">
        <v>12</v>
      </c>
      <c r="B49" s="116"/>
      <c r="C49" s="99"/>
      <c r="D49" s="40" t="str">
        <f t="shared" si="0"/>
        <v>   </v>
      </c>
      <c r="E49" s="41">
        <f t="shared" si="1"/>
        <v>0</v>
      </c>
    </row>
    <row r="50" spans="1:5" ht="16.5" customHeight="1">
      <c r="A50" s="21" t="s">
        <v>35</v>
      </c>
      <c r="B50" s="36">
        <f>SUM(B51,B54:B55)</f>
        <v>1284000</v>
      </c>
      <c r="C50" s="36">
        <f>SUM(C51,C54:C55)</f>
        <v>234405.17</v>
      </c>
      <c r="D50" s="40">
        <f t="shared" si="0"/>
        <v>18.25585436137072</v>
      </c>
      <c r="E50" s="41">
        <f t="shared" si="1"/>
        <v>-1049594.83</v>
      </c>
    </row>
    <row r="51" spans="1:5" ht="13.5" customHeight="1">
      <c r="A51" s="21" t="s">
        <v>36</v>
      </c>
      <c r="B51" s="36">
        <v>1265700</v>
      </c>
      <c r="C51" s="36">
        <v>234405.17</v>
      </c>
      <c r="D51" s="40">
        <f t="shared" si="0"/>
        <v>18.519804851070553</v>
      </c>
      <c r="E51" s="41">
        <f t="shared" si="1"/>
        <v>-1031294.83</v>
      </c>
    </row>
    <row r="52" spans="1:5" ht="13.5">
      <c r="A52" s="21" t="s">
        <v>117</v>
      </c>
      <c r="B52" s="36">
        <v>801536</v>
      </c>
      <c r="C52" s="99">
        <v>120476.41</v>
      </c>
      <c r="D52" s="40">
        <f t="shared" si="0"/>
        <v>15.030692320744171</v>
      </c>
      <c r="E52" s="41">
        <f t="shared" si="1"/>
        <v>-681059.59</v>
      </c>
    </row>
    <row r="53" spans="1:5" ht="13.5">
      <c r="A53" s="21" t="s">
        <v>324</v>
      </c>
      <c r="B53" s="36">
        <v>0</v>
      </c>
      <c r="C53" s="99">
        <v>0</v>
      </c>
      <c r="D53" s="40" t="str">
        <f>IF(B53=0,"   ",C53/B53*100)</f>
        <v>   </v>
      </c>
      <c r="E53" s="41">
        <f>C53-B53</f>
        <v>0</v>
      </c>
    </row>
    <row r="54" spans="1:5" ht="13.5">
      <c r="A54" s="21" t="s">
        <v>91</v>
      </c>
      <c r="B54" s="36">
        <v>500</v>
      </c>
      <c r="C54" s="107">
        <v>0</v>
      </c>
      <c r="D54" s="40">
        <f t="shared" si="0"/>
        <v>0</v>
      </c>
      <c r="E54" s="41">
        <f t="shared" si="1"/>
        <v>-500</v>
      </c>
    </row>
    <row r="55" spans="1:5" ht="13.5">
      <c r="A55" s="21" t="s">
        <v>52</v>
      </c>
      <c r="B55" s="107">
        <f>SUM(B56)</f>
        <v>17800</v>
      </c>
      <c r="C55" s="107">
        <f>SUM(C56)</f>
        <v>0</v>
      </c>
      <c r="D55" s="40">
        <f t="shared" si="0"/>
        <v>0</v>
      </c>
      <c r="E55" s="41">
        <f t="shared" si="1"/>
        <v>-17800</v>
      </c>
    </row>
    <row r="56" spans="1:5" ht="27">
      <c r="A56" s="17" t="s">
        <v>233</v>
      </c>
      <c r="B56" s="36">
        <v>17800</v>
      </c>
      <c r="C56" s="107">
        <v>0</v>
      </c>
      <c r="D56" s="40">
        <f t="shared" si="0"/>
        <v>0</v>
      </c>
      <c r="E56" s="41">
        <f t="shared" si="1"/>
        <v>-17800</v>
      </c>
    </row>
    <row r="57" spans="1:5" ht="16.5" customHeight="1">
      <c r="A57" s="21" t="s">
        <v>49</v>
      </c>
      <c r="B57" s="107">
        <f>SUM(B58)</f>
        <v>94300</v>
      </c>
      <c r="C57" s="107">
        <f>SUM(C58)</f>
        <v>20900.78</v>
      </c>
      <c r="D57" s="40">
        <f t="shared" si="0"/>
        <v>22.164135737009545</v>
      </c>
      <c r="E57" s="41">
        <f t="shared" si="1"/>
        <v>-73399.22</v>
      </c>
    </row>
    <row r="58" spans="1:5" ht="17.25" customHeight="1">
      <c r="A58" s="21" t="s">
        <v>102</v>
      </c>
      <c r="B58" s="36">
        <v>94300</v>
      </c>
      <c r="C58" s="107">
        <v>20900.78</v>
      </c>
      <c r="D58" s="40">
        <f t="shared" si="0"/>
        <v>22.164135737009545</v>
      </c>
      <c r="E58" s="41">
        <f t="shared" si="1"/>
        <v>-73399.22</v>
      </c>
    </row>
    <row r="59" spans="1:5" ht="22.5" customHeight="1">
      <c r="A59" s="21" t="s">
        <v>37</v>
      </c>
      <c r="B59" s="36">
        <f>SUM(B60)</f>
        <v>5000</v>
      </c>
      <c r="C59" s="107">
        <f>SUM(C60)</f>
        <v>0</v>
      </c>
      <c r="D59" s="40">
        <f t="shared" si="0"/>
        <v>0</v>
      </c>
      <c r="E59" s="41">
        <f t="shared" si="1"/>
        <v>-5000</v>
      </c>
    </row>
    <row r="60" spans="1:5" ht="17.25" customHeight="1">
      <c r="A60" s="60" t="s">
        <v>315</v>
      </c>
      <c r="B60" s="36">
        <v>5000</v>
      </c>
      <c r="C60" s="107">
        <v>0</v>
      </c>
      <c r="D60" s="40">
        <f t="shared" si="0"/>
        <v>0</v>
      </c>
      <c r="E60" s="41">
        <f t="shared" si="1"/>
        <v>-5000</v>
      </c>
    </row>
    <row r="61" spans="1:5" ht="18.75" customHeight="1">
      <c r="A61" s="21" t="s">
        <v>38</v>
      </c>
      <c r="B61" s="36">
        <f>B69+B62+B77+B67</f>
        <v>1800000</v>
      </c>
      <c r="C61" s="36">
        <f>C69+C62+C77+C67</f>
        <v>193362.02</v>
      </c>
      <c r="D61" s="40">
        <f t="shared" si="0"/>
        <v>10.742334444444444</v>
      </c>
      <c r="E61" s="41">
        <f t="shared" si="1"/>
        <v>-1606637.98</v>
      </c>
    </row>
    <row r="62" spans="1:5" ht="18.75" customHeight="1">
      <c r="A62" s="60" t="s">
        <v>156</v>
      </c>
      <c r="B62" s="36">
        <f>SUM(B65,B66)</f>
        <v>97300</v>
      </c>
      <c r="C62" s="36">
        <f>SUM(C65,C66)</f>
        <v>0</v>
      </c>
      <c r="D62" s="40">
        <f aca="true" t="shared" si="2" ref="D62:D68">IF(B62=0,"   ",C62/B62*100)</f>
        <v>0</v>
      </c>
      <c r="E62" s="41">
        <f aca="true" t="shared" si="3" ref="E62:E68">C62-B62</f>
        <v>-97300</v>
      </c>
    </row>
    <row r="63" spans="1:5" ht="18.75" customHeight="1">
      <c r="A63" s="60" t="s">
        <v>157</v>
      </c>
      <c r="B63" s="36">
        <v>0</v>
      </c>
      <c r="C63" s="36">
        <v>0</v>
      </c>
      <c r="D63" s="40" t="str">
        <f t="shared" si="2"/>
        <v>   </v>
      </c>
      <c r="E63" s="41">
        <f t="shared" si="3"/>
        <v>0</v>
      </c>
    </row>
    <row r="64" spans="1:5" ht="18.75" customHeight="1">
      <c r="A64" s="60" t="s">
        <v>179</v>
      </c>
      <c r="B64" s="36">
        <v>0</v>
      </c>
      <c r="C64" s="36">
        <v>0</v>
      </c>
      <c r="D64" s="40" t="str">
        <f t="shared" si="2"/>
        <v>   </v>
      </c>
      <c r="E64" s="41">
        <f t="shared" si="3"/>
        <v>0</v>
      </c>
    </row>
    <row r="65" spans="1:5" ht="18.75" customHeight="1">
      <c r="A65" s="60" t="s">
        <v>291</v>
      </c>
      <c r="B65" s="36">
        <v>91400</v>
      </c>
      <c r="C65" s="36">
        <v>0</v>
      </c>
      <c r="D65" s="40">
        <f t="shared" si="2"/>
        <v>0</v>
      </c>
      <c r="E65" s="41">
        <f t="shared" si="3"/>
        <v>-91400</v>
      </c>
    </row>
    <row r="66" spans="1:5" ht="18.75" customHeight="1">
      <c r="A66" s="60" t="s">
        <v>292</v>
      </c>
      <c r="B66" s="36">
        <v>5900</v>
      </c>
      <c r="C66" s="36">
        <v>0</v>
      </c>
      <c r="D66" s="40">
        <f t="shared" si="2"/>
        <v>0</v>
      </c>
      <c r="E66" s="41">
        <f t="shared" si="3"/>
        <v>-5900</v>
      </c>
    </row>
    <row r="67" spans="1:5" ht="18.75" customHeight="1">
      <c r="A67" s="62" t="s">
        <v>219</v>
      </c>
      <c r="B67" s="36">
        <f>SUM(B68)</f>
        <v>0</v>
      </c>
      <c r="C67" s="36">
        <f>SUM(C68)</f>
        <v>0</v>
      </c>
      <c r="D67" s="40" t="str">
        <f t="shared" si="2"/>
        <v>   </v>
      </c>
      <c r="E67" s="41">
        <f t="shared" si="3"/>
        <v>0</v>
      </c>
    </row>
    <row r="68" spans="1:5" ht="18.75" customHeight="1">
      <c r="A68" s="62" t="s">
        <v>220</v>
      </c>
      <c r="B68" s="36">
        <v>0</v>
      </c>
      <c r="C68" s="36">
        <v>0</v>
      </c>
      <c r="D68" s="40" t="str">
        <f t="shared" si="2"/>
        <v>   </v>
      </c>
      <c r="E68" s="41">
        <f t="shared" si="3"/>
        <v>0</v>
      </c>
    </row>
    <row r="69" spans="1:5" ht="13.5">
      <c r="A69" s="62" t="s">
        <v>124</v>
      </c>
      <c r="B69" s="36">
        <f>SUM(B70:B76)</f>
        <v>1662700</v>
      </c>
      <c r="C69" s="36">
        <f>SUM(C70:C76)</f>
        <v>193362.02</v>
      </c>
      <c r="D69" s="40">
        <f t="shared" si="0"/>
        <v>11.629399170024659</v>
      </c>
      <c r="E69" s="41">
        <f t="shared" si="1"/>
        <v>-1469337.98</v>
      </c>
    </row>
    <row r="70" spans="1:5" ht="16.5" customHeight="1">
      <c r="A70" s="60" t="s">
        <v>140</v>
      </c>
      <c r="B70" s="36">
        <v>0</v>
      </c>
      <c r="C70" s="36">
        <v>0</v>
      </c>
      <c r="D70" s="40" t="str">
        <f t="shared" si="0"/>
        <v>   </v>
      </c>
      <c r="E70" s="41">
        <f t="shared" si="1"/>
        <v>0</v>
      </c>
    </row>
    <row r="71" spans="1:5" ht="27" customHeight="1">
      <c r="A71" s="17" t="s">
        <v>236</v>
      </c>
      <c r="B71" s="36">
        <v>433500</v>
      </c>
      <c r="C71" s="36">
        <v>24362.02</v>
      </c>
      <c r="D71" s="40">
        <f>IF(B71=0,"   ",C71/B71*100)</f>
        <v>5.619843137254902</v>
      </c>
      <c r="E71" s="41">
        <f>C71-B71</f>
        <v>-409137.98</v>
      </c>
    </row>
    <row r="72" spans="1:5" ht="27">
      <c r="A72" s="17" t="s">
        <v>237</v>
      </c>
      <c r="B72" s="36">
        <v>0</v>
      </c>
      <c r="C72" s="36">
        <v>0</v>
      </c>
      <c r="D72" s="40" t="str">
        <f t="shared" si="0"/>
        <v>   </v>
      </c>
      <c r="E72" s="41">
        <f t="shared" si="1"/>
        <v>0</v>
      </c>
    </row>
    <row r="73" spans="1:5" ht="27">
      <c r="A73" s="17" t="s">
        <v>238</v>
      </c>
      <c r="B73" s="36">
        <v>802000</v>
      </c>
      <c r="C73" s="36">
        <v>0</v>
      </c>
      <c r="D73" s="40">
        <f t="shared" si="0"/>
        <v>0</v>
      </c>
      <c r="E73" s="41">
        <f t="shared" si="1"/>
        <v>-802000</v>
      </c>
    </row>
    <row r="74" spans="1:5" ht="27">
      <c r="A74" s="17" t="s">
        <v>239</v>
      </c>
      <c r="B74" s="36">
        <v>89200</v>
      </c>
      <c r="C74" s="36">
        <v>0</v>
      </c>
      <c r="D74" s="40">
        <f t="shared" si="0"/>
        <v>0</v>
      </c>
      <c r="E74" s="41">
        <f t="shared" si="1"/>
        <v>-89200</v>
      </c>
    </row>
    <row r="75" spans="1:5" ht="27">
      <c r="A75" s="17" t="s">
        <v>240</v>
      </c>
      <c r="B75" s="36">
        <v>304200</v>
      </c>
      <c r="C75" s="36">
        <v>152100</v>
      </c>
      <c r="D75" s="40">
        <f t="shared" si="0"/>
        <v>50</v>
      </c>
      <c r="E75" s="41">
        <f t="shared" si="1"/>
        <v>-152100</v>
      </c>
    </row>
    <row r="76" spans="1:5" ht="27.75" thickBot="1">
      <c r="A76" s="62" t="s">
        <v>241</v>
      </c>
      <c r="B76" s="36">
        <v>33800</v>
      </c>
      <c r="C76" s="36">
        <v>16900</v>
      </c>
      <c r="D76" s="40">
        <f t="shared" si="0"/>
        <v>50</v>
      </c>
      <c r="E76" s="41">
        <f t="shared" si="1"/>
        <v>-16900</v>
      </c>
    </row>
    <row r="77" spans="1:5" ht="14.25" thickBot="1">
      <c r="A77" s="62" t="s">
        <v>167</v>
      </c>
      <c r="B77" s="93">
        <f>SUM(B78)</f>
        <v>40000</v>
      </c>
      <c r="C77" s="93">
        <f>SUM(C78)</f>
        <v>0</v>
      </c>
      <c r="D77" s="40">
        <f>IF(B77=0,"   ",C77/B77*100)</f>
        <v>0</v>
      </c>
      <c r="E77" s="41">
        <f>C77-B77</f>
        <v>-40000</v>
      </c>
    </row>
    <row r="78" spans="1:5" ht="27">
      <c r="A78" s="17" t="s">
        <v>146</v>
      </c>
      <c r="B78" s="36">
        <v>40000</v>
      </c>
      <c r="C78" s="36">
        <v>0</v>
      </c>
      <c r="D78" s="40">
        <f>IF(B78=0,"   ",C78/B78*100)</f>
        <v>0</v>
      </c>
      <c r="E78" s="41">
        <f>C78-B78</f>
        <v>-40000</v>
      </c>
    </row>
    <row r="79" spans="1:5" ht="21.75" customHeight="1">
      <c r="A79" s="21" t="s">
        <v>13</v>
      </c>
      <c r="B79" s="36">
        <f>B90+B80+B98</f>
        <v>190100</v>
      </c>
      <c r="C79" s="36">
        <f>C90+C80+C98</f>
        <v>29053.5</v>
      </c>
      <c r="D79" s="40">
        <f t="shared" si="0"/>
        <v>15.283271962125196</v>
      </c>
      <c r="E79" s="41">
        <f t="shared" si="1"/>
        <v>-161046.5</v>
      </c>
    </row>
    <row r="80" spans="1:5" ht="17.25" customHeight="1">
      <c r="A80" s="21" t="s">
        <v>141</v>
      </c>
      <c r="B80" s="36">
        <f>B85+B81+B82+B83+B84</f>
        <v>20000</v>
      </c>
      <c r="C80" s="36">
        <f>C85+C81+C82+C83+C84</f>
        <v>0</v>
      </c>
      <c r="D80" s="40">
        <f aca="true" t="shared" si="4" ref="D80:D89">IF(B80=0,"   ",C80/B80*100)</f>
        <v>0</v>
      </c>
      <c r="E80" s="41">
        <f aca="true" t="shared" si="5" ref="E80:E89">C80-B80</f>
        <v>-20000</v>
      </c>
    </row>
    <row r="81" spans="1:5" ht="28.5" customHeight="1">
      <c r="A81" s="21" t="s">
        <v>185</v>
      </c>
      <c r="B81" s="36">
        <v>20000</v>
      </c>
      <c r="C81" s="36">
        <v>0</v>
      </c>
      <c r="D81" s="40">
        <f t="shared" si="4"/>
        <v>0</v>
      </c>
      <c r="E81" s="41">
        <f t="shared" si="5"/>
        <v>-20000</v>
      </c>
    </row>
    <row r="82" spans="1:5" ht="18" customHeight="1">
      <c r="A82" s="21" t="s">
        <v>316</v>
      </c>
      <c r="B82" s="36">
        <v>0</v>
      </c>
      <c r="C82" s="36">
        <v>0</v>
      </c>
      <c r="D82" s="40"/>
      <c r="E82" s="41"/>
    </row>
    <row r="83" spans="1:5" ht="17.25" customHeight="1">
      <c r="A83" s="17" t="s">
        <v>263</v>
      </c>
      <c r="B83" s="36">
        <v>0</v>
      </c>
      <c r="C83" s="36">
        <v>0</v>
      </c>
      <c r="D83" s="40" t="str">
        <f t="shared" si="4"/>
        <v>   </v>
      </c>
      <c r="E83" s="41">
        <f t="shared" si="5"/>
        <v>0</v>
      </c>
    </row>
    <row r="84" spans="1:5" ht="17.25" customHeight="1">
      <c r="A84" s="21" t="s">
        <v>270</v>
      </c>
      <c r="B84" s="36">
        <v>0</v>
      </c>
      <c r="C84" s="36">
        <v>0</v>
      </c>
      <c r="D84" s="40" t="str">
        <f t="shared" si="4"/>
        <v>   </v>
      </c>
      <c r="E84" s="41">
        <f t="shared" si="5"/>
        <v>0</v>
      </c>
    </row>
    <row r="85" spans="1:5" ht="17.25" customHeight="1">
      <c r="A85" s="21" t="s">
        <v>273</v>
      </c>
      <c r="B85" s="36">
        <v>0</v>
      </c>
      <c r="C85" s="36">
        <v>0</v>
      </c>
      <c r="D85" s="40" t="str">
        <f t="shared" si="4"/>
        <v>   </v>
      </c>
      <c r="E85" s="41">
        <f t="shared" si="5"/>
        <v>0</v>
      </c>
    </row>
    <row r="86" spans="1:5" ht="15" customHeight="1">
      <c r="A86" s="17" t="s">
        <v>264</v>
      </c>
      <c r="B86" s="36">
        <f>SUM(B87:B89)</f>
        <v>0</v>
      </c>
      <c r="C86" s="36">
        <f>SUM(C87:C89)</f>
        <v>0</v>
      </c>
      <c r="D86" s="40" t="str">
        <f t="shared" si="4"/>
        <v>   </v>
      </c>
      <c r="E86" s="41">
        <f t="shared" si="5"/>
        <v>0</v>
      </c>
    </row>
    <row r="87" spans="1:5" ht="17.25" customHeight="1">
      <c r="A87" s="17" t="s">
        <v>177</v>
      </c>
      <c r="B87" s="107">
        <v>0</v>
      </c>
      <c r="C87" s="107">
        <v>0</v>
      </c>
      <c r="D87" s="40" t="str">
        <f t="shared" si="4"/>
        <v>   </v>
      </c>
      <c r="E87" s="41">
        <f t="shared" si="5"/>
        <v>0</v>
      </c>
    </row>
    <row r="88" spans="1:5" ht="18" customHeight="1">
      <c r="A88" s="17" t="s">
        <v>189</v>
      </c>
      <c r="B88" s="107">
        <v>0</v>
      </c>
      <c r="C88" s="107">
        <v>0</v>
      </c>
      <c r="D88" s="40" t="str">
        <f t="shared" si="4"/>
        <v>   </v>
      </c>
      <c r="E88" s="41">
        <f t="shared" si="5"/>
        <v>0</v>
      </c>
    </row>
    <row r="89" spans="1:5" ht="12.75" customHeight="1">
      <c r="A89" s="17" t="s">
        <v>201</v>
      </c>
      <c r="B89" s="107">
        <v>0</v>
      </c>
      <c r="C89" s="107">
        <v>0</v>
      </c>
      <c r="D89" s="40" t="str">
        <f t="shared" si="4"/>
        <v>   </v>
      </c>
      <c r="E89" s="41">
        <f t="shared" si="5"/>
        <v>0</v>
      </c>
    </row>
    <row r="90" spans="1:5" ht="13.5">
      <c r="A90" s="21" t="s">
        <v>63</v>
      </c>
      <c r="B90" s="36">
        <f>B91+B92+B93+B97</f>
        <v>170000</v>
      </c>
      <c r="C90" s="36">
        <f>C91+C92+C93+C97</f>
        <v>29053.5</v>
      </c>
      <c r="D90" s="40">
        <f t="shared" si="0"/>
        <v>17.09029411764706</v>
      </c>
      <c r="E90" s="41">
        <f t="shared" si="1"/>
        <v>-140946.5</v>
      </c>
    </row>
    <row r="91" spans="1:5" ht="13.5">
      <c r="A91" s="21" t="s">
        <v>62</v>
      </c>
      <c r="B91" s="36">
        <v>150000</v>
      </c>
      <c r="C91" s="107">
        <v>29053.5</v>
      </c>
      <c r="D91" s="40">
        <f t="shared" si="0"/>
        <v>19.369</v>
      </c>
      <c r="E91" s="41">
        <f t="shared" si="1"/>
        <v>-120946.5</v>
      </c>
    </row>
    <row r="92" spans="1:5" ht="13.5">
      <c r="A92" s="21" t="s">
        <v>123</v>
      </c>
      <c r="B92" s="36">
        <v>20000</v>
      </c>
      <c r="C92" s="36">
        <v>0</v>
      </c>
      <c r="D92" s="40">
        <f t="shared" si="0"/>
        <v>0</v>
      </c>
      <c r="E92" s="41">
        <f t="shared" si="1"/>
        <v>-20000</v>
      </c>
    </row>
    <row r="93" spans="1:5" ht="13.5">
      <c r="A93" s="17" t="s">
        <v>195</v>
      </c>
      <c r="B93" s="36">
        <f>SUM(B94:B96)</f>
        <v>0</v>
      </c>
      <c r="C93" s="36">
        <f>SUM(C94:C96)</f>
        <v>0</v>
      </c>
      <c r="D93" s="40" t="str">
        <f t="shared" si="0"/>
        <v>   </v>
      </c>
      <c r="E93" s="41">
        <f t="shared" si="1"/>
        <v>0</v>
      </c>
    </row>
    <row r="94" spans="1:5" ht="15" customHeight="1">
      <c r="A94" s="17" t="s">
        <v>177</v>
      </c>
      <c r="B94" s="36">
        <v>0</v>
      </c>
      <c r="C94" s="36">
        <v>0</v>
      </c>
      <c r="D94" s="40" t="str">
        <f t="shared" si="0"/>
        <v>   </v>
      </c>
      <c r="E94" s="41">
        <f t="shared" si="1"/>
        <v>0</v>
      </c>
    </row>
    <row r="95" spans="1:5" ht="15" customHeight="1">
      <c r="A95" s="17" t="s">
        <v>189</v>
      </c>
      <c r="B95" s="36">
        <v>0</v>
      </c>
      <c r="C95" s="36">
        <v>0</v>
      </c>
      <c r="D95" s="40" t="str">
        <f>IF(B95=0,"   ",C95/B95*100)</f>
        <v>   </v>
      </c>
      <c r="E95" s="41">
        <f>C95-B95</f>
        <v>0</v>
      </c>
    </row>
    <row r="96" spans="1:5" ht="14.25" customHeight="1">
      <c r="A96" s="17" t="s">
        <v>201</v>
      </c>
      <c r="B96" s="36">
        <v>0</v>
      </c>
      <c r="C96" s="36">
        <v>0</v>
      </c>
      <c r="D96" s="40" t="str">
        <f>IF(B96=0,"   ",C96/B96*100)</f>
        <v>   </v>
      </c>
      <c r="E96" s="41">
        <f>C96-B96</f>
        <v>0</v>
      </c>
    </row>
    <row r="97" spans="1:5" ht="13.5" customHeight="1" thickBot="1">
      <c r="A97" s="17" t="s">
        <v>271</v>
      </c>
      <c r="B97" s="36">
        <v>0</v>
      </c>
      <c r="C97" s="36">
        <v>0</v>
      </c>
      <c r="D97" s="40" t="str">
        <f>IF(B97=0,"   ",C97/B97*100)</f>
        <v>   </v>
      </c>
      <c r="E97" s="41">
        <f>C97-B97</f>
        <v>0</v>
      </c>
    </row>
    <row r="98" spans="1:5" ht="14.25" thickBot="1">
      <c r="A98" s="62" t="s">
        <v>302</v>
      </c>
      <c r="B98" s="111">
        <f>SUM(B99)</f>
        <v>100</v>
      </c>
      <c r="C98" s="111">
        <f>SUM(C99)</f>
        <v>0</v>
      </c>
      <c r="D98" s="40"/>
      <c r="E98" s="41"/>
    </row>
    <row r="99" spans="1:5" ht="13.5">
      <c r="A99" s="62" t="s">
        <v>259</v>
      </c>
      <c r="B99" s="36">
        <v>100</v>
      </c>
      <c r="C99" s="99">
        <v>0</v>
      </c>
      <c r="D99" s="40"/>
      <c r="E99" s="41"/>
    </row>
    <row r="100" spans="1:5" ht="21.75" customHeight="1">
      <c r="A100" s="21" t="s">
        <v>17</v>
      </c>
      <c r="B100" s="36">
        <v>8000</v>
      </c>
      <c r="C100" s="36">
        <v>0</v>
      </c>
      <c r="D100" s="40">
        <f t="shared" si="0"/>
        <v>0</v>
      </c>
      <c r="E100" s="41">
        <f t="shared" si="1"/>
        <v>-8000</v>
      </c>
    </row>
    <row r="101" spans="1:5" ht="22.5" customHeight="1">
      <c r="A101" s="21" t="s">
        <v>41</v>
      </c>
      <c r="B101" s="143">
        <f>B102</f>
        <v>642100</v>
      </c>
      <c r="C101" s="143">
        <f>C102</f>
        <v>342470</v>
      </c>
      <c r="D101" s="40">
        <f t="shared" si="0"/>
        <v>53.33592898302445</v>
      </c>
      <c r="E101" s="41">
        <f t="shared" si="1"/>
        <v>-299630</v>
      </c>
    </row>
    <row r="102" spans="1:5" ht="13.5">
      <c r="A102" s="21" t="s">
        <v>42</v>
      </c>
      <c r="B102" s="36">
        <f>SUM(B103:B106)</f>
        <v>642100</v>
      </c>
      <c r="C102" s="36">
        <f>SUM(C103:C106)</f>
        <v>342470</v>
      </c>
      <c r="D102" s="40">
        <f t="shared" si="0"/>
        <v>53.33592898302445</v>
      </c>
      <c r="E102" s="41">
        <f t="shared" si="1"/>
        <v>-299630</v>
      </c>
    </row>
    <row r="103" spans="1:5" ht="13.5">
      <c r="A103" s="21" t="s">
        <v>134</v>
      </c>
      <c r="B103" s="36">
        <v>642100</v>
      </c>
      <c r="C103" s="107">
        <v>342470</v>
      </c>
      <c r="D103" s="40">
        <f t="shared" si="0"/>
        <v>53.33592898302445</v>
      </c>
      <c r="E103" s="41">
        <f t="shared" si="1"/>
        <v>-299630</v>
      </c>
    </row>
    <row r="104" spans="1:5" ht="13.5">
      <c r="A104" s="68" t="s">
        <v>283</v>
      </c>
      <c r="B104" s="36">
        <v>0</v>
      </c>
      <c r="C104" s="107">
        <v>0</v>
      </c>
      <c r="D104" s="40" t="str">
        <f t="shared" si="0"/>
        <v>   </v>
      </c>
      <c r="E104" s="41">
        <f t="shared" si="1"/>
        <v>0</v>
      </c>
    </row>
    <row r="105" spans="1:5" ht="13.5">
      <c r="A105" s="68" t="s">
        <v>284</v>
      </c>
      <c r="B105" s="36">
        <v>0</v>
      </c>
      <c r="C105" s="107">
        <v>0</v>
      </c>
      <c r="D105" s="40" t="str">
        <f t="shared" si="0"/>
        <v>   </v>
      </c>
      <c r="E105" s="41">
        <f t="shared" si="1"/>
        <v>0</v>
      </c>
    </row>
    <row r="106" spans="1:5" ht="13.5">
      <c r="A106" s="68" t="s">
        <v>285</v>
      </c>
      <c r="B106" s="36">
        <v>0</v>
      </c>
      <c r="C106" s="107">
        <v>0</v>
      </c>
      <c r="D106" s="40" t="str">
        <f t="shared" si="0"/>
        <v>   </v>
      </c>
      <c r="E106" s="41">
        <f t="shared" si="1"/>
        <v>0</v>
      </c>
    </row>
    <row r="107" spans="1:5" ht="16.5" customHeight="1">
      <c r="A107" s="21" t="s">
        <v>119</v>
      </c>
      <c r="B107" s="36">
        <f>SUM(B108,)</f>
        <v>20000</v>
      </c>
      <c r="C107" s="36">
        <f>SUM(C108,)</f>
        <v>0</v>
      </c>
      <c r="D107" s="40">
        <f t="shared" si="0"/>
        <v>0</v>
      </c>
      <c r="E107" s="41">
        <f t="shared" si="1"/>
        <v>-20000</v>
      </c>
    </row>
    <row r="108" spans="1:5" ht="13.5">
      <c r="A108" s="21" t="s">
        <v>43</v>
      </c>
      <c r="B108" s="36">
        <v>20000</v>
      </c>
      <c r="C108" s="99">
        <v>0</v>
      </c>
      <c r="D108" s="40">
        <f t="shared" si="0"/>
        <v>0</v>
      </c>
      <c r="E108" s="41">
        <f t="shared" si="1"/>
        <v>-20000</v>
      </c>
    </row>
    <row r="109" spans="1:5" ht="28.5" customHeight="1">
      <c r="A109" s="44" t="s">
        <v>15</v>
      </c>
      <c r="B109" s="116">
        <f>SUM(B50,B57,B59,B61,B79,B100,B101,B107,)</f>
        <v>4043500</v>
      </c>
      <c r="C109" s="116">
        <f>SUM(C50,C57,C59,C61,C79,C100,C101,C107,)</f>
        <v>820191.47</v>
      </c>
      <c r="D109" s="46">
        <f>IF(B109=0,"   ",C109/B109*100)</f>
        <v>20.284196117225175</v>
      </c>
      <c r="E109" s="47">
        <f t="shared" si="1"/>
        <v>-3223308.5300000003</v>
      </c>
    </row>
    <row r="110" spans="1:5" s="13" customFormat="1" ht="33" customHeight="1">
      <c r="A110" s="71" t="s">
        <v>288</v>
      </c>
      <c r="B110" s="71"/>
      <c r="C110" s="167"/>
      <c r="D110" s="167"/>
      <c r="E110" s="167"/>
    </row>
    <row r="111" spans="1:5" s="13" customFormat="1" ht="12" customHeight="1">
      <c r="A111" s="71" t="s">
        <v>145</v>
      </c>
      <c r="B111" s="71"/>
      <c r="C111" s="72" t="s">
        <v>289</v>
      </c>
      <c r="D111" s="73"/>
      <c r="E111" s="74"/>
    </row>
    <row r="112" spans="1:5" ht="13.5">
      <c r="A112" s="71"/>
      <c r="B112" s="71"/>
      <c r="C112" s="117"/>
      <c r="D112" s="71"/>
      <c r="E112" s="118"/>
    </row>
    <row r="113" spans="1:5" ht="13.5">
      <c r="A113" s="71"/>
      <c r="B113" s="71"/>
      <c r="C113" s="117"/>
      <c r="D113" s="71"/>
      <c r="E113" s="118"/>
    </row>
    <row r="114" spans="1:5" ht="12.75">
      <c r="A114" s="6"/>
      <c r="B114" s="6"/>
      <c r="C114" s="5"/>
      <c r="D114" s="6"/>
      <c r="E114" s="2"/>
    </row>
    <row r="115" spans="1:5" ht="12.75">
      <c r="A115" s="6"/>
      <c r="B115" s="6"/>
      <c r="C115" s="5"/>
      <c r="D115" s="6"/>
      <c r="E115" s="2"/>
    </row>
  </sheetData>
  <sheetProtection/>
  <mergeCells count="2">
    <mergeCell ref="A1:E1"/>
    <mergeCell ref="C110:E110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4"/>
  <sheetViews>
    <sheetView zoomScalePageLayoutView="0" workbookViewId="0" topLeftCell="A82">
      <selection activeCell="B95" sqref="B95"/>
    </sheetView>
  </sheetViews>
  <sheetFormatPr defaultColWidth="9.00390625" defaultRowHeight="12.75"/>
  <cols>
    <col min="1" max="1" width="105.50390625" style="0" customWidth="1"/>
    <col min="2" max="2" width="16.00390625" style="0" customWidth="1"/>
    <col min="3" max="3" width="18.125" style="0" customWidth="1"/>
    <col min="4" max="4" width="17.00390625" style="0" customWidth="1"/>
    <col min="5" max="5" width="15.00390625" style="0" customWidth="1"/>
  </cols>
  <sheetData>
    <row r="1" spans="1:5" ht="13.5">
      <c r="A1" s="168" t="s">
        <v>358</v>
      </c>
      <c r="B1" s="168"/>
      <c r="C1" s="168"/>
      <c r="D1" s="168"/>
      <c r="E1" s="168"/>
    </row>
    <row r="2" spans="1:5" ht="13.5">
      <c r="A2" s="22"/>
      <c r="B2" s="22"/>
      <c r="C2" s="148"/>
      <c r="D2" s="148"/>
      <c r="E2" s="148"/>
    </row>
    <row r="3" spans="1:5" ht="14.25" thickBot="1">
      <c r="A3" s="22"/>
      <c r="B3" s="22"/>
      <c r="C3" s="23"/>
      <c r="D3" s="22"/>
      <c r="E3" s="22" t="s">
        <v>0</v>
      </c>
    </row>
    <row r="4" spans="1:5" ht="62.25" customHeight="1">
      <c r="A4" s="24" t="s">
        <v>1</v>
      </c>
      <c r="B4" s="25" t="s">
        <v>331</v>
      </c>
      <c r="C4" s="26" t="s">
        <v>351</v>
      </c>
      <c r="D4" s="25" t="s">
        <v>332</v>
      </c>
      <c r="E4" s="27" t="s">
        <v>333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9.5" customHeight="1">
      <c r="A7" s="38" t="s">
        <v>45</v>
      </c>
      <c r="B7" s="143">
        <f>SUM(B8)</f>
        <v>11181400</v>
      </c>
      <c r="C7" s="143">
        <f>SUM(C8)</f>
        <v>2884868.66</v>
      </c>
      <c r="D7" s="40">
        <f aca="true" t="shared" si="0" ref="D7:D128">IF(B7=0,"   ",C7/B7*100)</f>
        <v>25.800603323376325</v>
      </c>
      <c r="E7" s="41">
        <f aca="true" t="shared" si="1" ref="E7:E168">C7-B7</f>
        <v>-8296531.34</v>
      </c>
    </row>
    <row r="8" spans="1:5" ht="13.5">
      <c r="A8" s="21" t="s">
        <v>44</v>
      </c>
      <c r="B8" s="36">
        <v>11181400</v>
      </c>
      <c r="C8" s="86">
        <v>2884868.66</v>
      </c>
      <c r="D8" s="40">
        <f t="shared" si="0"/>
        <v>25.800603323376325</v>
      </c>
      <c r="E8" s="41">
        <f t="shared" si="1"/>
        <v>-8296531.34</v>
      </c>
    </row>
    <row r="9" spans="1:5" ht="18.75" customHeight="1">
      <c r="A9" s="38" t="s">
        <v>129</v>
      </c>
      <c r="B9" s="143">
        <f>SUM(B10)</f>
        <v>1570100</v>
      </c>
      <c r="C9" s="143">
        <f>SUM(C10)</f>
        <v>414873.76</v>
      </c>
      <c r="D9" s="40">
        <f t="shared" si="0"/>
        <v>26.423397235844853</v>
      </c>
      <c r="E9" s="41">
        <f t="shared" si="1"/>
        <v>-1155226.24</v>
      </c>
    </row>
    <row r="10" spans="1:5" ht="13.5">
      <c r="A10" s="21" t="s">
        <v>130</v>
      </c>
      <c r="B10" s="36">
        <v>1570100</v>
      </c>
      <c r="C10" s="86">
        <v>414873.76</v>
      </c>
      <c r="D10" s="40">
        <f t="shared" si="0"/>
        <v>26.423397235844853</v>
      </c>
      <c r="E10" s="41">
        <f t="shared" si="1"/>
        <v>-1155226.24</v>
      </c>
    </row>
    <row r="11" spans="1:5" ht="17.25" customHeight="1">
      <c r="A11" s="21" t="s">
        <v>7</v>
      </c>
      <c r="B11" s="36">
        <f>SUM(B12:B12)</f>
        <v>0</v>
      </c>
      <c r="C11" s="143">
        <f>SUM(C12)</f>
        <v>0</v>
      </c>
      <c r="D11" s="40" t="str">
        <f t="shared" si="0"/>
        <v>   </v>
      </c>
      <c r="E11" s="41">
        <f t="shared" si="1"/>
        <v>0</v>
      </c>
    </row>
    <row r="12" spans="1:5" ht="13.5">
      <c r="A12" s="21" t="s">
        <v>26</v>
      </c>
      <c r="B12" s="36">
        <v>0</v>
      </c>
      <c r="C12" s="86">
        <v>0</v>
      </c>
      <c r="D12" s="40" t="str">
        <f t="shared" si="0"/>
        <v>   </v>
      </c>
      <c r="E12" s="41">
        <f t="shared" si="1"/>
        <v>0</v>
      </c>
    </row>
    <row r="13" spans="1:5" ht="16.5" customHeight="1">
      <c r="A13" s="21" t="s">
        <v>9</v>
      </c>
      <c r="B13" s="36">
        <f>SUM(B14:B15)</f>
        <v>6653000</v>
      </c>
      <c r="C13" s="36">
        <f>SUM(C14:C15)</f>
        <v>438459.35</v>
      </c>
      <c r="D13" s="40">
        <f t="shared" si="0"/>
        <v>6.5904005711709</v>
      </c>
      <c r="E13" s="41">
        <f t="shared" si="1"/>
        <v>-6214540.65</v>
      </c>
    </row>
    <row r="14" spans="1:5" ht="13.5">
      <c r="A14" s="21" t="s">
        <v>27</v>
      </c>
      <c r="B14" s="36">
        <v>4148000</v>
      </c>
      <c r="C14" s="86">
        <v>202825.42</v>
      </c>
      <c r="D14" s="40">
        <f t="shared" si="0"/>
        <v>4.889716007714561</v>
      </c>
      <c r="E14" s="41">
        <f t="shared" si="1"/>
        <v>-3945174.58</v>
      </c>
    </row>
    <row r="15" spans="1:5" ht="13.5">
      <c r="A15" s="21" t="s">
        <v>151</v>
      </c>
      <c r="B15" s="36">
        <f>SUM(B16:B17)</f>
        <v>2505000</v>
      </c>
      <c r="C15" s="36">
        <f>SUM(C16:C17)</f>
        <v>235633.93</v>
      </c>
      <c r="D15" s="40">
        <f t="shared" si="0"/>
        <v>9.406544111776446</v>
      </c>
      <c r="E15" s="41">
        <f t="shared" si="1"/>
        <v>-2269366.07</v>
      </c>
    </row>
    <row r="16" spans="1:5" ht="13.5">
      <c r="A16" s="21" t="s">
        <v>152</v>
      </c>
      <c r="B16" s="36">
        <v>1063000</v>
      </c>
      <c r="C16" s="86">
        <v>133922</v>
      </c>
      <c r="D16" s="40">
        <f t="shared" si="0"/>
        <v>12.598494825964252</v>
      </c>
      <c r="E16" s="41">
        <f t="shared" si="1"/>
        <v>-929078</v>
      </c>
    </row>
    <row r="17" spans="1:5" ht="13.5">
      <c r="A17" s="21" t="s">
        <v>153</v>
      </c>
      <c r="B17" s="36">
        <v>1442000</v>
      </c>
      <c r="C17" s="86">
        <v>101711.93</v>
      </c>
      <c r="D17" s="40">
        <f t="shared" si="0"/>
        <v>7.053531900138696</v>
      </c>
      <c r="E17" s="41">
        <f t="shared" si="1"/>
        <v>-1340288.07</v>
      </c>
    </row>
    <row r="18" spans="1:5" ht="27">
      <c r="A18" s="21" t="s">
        <v>86</v>
      </c>
      <c r="B18" s="36">
        <v>0</v>
      </c>
      <c r="C18" s="107">
        <v>0</v>
      </c>
      <c r="D18" s="40" t="str">
        <f t="shared" si="0"/>
        <v>   </v>
      </c>
      <c r="E18" s="41">
        <f t="shared" si="1"/>
        <v>0</v>
      </c>
    </row>
    <row r="19" spans="1:5" ht="32.25" customHeight="1">
      <c r="A19" s="21" t="s">
        <v>28</v>
      </c>
      <c r="B19" s="36">
        <f>SUM(B20:B24)</f>
        <v>1606600</v>
      </c>
      <c r="C19" s="36">
        <f>SUM(C20:C24)</f>
        <v>435295.95</v>
      </c>
      <c r="D19" s="40">
        <f t="shared" si="0"/>
        <v>27.094233163201793</v>
      </c>
      <c r="E19" s="41">
        <f t="shared" si="1"/>
        <v>-1171304.05</v>
      </c>
    </row>
    <row r="20" spans="1:5" ht="13.5">
      <c r="A20" s="128" t="s">
        <v>144</v>
      </c>
      <c r="B20" s="36">
        <v>525800</v>
      </c>
      <c r="C20" s="86">
        <v>72206.4</v>
      </c>
      <c r="D20" s="40">
        <f t="shared" si="0"/>
        <v>13.732674020540129</v>
      </c>
      <c r="E20" s="41">
        <f t="shared" si="1"/>
        <v>-453593.6</v>
      </c>
    </row>
    <row r="21" spans="1:5" ht="13.5">
      <c r="A21" s="21" t="s">
        <v>143</v>
      </c>
      <c r="B21" s="36">
        <v>0</v>
      </c>
      <c r="C21" s="107">
        <v>0</v>
      </c>
      <c r="D21" s="40" t="str">
        <f t="shared" si="0"/>
        <v>   </v>
      </c>
      <c r="E21" s="41">
        <f t="shared" si="1"/>
        <v>0</v>
      </c>
    </row>
    <row r="22" spans="1:5" ht="16.5" customHeight="1">
      <c r="A22" s="21" t="s">
        <v>30</v>
      </c>
      <c r="B22" s="36">
        <v>14000</v>
      </c>
      <c r="C22" s="86">
        <v>0</v>
      </c>
      <c r="D22" s="40">
        <f t="shared" si="0"/>
        <v>0</v>
      </c>
      <c r="E22" s="41">
        <f t="shared" si="1"/>
        <v>-14000</v>
      </c>
    </row>
    <row r="23" spans="1:5" ht="31.5" customHeight="1">
      <c r="A23" s="21" t="s">
        <v>308</v>
      </c>
      <c r="B23" s="36">
        <v>0</v>
      </c>
      <c r="C23" s="86">
        <v>6878.85</v>
      </c>
      <c r="D23" s="40" t="str">
        <f>IF(B23=0,"   ",C23/B23*100)</f>
        <v>   </v>
      </c>
      <c r="E23" s="41">
        <f>C23-B23</f>
        <v>6878.85</v>
      </c>
    </row>
    <row r="24" spans="1:5" ht="42" customHeight="1">
      <c r="A24" s="21" t="s">
        <v>190</v>
      </c>
      <c r="B24" s="36">
        <v>1066800</v>
      </c>
      <c r="C24" s="86">
        <v>356210.7</v>
      </c>
      <c r="D24" s="40">
        <f t="shared" si="0"/>
        <v>33.39057930258718</v>
      </c>
      <c r="E24" s="41">
        <f t="shared" si="1"/>
        <v>-710589.3</v>
      </c>
    </row>
    <row r="25" spans="1:5" ht="19.5" customHeight="1">
      <c r="A25" s="21" t="s">
        <v>88</v>
      </c>
      <c r="B25" s="36">
        <v>0</v>
      </c>
      <c r="C25" s="86">
        <v>0</v>
      </c>
      <c r="D25" s="40" t="str">
        <f t="shared" si="0"/>
        <v>   </v>
      </c>
      <c r="E25" s="41">
        <f t="shared" si="1"/>
        <v>0</v>
      </c>
    </row>
    <row r="26" spans="1:5" ht="15.75" customHeight="1">
      <c r="A26" s="21" t="s">
        <v>76</v>
      </c>
      <c r="B26" s="36">
        <f>SUM(B27:B28)</f>
        <v>45600</v>
      </c>
      <c r="C26" s="36">
        <f>SUM(C27:C28)</f>
        <v>46648.94</v>
      </c>
      <c r="D26" s="40">
        <f t="shared" si="0"/>
        <v>102.30030701754387</v>
      </c>
      <c r="E26" s="41">
        <f t="shared" si="1"/>
        <v>1048.9400000000023</v>
      </c>
    </row>
    <row r="27" spans="1:5" ht="15.75" customHeight="1">
      <c r="A27" s="21" t="s">
        <v>191</v>
      </c>
      <c r="B27" s="36">
        <v>0</v>
      </c>
      <c r="C27" s="36">
        <v>0</v>
      </c>
      <c r="D27" s="40" t="str">
        <f t="shared" si="0"/>
        <v>   </v>
      </c>
      <c r="E27" s="41">
        <f t="shared" si="1"/>
        <v>0</v>
      </c>
    </row>
    <row r="28" spans="1:5" ht="19.5" customHeight="1">
      <c r="A28" s="21" t="s">
        <v>218</v>
      </c>
      <c r="B28" s="36">
        <v>45600</v>
      </c>
      <c r="C28" s="86">
        <v>46648.94</v>
      </c>
      <c r="D28" s="40">
        <f t="shared" si="0"/>
        <v>102.30030701754387</v>
      </c>
      <c r="E28" s="41">
        <f t="shared" si="1"/>
        <v>1048.9400000000023</v>
      </c>
    </row>
    <row r="29" spans="1:5" ht="15" customHeight="1">
      <c r="A29" s="21" t="s">
        <v>31</v>
      </c>
      <c r="B29" s="36">
        <v>0</v>
      </c>
      <c r="C29" s="36">
        <v>0</v>
      </c>
      <c r="D29" s="40" t="str">
        <f t="shared" si="0"/>
        <v>   </v>
      </c>
      <c r="E29" s="41">
        <f t="shared" si="1"/>
        <v>0</v>
      </c>
    </row>
    <row r="30" spans="1:5" ht="13.5">
      <c r="A30" s="21" t="s">
        <v>32</v>
      </c>
      <c r="B30" s="36">
        <f>B31+B33+B32</f>
        <v>413595.6</v>
      </c>
      <c r="C30" s="36">
        <f>C31+C33+C32</f>
        <v>0</v>
      </c>
      <c r="D30" s="40">
        <f t="shared" si="0"/>
        <v>0</v>
      </c>
      <c r="E30" s="41">
        <f t="shared" si="1"/>
        <v>-413595.6</v>
      </c>
    </row>
    <row r="31" spans="1:5" ht="13.5" customHeight="1">
      <c r="A31" s="21" t="s">
        <v>46</v>
      </c>
      <c r="B31" s="36">
        <v>0</v>
      </c>
      <c r="C31" s="36">
        <v>0</v>
      </c>
      <c r="D31" s="40" t="str">
        <f t="shared" si="0"/>
        <v>   </v>
      </c>
      <c r="E31" s="41">
        <f t="shared" si="1"/>
        <v>0</v>
      </c>
    </row>
    <row r="32" spans="1:5" ht="13.5" customHeight="1">
      <c r="A32" s="21" t="s">
        <v>309</v>
      </c>
      <c r="B32" s="36">
        <v>413595.6</v>
      </c>
      <c r="C32" s="36">
        <v>0</v>
      </c>
      <c r="D32" s="40">
        <f t="shared" si="0"/>
        <v>0</v>
      </c>
      <c r="E32" s="41">
        <f t="shared" si="1"/>
        <v>-413595.6</v>
      </c>
    </row>
    <row r="33" spans="1:5" ht="15.75" customHeight="1">
      <c r="A33" s="21" t="s">
        <v>105</v>
      </c>
      <c r="B33" s="36">
        <v>0</v>
      </c>
      <c r="C33" s="107">
        <v>0</v>
      </c>
      <c r="D33" s="40" t="str">
        <f t="shared" si="0"/>
        <v>   </v>
      </c>
      <c r="E33" s="41">
        <f t="shared" si="1"/>
        <v>0</v>
      </c>
    </row>
    <row r="34" spans="1:5" ht="15" customHeight="1">
      <c r="A34" s="44" t="s">
        <v>10</v>
      </c>
      <c r="B34" s="116">
        <f>SUM(B7,B9,B11,B13,B18,B19,B25,B26,B29,B30,)</f>
        <v>21470295.6</v>
      </c>
      <c r="C34" s="116">
        <f>SUM(C7,C9,C11,C13,C18,C19,C25,C26,C29,C30,)</f>
        <v>4220146.66</v>
      </c>
      <c r="D34" s="46">
        <f t="shared" si="0"/>
        <v>19.65574549425393</v>
      </c>
      <c r="E34" s="47">
        <f t="shared" si="1"/>
        <v>-17250148.94</v>
      </c>
    </row>
    <row r="35" spans="1:5" ht="18" customHeight="1">
      <c r="A35" s="62" t="s">
        <v>132</v>
      </c>
      <c r="B35" s="145">
        <f>B36+B38+B39+B42+B45+B46+B47+B48+B50+B60+B43+B44+B49</f>
        <v>109661464.09</v>
      </c>
      <c r="C35" s="145">
        <f>C36+C38+C39+C42+C45+C46+C47+C48+C50+C60+C43+C44</f>
        <v>19157761.740000002</v>
      </c>
      <c r="D35" s="46">
        <f t="shared" si="0"/>
        <v>17.46991242454786</v>
      </c>
      <c r="E35" s="47">
        <f t="shared" si="1"/>
        <v>-90503702.35</v>
      </c>
    </row>
    <row r="36" spans="1:5" ht="15" customHeight="1">
      <c r="A36" s="38" t="s">
        <v>34</v>
      </c>
      <c r="B36" s="143">
        <v>7993700</v>
      </c>
      <c r="C36" s="86">
        <v>1998300</v>
      </c>
      <c r="D36" s="40">
        <f t="shared" si="0"/>
        <v>24.99843626856149</v>
      </c>
      <c r="E36" s="41">
        <f t="shared" si="1"/>
        <v>-5995400</v>
      </c>
    </row>
    <row r="37" spans="1:5" ht="15" customHeight="1">
      <c r="A37" s="38" t="s">
        <v>217</v>
      </c>
      <c r="B37" s="143">
        <v>0</v>
      </c>
      <c r="C37" s="86">
        <v>0</v>
      </c>
      <c r="D37" s="40" t="str">
        <f>IF(B37=0,"   ",C37/B37*100)</f>
        <v>   </v>
      </c>
      <c r="E37" s="41">
        <f>C37-B37</f>
        <v>0</v>
      </c>
    </row>
    <row r="38" spans="1:5" ht="33" customHeight="1">
      <c r="A38" s="21" t="s">
        <v>51</v>
      </c>
      <c r="B38" s="36">
        <v>471600</v>
      </c>
      <c r="C38" s="86">
        <v>102300</v>
      </c>
      <c r="D38" s="40">
        <f t="shared" si="0"/>
        <v>21.692111959287534</v>
      </c>
      <c r="E38" s="41">
        <f t="shared" si="1"/>
        <v>-369300</v>
      </c>
    </row>
    <row r="39" spans="1:5" ht="33" customHeight="1">
      <c r="A39" s="21" t="s">
        <v>139</v>
      </c>
      <c r="B39" s="36">
        <f>SUM(B40:B41)</f>
        <v>158300</v>
      </c>
      <c r="C39" s="36">
        <f>SUM(C40:C41)</f>
        <v>0</v>
      </c>
      <c r="D39" s="40">
        <f t="shared" si="0"/>
        <v>0</v>
      </c>
      <c r="E39" s="41">
        <f t="shared" si="1"/>
        <v>-158300</v>
      </c>
    </row>
    <row r="40" spans="1:5" ht="13.5" customHeight="1">
      <c r="A40" s="52" t="s">
        <v>154</v>
      </c>
      <c r="B40" s="36">
        <v>1100</v>
      </c>
      <c r="C40" s="107">
        <v>0</v>
      </c>
      <c r="D40" s="40">
        <f>IF(B40=0,"   ",C40/B40*100)</f>
        <v>0</v>
      </c>
      <c r="E40" s="41">
        <f>C40-B40</f>
        <v>-1100</v>
      </c>
    </row>
    <row r="41" spans="1:5" ht="31.5" customHeight="1">
      <c r="A41" s="52" t="s">
        <v>155</v>
      </c>
      <c r="B41" s="36">
        <v>157200</v>
      </c>
      <c r="C41" s="107">
        <v>0</v>
      </c>
      <c r="D41" s="40">
        <f>IF(B41=0,"   ",C41/B41*100)</f>
        <v>0</v>
      </c>
      <c r="E41" s="41">
        <f>C41-B41</f>
        <v>-157200</v>
      </c>
    </row>
    <row r="42" spans="1:5" ht="47.25" customHeight="1">
      <c r="A42" s="21" t="s">
        <v>118</v>
      </c>
      <c r="B42" s="36">
        <v>0</v>
      </c>
      <c r="C42" s="107">
        <v>0</v>
      </c>
      <c r="D42" s="40" t="str">
        <f t="shared" si="0"/>
        <v>   </v>
      </c>
      <c r="E42" s="41">
        <f t="shared" si="1"/>
        <v>0</v>
      </c>
    </row>
    <row r="43" spans="1:5" ht="33" customHeight="1">
      <c r="A43" s="21" t="s">
        <v>322</v>
      </c>
      <c r="B43" s="36">
        <v>0</v>
      </c>
      <c r="C43" s="107">
        <v>0</v>
      </c>
      <c r="D43" s="40" t="str">
        <f t="shared" si="0"/>
        <v>   </v>
      </c>
      <c r="E43" s="41">
        <f t="shared" si="1"/>
        <v>0</v>
      </c>
    </row>
    <row r="44" spans="1:5" ht="33" customHeight="1">
      <c r="A44" s="21" t="s">
        <v>268</v>
      </c>
      <c r="B44" s="36">
        <v>0</v>
      </c>
      <c r="C44" s="107">
        <v>0</v>
      </c>
      <c r="D44" s="40" t="str">
        <f t="shared" si="0"/>
        <v>   </v>
      </c>
      <c r="E44" s="41">
        <f t="shared" si="1"/>
        <v>0</v>
      </c>
    </row>
    <row r="45" spans="1:5" ht="47.25" customHeight="1">
      <c r="A45" s="21" t="s">
        <v>208</v>
      </c>
      <c r="B45" s="157">
        <v>5739532.75</v>
      </c>
      <c r="C45" s="43">
        <v>0</v>
      </c>
      <c r="D45" s="50">
        <f>IF(B45=0,"   ",C45/B45)</f>
        <v>0</v>
      </c>
      <c r="E45" s="51">
        <f>C45-B45</f>
        <v>-5739532.75</v>
      </c>
    </row>
    <row r="46" spans="1:5" ht="47.25" customHeight="1">
      <c r="A46" s="21" t="s">
        <v>334</v>
      </c>
      <c r="B46" s="157">
        <v>50000000</v>
      </c>
      <c r="C46" s="43">
        <v>0</v>
      </c>
      <c r="D46" s="50">
        <f>IF(B46=0,"   ",C46/B46)</f>
        <v>0</v>
      </c>
      <c r="E46" s="51">
        <f>C46-B46</f>
        <v>-50000000</v>
      </c>
    </row>
    <row r="47" spans="1:5" ht="57" customHeight="1">
      <c r="A47" s="21" t="s">
        <v>244</v>
      </c>
      <c r="B47" s="157">
        <v>15592000</v>
      </c>
      <c r="C47" s="43">
        <v>0</v>
      </c>
      <c r="D47" s="50">
        <f>IF(B47=0,"   ",C47/B47)</f>
        <v>0</v>
      </c>
      <c r="E47" s="51">
        <f>C47-B47</f>
        <v>-15592000</v>
      </c>
    </row>
    <row r="48" spans="1:5" ht="58.5" customHeight="1">
      <c r="A48" s="21" t="s">
        <v>227</v>
      </c>
      <c r="B48" s="36">
        <v>1741900</v>
      </c>
      <c r="C48" s="107">
        <v>0</v>
      </c>
      <c r="D48" s="40">
        <f t="shared" si="0"/>
        <v>0</v>
      </c>
      <c r="E48" s="41">
        <f t="shared" si="1"/>
        <v>-1741900</v>
      </c>
    </row>
    <row r="49" spans="1:5" ht="48" customHeight="1">
      <c r="A49" s="21" t="s">
        <v>363</v>
      </c>
      <c r="B49" s="36">
        <v>9548369.6</v>
      </c>
      <c r="C49" s="107">
        <v>0</v>
      </c>
      <c r="D49" s="40"/>
      <c r="E49" s="41">
        <f t="shared" si="1"/>
        <v>-9548369.6</v>
      </c>
    </row>
    <row r="50" spans="1:5" ht="15" customHeight="1">
      <c r="A50" s="21" t="s">
        <v>55</v>
      </c>
      <c r="B50" s="36">
        <f>SUM(B51:B59)</f>
        <v>18416061.740000002</v>
      </c>
      <c r="C50" s="36">
        <f>SUM(C51:C59)</f>
        <v>17057161.740000002</v>
      </c>
      <c r="D50" s="40">
        <f t="shared" si="0"/>
        <v>92.62111509406789</v>
      </c>
      <c r="E50" s="41">
        <f t="shared" si="1"/>
        <v>-1358900</v>
      </c>
    </row>
    <row r="51" spans="1:5" ht="30" customHeight="1">
      <c r="A51" s="21" t="s">
        <v>178</v>
      </c>
      <c r="B51" s="36">
        <v>0</v>
      </c>
      <c r="C51" s="36">
        <v>0</v>
      </c>
      <c r="D51" s="40" t="str">
        <f t="shared" si="0"/>
        <v>   </v>
      </c>
      <c r="E51" s="41">
        <f t="shared" si="1"/>
        <v>0</v>
      </c>
    </row>
    <row r="52" spans="1:5" ht="30" customHeight="1">
      <c r="A52" s="21" t="s">
        <v>258</v>
      </c>
      <c r="B52" s="36">
        <v>0</v>
      </c>
      <c r="C52" s="36">
        <v>0</v>
      </c>
      <c r="D52" s="40"/>
      <c r="E52" s="41"/>
    </row>
    <row r="53" spans="1:5" ht="15.75" customHeight="1">
      <c r="A53" s="21" t="s">
        <v>251</v>
      </c>
      <c r="B53" s="36">
        <v>0</v>
      </c>
      <c r="C53" s="36">
        <v>0</v>
      </c>
      <c r="D53" s="40" t="str">
        <f>IF(B53=0,"   ",C53/B53*100)</f>
        <v>   </v>
      </c>
      <c r="E53" s="41">
        <f>C53-B53</f>
        <v>0</v>
      </c>
    </row>
    <row r="54" spans="1:5" ht="18" customHeight="1">
      <c r="A54" s="21" t="s">
        <v>281</v>
      </c>
      <c r="B54" s="36">
        <v>16201061.74</v>
      </c>
      <c r="C54" s="36">
        <v>16201061.74</v>
      </c>
      <c r="D54" s="40">
        <f>IF(B54=0,"   ",C54/B54*100)</f>
        <v>100</v>
      </c>
      <c r="E54" s="41">
        <f>C54-B54</f>
        <v>0</v>
      </c>
    </row>
    <row r="55" spans="1:5" ht="24" customHeight="1">
      <c r="A55" s="21" t="s">
        <v>293</v>
      </c>
      <c r="B55" s="36">
        <v>1107600</v>
      </c>
      <c r="C55" s="36">
        <v>0</v>
      </c>
      <c r="D55" s="40">
        <f>IF(B55=0,"   ",C55/B55*100)</f>
        <v>0</v>
      </c>
      <c r="E55" s="41">
        <f>C55-B55</f>
        <v>-1107600</v>
      </c>
    </row>
    <row r="56" spans="1:5" ht="18" customHeight="1">
      <c r="A56" s="21" t="s">
        <v>294</v>
      </c>
      <c r="B56" s="36">
        <v>0</v>
      </c>
      <c r="C56" s="36">
        <v>0</v>
      </c>
      <c r="D56" s="40"/>
      <c r="E56" s="41"/>
    </row>
    <row r="57" spans="1:5" ht="15" customHeight="1">
      <c r="A57" s="21" t="s">
        <v>267</v>
      </c>
      <c r="B57" s="36">
        <v>0</v>
      </c>
      <c r="C57" s="36">
        <v>0</v>
      </c>
      <c r="D57" s="40" t="str">
        <f>IF(B57=0,"   ",C57/B57*100)</f>
        <v>   </v>
      </c>
      <c r="E57" s="41">
        <f>C57-B57</f>
        <v>0</v>
      </c>
    </row>
    <row r="58" spans="1:5" ht="15" customHeight="1">
      <c r="A58" s="21" t="s">
        <v>290</v>
      </c>
      <c r="B58" s="36">
        <v>251300</v>
      </c>
      <c r="C58" s="36">
        <v>0</v>
      </c>
      <c r="D58" s="40"/>
      <c r="E58" s="41"/>
    </row>
    <row r="59" spans="1:5" ht="18" customHeight="1">
      <c r="A59" s="21" t="s">
        <v>104</v>
      </c>
      <c r="B59" s="36">
        <v>856100</v>
      </c>
      <c r="C59" s="107">
        <v>856100</v>
      </c>
      <c r="D59" s="40">
        <f t="shared" si="0"/>
        <v>100</v>
      </c>
      <c r="E59" s="41">
        <f t="shared" si="1"/>
        <v>0</v>
      </c>
    </row>
    <row r="60" spans="1:5" ht="18" customHeight="1">
      <c r="A60" s="21" t="s">
        <v>175</v>
      </c>
      <c r="B60" s="36">
        <v>0</v>
      </c>
      <c r="C60" s="107">
        <v>0</v>
      </c>
      <c r="D60" s="40" t="str">
        <f t="shared" si="0"/>
        <v>   </v>
      </c>
      <c r="E60" s="41">
        <f t="shared" si="1"/>
        <v>0</v>
      </c>
    </row>
    <row r="61" spans="1:5" ht="29.25" customHeight="1">
      <c r="A61" s="44" t="s">
        <v>11</v>
      </c>
      <c r="B61" s="116">
        <f>SUM(B34,B35,)</f>
        <v>131131759.69</v>
      </c>
      <c r="C61" s="116">
        <f>SUM(C34,C35,)</f>
        <v>23377908.400000002</v>
      </c>
      <c r="D61" s="46">
        <f t="shared" si="0"/>
        <v>17.827800416364568</v>
      </c>
      <c r="E61" s="47">
        <f t="shared" si="1"/>
        <v>-107753851.28999999</v>
      </c>
    </row>
    <row r="62" spans="1:5" ht="16.5" customHeight="1">
      <c r="A62" s="44"/>
      <c r="B62" s="143"/>
      <c r="C62" s="36"/>
      <c r="D62" s="40" t="str">
        <f t="shared" si="0"/>
        <v>   </v>
      </c>
      <c r="E62" s="41"/>
    </row>
    <row r="63" spans="1:5" ht="14.25">
      <c r="A63" s="56" t="s">
        <v>12</v>
      </c>
      <c r="B63" s="116"/>
      <c r="C63" s="99"/>
      <c r="D63" s="40" t="str">
        <f t="shared" si="0"/>
        <v>   </v>
      </c>
      <c r="E63" s="41"/>
    </row>
    <row r="64" spans="1:5" ht="18" customHeight="1">
      <c r="A64" s="21" t="s">
        <v>35</v>
      </c>
      <c r="B64" s="36">
        <f>SUM(B65,B68,B69)</f>
        <v>3347700</v>
      </c>
      <c r="C64" s="36">
        <f>SUM(C65,C68,C69)</f>
        <v>498008.32</v>
      </c>
      <c r="D64" s="40">
        <f t="shared" si="0"/>
        <v>14.876133464766855</v>
      </c>
      <c r="E64" s="41">
        <f t="shared" si="1"/>
        <v>-2849691.68</v>
      </c>
    </row>
    <row r="65" spans="1:5" ht="16.5" customHeight="1">
      <c r="A65" s="21" t="s">
        <v>36</v>
      </c>
      <c r="B65" s="36">
        <v>3215700</v>
      </c>
      <c r="C65" s="107">
        <v>498008.32</v>
      </c>
      <c r="D65" s="40">
        <f t="shared" si="0"/>
        <v>15.486777995459775</v>
      </c>
      <c r="E65" s="41">
        <f t="shared" si="1"/>
        <v>-2717691.68</v>
      </c>
    </row>
    <row r="66" spans="1:5" ht="13.5">
      <c r="A66" s="21" t="s">
        <v>116</v>
      </c>
      <c r="B66" s="36">
        <v>1661367</v>
      </c>
      <c r="C66" s="99">
        <v>283494.59</v>
      </c>
      <c r="D66" s="40">
        <f t="shared" si="0"/>
        <v>17.063935301471624</v>
      </c>
      <c r="E66" s="41">
        <f t="shared" si="1"/>
        <v>-1377872.41</v>
      </c>
    </row>
    <row r="67" spans="1:5" ht="13.5">
      <c r="A67" s="21" t="s">
        <v>324</v>
      </c>
      <c r="B67" s="36">
        <v>0</v>
      </c>
      <c r="C67" s="99">
        <v>0</v>
      </c>
      <c r="D67" s="40" t="str">
        <f>IF(B67=0,"   ",C67/B67*100)</f>
        <v>   </v>
      </c>
      <c r="E67" s="41">
        <f>C67-B67</f>
        <v>0</v>
      </c>
    </row>
    <row r="68" spans="1:5" ht="13.5">
      <c r="A68" s="21" t="s">
        <v>91</v>
      </c>
      <c r="B68" s="36">
        <v>10000</v>
      </c>
      <c r="C68" s="99">
        <v>0</v>
      </c>
      <c r="D68" s="40">
        <f t="shared" si="0"/>
        <v>0</v>
      </c>
      <c r="E68" s="41">
        <f t="shared" si="1"/>
        <v>-10000</v>
      </c>
    </row>
    <row r="69" spans="1:5" ht="13.5">
      <c r="A69" s="21" t="s">
        <v>52</v>
      </c>
      <c r="B69" s="107">
        <f>SUM(B70+B72+B73+B71)</f>
        <v>122000</v>
      </c>
      <c r="C69" s="107">
        <f>SUM(C70+C72+C73+C71)</f>
        <v>0</v>
      </c>
      <c r="D69" s="40">
        <f t="shared" si="0"/>
        <v>0</v>
      </c>
      <c r="E69" s="41">
        <f t="shared" si="1"/>
        <v>-122000</v>
      </c>
    </row>
    <row r="70" spans="1:5" ht="26.25" customHeight="1">
      <c r="A70" s="17" t="s">
        <v>231</v>
      </c>
      <c r="B70" s="36">
        <v>120000</v>
      </c>
      <c r="C70" s="36">
        <v>0</v>
      </c>
      <c r="D70" s="40">
        <f t="shared" si="0"/>
        <v>0</v>
      </c>
      <c r="E70" s="41">
        <f t="shared" si="1"/>
        <v>-120000</v>
      </c>
    </row>
    <row r="71" spans="1:5" ht="12.75" customHeight="1">
      <c r="A71" s="17" t="s">
        <v>230</v>
      </c>
      <c r="B71" s="36">
        <v>2000</v>
      </c>
      <c r="C71" s="36">
        <v>0</v>
      </c>
      <c r="D71" s="40">
        <f t="shared" si="0"/>
        <v>0</v>
      </c>
      <c r="E71" s="41">
        <f t="shared" si="1"/>
        <v>-2000</v>
      </c>
    </row>
    <row r="72" spans="1:5" ht="26.25" customHeight="1">
      <c r="A72" s="17" t="s">
        <v>234</v>
      </c>
      <c r="B72" s="36">
        <v>0</v>
      </c>
      <c r="C72" s="36">
        <v>0</v>
      </c>
      <c r="D72" s="40" t="str">
        <f t="shared" si="0"/>
        <v>   </v>
      </c>
      <c r="E72" s="41">
        <f t="shared" si="1"/>
        <v>0</v>
      </c>
    </row>
    <row r="73" spans="1:5" ht="13.5">
      <c r="A73" s="17" t="s">
        <v>211</v>
      </c>
      <c r="B73" s="36">
        <v>0</v>
      </c>
      <c r="C73" s="36">
        <v>0</v>
      </c>
      <c r="D73" s="40" t="str">
        <f t="shared" si="0"/>
        <v>   </v>
      </c>
      <c r="E73" s="41">
        <f t="shared" si="1"/>
        <v>0</v>
      </c>
    </row>
    <row r="74" spans="1:5" ht="21" customHeight="1">
      <c r="A74" s="21" t="s">
        <v>49</v>
      </c>
      <c r="B74" s="107">
        <f>SUM(B75)</f>
        <v>471600</v>
      </c>
      <c r="C74" s="107">
        <f>SUM(C75)</f>
        <v>77087.62</v>
      </c>
      <c r="D74" s="40">
        <f t="shared" si="0"/>
        <v>16.3459754028838</v>
      </c>
      <c r="E74" s="41">
        <f t="shared" si="1"/>
        <v>-394512.38</v>
      </c>
    </row>
    <row r="75" spans="1:5" ht="17.25" customHeight="1">
      <c r="A75" s="21" t="s">
        <v>102</v>
      </c>
      <c r="B75" s="36">
        <v>471600</v>
      </c>
      <c r="C75" s="107">
        <v>77087.62</v>
      </c>
      <c r="D75" s="40">
        <f t="shared" si="0"/>
        <v>16.3459754028838</v>
      </c>
      <c r="E75" s="41">
        <f t="shared" si="1"/>
        <v>-394512.38</v>
      </c>
    </row>
    <row r="76" spans="1:5" ht="15.75" customHeight="1">
      <c r="A76" s="21" t="s">
        <v>37</v>
      </c>
      <c r="B76" s="107">
        <f>SUM(B77+B80)</f>
        <v>963400</v>
      </c>
      <c r="C76" s="107">
        <f>SUM(C77+C80)</f>
        <v>98346.77</v>
      </c>
      <c r="D76" s="40">
        <f t="shared" si="0"/>
        <v>10.208300809632552</v>
      </c>
      <c r="E76" s="41">
        <f t="shared" si="1"/>
        <v>-865053.23</v>
      </c>
    </row>
    <row r="77" spans="1:5" ht="27" customHeight="1">
      <c r="A77" s="60" t="s">
        <v>315</v>
      </c>
      <c r="B77" s="36">
        <f>B78</f>
        <v>940000</v>
      </c>
      <c r="C77" s="36">
        <f>C78</f>
        <v>98346.77</v>
      </c>
      <c r="D77" s="40">
        <f t="shared" si="0"/>
        <v>10.462422340425533</v>
      </c>
      <c r="E77" s="41">
        <f t="shared" si="1"/>
        <v>-841653.23</v>
      </c>
    </row>
    <row r="78" spans="1:5" ht="16.5" customHeight="1">
      <c r="A78" s="21" t="s">
        <v>92</v>
      </c>
      <c r="B78" s="36">
        <v>940000</v>
      </c>
      <c r="C78" s="36">
        <v>98346.77</v>
      </c>
      <c r="D78" s="40">
        <f t="shared" si="0"/>
        <v>10.462422340425533</v>
      </c>
      <c r="E78" s="41">
        <f t="shared" si="1"/>
        <v>-841653.23</v>
      </c>
    </row>
    <row r="79" spans="1:5" ht="14.25" customHeight="1">
      <c r="A79" s="21" t="s">
        <v>116</v>
      </c>
      <c r="B79" s="36">
        <v>708141</v>
      </c>
      <c r="C79" s="107">
        <v>79084</v>
      </c>
      <c r="D79" s="40">
        <f t="shared" si="0"/>
        <v>11.16783239496089</v>
      </c>
      <c r="E79" s="41">
        <f t="shared" si="1"/>
        <v>-629057</v>
      </c>
    </row>
    <row r="80" spans="1:5" ht="16.5" customHeight="1">
      <c r="A80" s="21" t="s">
        <v>317</v>
      </c>
      <c r="B80" s="36">
        <v>23400</v>
      </c>
      <c r="C80" s="107">
        <v>0</v>
      </c>
      <c r="D80" s="40">
        <f t="shared" si="0"/>
        <v>0</v>
      </c>
      <c r="E80" s="41">
        <f t="shared" si="1"/>
        <v>-23400</v>
      </c>
    </row>
    <row r="81" spans="1:5" ht="18" customHeight="1">
      <c r="A81" s="21" t="s">
        <v>38</v>
      </c>
      <c r="B81" s="36">
        <f>B91+B84+B89+B106+B82</f>
        <v>22546544.4</v>
      </c>
      <c r="C81" s="36">
        <f>C91+C84+C89+C106+C82</f>
        <v>951300</v>
      </c>
      <c r="D81" s="40">
        <f t="shared" si="0"/>
        <v>4.219271845489547</v>
      </c>
      <c r="E81" s="41">
        <f t="shared" si="1"/>
        <v>-21595244.4</v>
      </c>
    </row>
    <row r="82" spans="1:5" ht="18" customHeight="1">
      <c r="A82" s="62" t="s">
        <v>228</v>
      </c>
      <c r="B82" s="36">
        <f>SUM(B83)</f>
        <v>0</v>
      </c>
      <c r="C82" s="36">
        <f>SUM(C83)</f>
        <v>0</v>
      </c>
      <c r="D82" s="40" t="str">
        <f t="shared" si="0"/>
        <v>   </v>
      </c>
      <c r="E82" s="41">
        <f t="shared" si="1"/>
        <v>0</v>
      </c>
    </row>
    <row r="83" spans="1:5" ht="16.5" customHeight="1">
      <c r="A83" s="62" t="s">
        <v>229</v>
      </c>
      <c r="B83" s="36">
        <v>0</v>
      </c>
      <c r="C83" s="36">
        <v>0</v>
      </c>
      <c r="D83" s="40" t="str">
        <f t="shared" si="0"/>
        <v>   </v>
      </c>
      <c r="E83" s="41">
        <f t="shared" si="1"/>
        <v>0</v>
      </c>
    </row>
    <row r="84" spans="1:5" ht="18" customHeight="1">
      <c r="A84" s="62" t="s">
        <v>156</v>
      </c>
      <c r="B84" s="36">
        <f>SUM(B85:B88)</f>
        <v>484600</v>
      </c>
      <c r="C84" s="36">
        <f>SUM(C85:C88)</f>
        <v>0</v>
      </c>
      <c r="D84" s="40">
        <f aca="true" t="shared" si="2" ref="D84:D90">IF(B84=0,"   ",C84/B84*100)</f>
        <v>0</v>
      </c>
      <c r="E84" s="41">
        <f aca="true" t="shared" si="3" ref="E84:E90">C84-B84</f>
        <v>-484600</v>
      </c>
    </row>
    <row r="85" spans="1:5" ht="18" customHeight="1">
      <c r="A85" s="62" t="s">
        <v>160</v>
      </c>
      <c r="B85" s="36">
        <v>60000</v>
      </c>
      <c r="C85" s="36">
        <v>0</v>
      </c>
      <c r="D85" s="40">
        <f t="shared" si="2"/>
        <v>0</v>
      </c>
      <c r="E85" s="41">
        <f t="shared" si="3"/>
        <v>-60000</v>
      </c>
    </row>
    <row r="86" spans="1:5" ht="18" customHeight="1">
      <c r="A86" s="62" t="s">
        <v>157</v>
      </c>
      <c r="B86" s="36">
        <v>157200</v>
      </c>
      <c r="C86" s="36">
        <v>0</v>
      </c>
      <c r="D86" s="40">
        <f t="shared" si="2"/>
        <v>0</v>
      </c>
      <c r="E86" s="41">
        <f t="shared" si="3"/>
        <v>-157200</v>
      </c>
    </row>
    <row r="87" spans="1:5" ht="18" customHeight="1">
      <c r="A87" s="62" t="s">
        <v>291</v>
      </c>
      <c r="B87" s="36">
        <v>251300</v>
      </c>
      <c r="C87" s="36">
        <v>0</v>
      </c>
      <c r="D87" s="40">
        <f t="shared" si="2"/>
        <v>0</v>
      </c>
      <c r="E87" s="41">
        <f t="shared" si="3"/>
        <v>-251300</v>
      </c>
    </row>
    <row r="88" spans="1:5" ht="18" customHeight="1">
      <c r="A88" s="62" t="s">
        <v>292</v>
      </c>
      <c r="B88" s="36">
        <v>16100</v>
      </c>
      <c r="C88" s="36">
        <v>0</v>
      </c>
      <c r="D88" s="40">
        <f t="shared" si="2"/>
        <v>0</v>
      </c>
      <c r="E88" s="41">
        <f t="shared" si="3"/>
        <v>-16100</v>
      </c>
    </row>
    <row r="89" spans="1:5" ht="18" customHeight="1">
      <c r="A89" s="62" t="s">
        <v>219</v>
      </c>
      <c r="B89" s="36">
        <f>SUM(B90)</f>
        <v>0</v>
      </c>
      <c r="C89" s="36">
        <f>SUM(C90)</f>
        <v>0</v>
      </c>
      <c r="D89" s="40" t="str">
        <f t="shared" si="2"/>
        <v>   </v>
      </c>
      <c r="E89" s="41">
        <f t="shared" si="3"/>
        <v>0</v>
      </c>
    </row>
    <row r="90" spans="1:5" ht="18" customHeight="1">
      <c r="A90" s="62" t="s">
        <v>220</v>
      </c>
      <c r="B90" s="36">
        <v>0</v>
      </c>
      <c r="C90" s="36">
        <v>0</v>
      </c>
      <c r="D90" s="40" t="str">
        <f t="shared" si="2"/>
        <v>   </v>
      </c>
      <c r="E90" s="41">
        <f t="shared" si="3"/>
        <v>0</v>
      </c>
    </row>
    <row r="91" spans="1:5" ht="18.75" customHeight="1">
      <c r="A91" s="62" t="s">
        <v>124</v>
      </c>
      <c r="B91" s="36">
        <f>SUM(B92:B93,B97:B105)</f>
        <v>21961944.4</v>
      </c>
      <c r="C91" s="36">
        <f>SUM(C92:C93,C97:C105)</f>
        <v>951300</v>
      </c>
      <c r="D91" s="40">
        <f t="shared" si="0"/>
        <v>4.331583682544975</v>
      </c>
      <c r="E91" s="41">
        <f t="shared" si="1"/>
        <v>-21010644.4</v>
      </c>
    </row>
    <row r="92" spans="1:5" ht="21" customHeight="1">
      <c r="A92" s="60" t="s">
        <v>140</v>
      </c>
      <c r="B92" s="36">
        <v>0</v>
      </c>
      <c r="C92" s="36">
        <v>0</v>
      </c>
      <c r="D92" s="40" t="str">
        <f t="shared" si="0"/>
        <v>   </v>
      </c>
      <c r="E92" s="41">
        <f t="shared" si="1"/>
        <v>0</v>
      </c>
    </row>
    <row r="93" spans="1:5" ht="18" customHeight="1">
      <c r="A93" s="17" t="s">
        <v>195</v>
      </c>
      <c r="B93" s="36">
        <f>SUM(B94:B96)</f>
        <v>1654382.4</v>
      </c>
      <c r="C93" s="36">
        <f>SUM(C94:C96)</f>
        <v>0</v>
      </c>
      <c r="D93" s="40">
        <f>IF(B93=0,"   ",C93/B93*100)</f>
        <v>0</v>
      </c>
      <c r="E93" s="41">
        <f>C93-B93</f>
        <v>-1654382.4</v>
      </c>
    </row>
    <row r="94" spans="1:5" ht="26.25" customHeight="1">
      <c r="A94" s="17" t="s">
        <v>205</v>
      </c>
      <c r="B94" s="36">
        <v>0</v>
      </c>
      <c r="C94" s="36">
        <v>0</v>
      </c>
      <c r="D94" s="40" t="str">
        <f>IF(B94=0,"   ",C94/B94*100)</f>
        <v>   </v>
      </c>
      <c r="E94" s="41">
        <f>C94-B94</f>
        <v>0</v>
      </c>
    </row>
    <row r="95" spans="1:5" ht="30.75" customHeight="1">
      <c r="A95" s="17" t="s">
        <v>196</v>
      </c>
      <c r="B95" s="36">
        <v>1240786.8</v>
      </c>
      <c r="C95" s="36">
        <v>0</v>
      </c>
      <c r="D95" s="40">
        <f>IF(B95=0,"   ",C95/B95*100)</f>
        <v>0</v>
      </c>
      <c r="E95" s="41">
        <f>C95-B95</f>
        <v>-1240786.8</v>
      </c>
    </row>
    <row r="96" spans="1:5" ht="25.5" customHeight="1">
      <c r="A96" s="17" t="s">
        <v>206</v>
      </c>
      <c r="B96" s="36">
        <v>413595.6</v>
      </c>
      <c r="C96" s="36">
        <v>0</v>
      </c>
      <c r="D96" s="40">
        <f>IF(B96=0,"   ",C96/B96*100)</f>
        <v>0</v>
      </c>
      <c r="E96" s="41">
        <f>C96-B96</f>
        <v>-413595.6</v>
      </c>
    </row>
    <row r="97" spans="1:5" ht="28.5" customHeight="1">
      <c r="A97" s="17" t="s">
        <v>236</v>
      </c>
      <c r="B97" s="36">
        <v>0</v>
      </c>
      <c r="C97" s="36">
        <v>0</v>
      </c>
      <c r="D97" s="40" t="str">
        <f t="shared" si="0"/>
        <v>   </v>
      </c>
      <c r="E97" s="41">
        <f t="shared" si="1"/>
        <v>0</v>
      </c>
    </row>
    <row r="98" spans="1:5" ht="27" customHeight="1">
      <c r="A98" s="17" t="s">
        <v>237</v>
      </c>
      <c r="B98" s="36">
        <v>1008162</v>
      </c>
      <c r="C98" s="36">
        <v>0</v>
      </c>
      <c r="D98" s="40">
        <f t="shared" si="0"/>
        <v>0</v>
      </c>
      <c r="E98" s="41">
        <f t="shared" si="1"/>
        <v>-1008162</v>
      </c>
    </row>
    <row r="99" spans="1:5" ht="30" customHeight="1">
      <c r="A99" s="17" t="s">
        <v>238</v>
      </c>
      <c r="B99" s="36">
        <v>15592000</v>
      </c>
      <c r="C99" s="36">
        <v>0</v>
      </c>
      <c r="D99" s="40">
        <f t="shared" si="0"/>
        <v>0</v>
      </c>
      <c r="E99" s="41">
        <f t="shared" si="1"/>
        <v>-15592000</v>
      </c>
    </row>
    <row r="100" spans="1:5" ht="35.25" customHeight="1">
      <c r="A100" s="17" t="s">
        <v>239</v>
      </c>
      <c r="B100" s="36">
        <v>820600</v>
      </c>
      <c r="C100" s="36">
        <v>0</v>
      </c>
      <c r="D100" s="40">
        <f t="shared" si="0"/>
        <v>0</v>
      </c>
      <c r="E100" s="41">
        <f t="shared" si="1"/>
        <v>-820600</v>
      </c>
    </row>
    <row r="101" spans="1:5" ht="35.25" customHeight="1">
      <c r="A101" s="17" t="s">
        <v>240</v>
      </c>
      <c r="B101" s="36">
        <v>856100</v>
      </c>
      <c r="C101" s="36">
        <v>856100</v>
      </c>
      <c r="D101" s="40">
        <f t="shared" si="0"/>
        <v>100</v>
      </c>
      <c r="E101" s="41">
        <f t="shared" si="1"/>
        <v>0</v>
      </c>
    </row>
    <row r="102" spans="1:5" ht="30" customHeight="1">
      <c r="A102" s="17" t="s">
        <v>241</v>
      </c>
      <c r="B102" s="36">
        <v>95200</v>
      </c>
      <c r="C102" s="36">
        <v>95200</v>
      </c>
      <c r="D102" s="40">
        <f t="shared" si="0"/>
        <v>100</v>
      </c>
      <c r="E102" s="41">
        <f t="shared" si="1"/>
        <v>0</v>
      </c>
    </row>
    <row r="103" spans="1:5" ht="21" customHeight="1">
      <c r="A103" s="60" t="s">
        <v>245</v>
      </c>
      <c r="B103" s="36">
        <v>0</v>
      </c>
      <c r="C103" s="36">
        <v>0</v>
      </c>
      <c r="D103" s="40" t="str">
        <f t="shared" si="0"/>
        <v>   </v>
      </c>
      <c r="E103" s="41">
        <f t="shared" si="1"/>
        <v>0</v>
      </c>
    </row>
    <row r="104" spans="1:5" ht="29.25" customHeight="1">
      <c r="A104" s="17" t="s">
        <v>133</v>
      </c>
      <c r="B104" s="36">
        <v>1741900</v>
      </c>
      <c r="C104" s="36">
        <v>0</v>
      </c>
      <c r="D104" s="40">
        <f t="shared" si="0"/>
        <v>0</v>
      </c>
      <c r="E104" s="41">
        <f t="shared" si="1"/>
        <v>-1741900</v>
      </c>
    </row>
    <row r="105" spans="1:5" ht="32.25" customHeight="1">
      <c r="A105" s="62" t="s">
        <v>232</v>
      </c>
      <c r="B105" s="36">
        <v>193600</v>
      </c>
      <c r="C105" s="36">
        <v>0</v>
      </c>
      <c r="D105" s="40">
        <f t="shared" si="0"/>
        <v>0</v>
      </c>
      <c r="E105" s="41">
        <f t="shared" si="1"/>
        <v>-193600</v>
      </c>
    </row>
    <row r="106" spans="1:5" ht="13.5">
      <c r="A106" s="62" t="s">
        <v>167</v>
      </c>
      <c r="B106" s="39">
        <f>B107</f>
        <v>100000</v>
      </c>
      <c r="C106" s="39">
        <f>C107</f>
        <v>0</v>
      </c>
      <c r="D106" s="50">
        <f>IF(B106=0,"   ",C106/B106)</f>
        <v>0</v>
      </c>
      <c r="E106" s="51">
        <f>C106-B106</f>
        <v>-100000</v>
      </c>
    </row>
    <row r="107" spans="1:5" ht="27">
      <c r="A107" s="62" t="s">
        <v>146</v>
      </c>
      <c r="B107" s="39">
        <v>100000</v>
      </c>
      <c r="C107" s="39">
        <v>0</v>
      </c>
      <c r="D107" s="50">
        <f>IF(B107=0,"   ",C107/B107)</f>
        <v>0</v>
      </c>
      <c r="E107" s="51">
        <f>C107-B107</f>
        <v>-100000</v>
      </c>
    </row>
    <row r="108" spans="1:5" ht="27">
      <c r="A108" s="62" t="s">
        <v>168</v>
      </c>
      <c r="B108" s="39">
        <v>0</v>
      </c>
      <c r="C108" s="39">
        <v>0</v>
      </c>
      <c r="D108" s="50" t="str">
        <f>IF(B108=0,"   ",C108/B108)</f>
        <v>   </v>
      </c>
      <c r="E108" s="51">
        <f>C108-B108</f>
        <v>0</v>
      </c>
    </row>
    <row r="109" spans="1:5" ht="18" customHeight="1">
      <c r="A109" s="21" t="s">
        <v>13</v>
      </c>
      <c r="B109" s="36">
        <f>SUM(B110,B113,B126,B149)</f>
        <v>95063976.41</v>
      </c>
      <c r="C109" s="36">
        <f>SUM(C110,C113,C126,C149)</f>
        <v>2060386.21</v>
      </c>
      <c r="D109" s="40">
        <f t="shared" si="0"/>
        <v>2.1673680060612983</v>
      </c>
      <c r="E109" s="41">
        <f t="shared" si="1"/>
        <v>-93003590.2</v>
      </c>
    </row>
    <row r="110" spans="1:5" ht="18.75" customHeight="1">
      <c r="A110" s="128" t="s">
        <v>14</v>
      </c>
      <c r="B110" s="158">
        <f>SUM(B111:B112)</f>
        <v>230000</v>
      </c>
      <c r="C110" s="158">
        <f>SUM(C111:C112)</f>
        <v>0</v>
      </c>
      <c r="D110" s="40">
        <f t="shared" si="0"/>
        <v>0</v>
      </c>
      <c r="E110" s="41">
        <f t="shared" si="1"/>
        <v>-230000</v>
      </c>
    </row>
    <row r="111" spans="1:5" ht="13.5">
      <c r="A111" s="21" t="s">
        <v>96</v>
      </c>
      <c r="B111" s="36">
        <v>130000</v>
      </c>
      <c r="C111" s="107">
        <v>0</v>
      </c>
      <c r="D111" s="40">
        <f t="shared" si="0"/>
        <v>0</v>
      </c>
      <c r="E111" s="41">
        <f t="shared" si="1"/>
        <v>-130000</v>
      </c>
    </row>
    <row r="112" spans="1:5" ht="13.5">
      <c r="A112" s="21" t="s">
        <v>173</v>
      </c>
      <c r="B112" s="36">
        <v>100000</v>
      </c>
      <c r="C112" s="107">
        <v>0</v>
      </c>
      <c r="D112" s="40">
        <f t="shared" si="0"/>
        <v>0</v>
      </c>
      <c r="E112" s="41">
        <f t="shared" si="1"/>
        <v>-100000</v>
      </c>
    </row>
    <row r="113" spans="1:5" ht="18" customHeight="1">
      <c r="A113" s="128" t="s">
        <v>64</v>
      </c>
      <c r="B113" s="158">
        <f>SUM(B114:B118,B122:B125)</f>
        <v>821400</v>
      </c>
      <c r="C113" s="158">
        <f>SUM(C114:C118,C122:C125)</f>
        <v>78691.62</v>
      </c>
      <c r="D113" s="40">
        <f t="shared" si="0"/>
        <v>9.580182615047478</v>
      </c>
      <c r="E113" s="41">
        <f t="shared" si="1"/>
        <v>-742708.38</v>
      </c>
    </row>
    <row r="114" spans="1:5" ht="27">
      <c r="A114" s="21" t="s">
        <v>185</v>
      </c>
      <c r="B114" s="36">
        <v>100000</v>
      </c>
      <c r="C114" s="36">
        <v>0</v>
      </c>
      <c r="D114" s="40">
        <f t="shared" si="0"/>
        <v>0</v>
      </c>
      <c r="E114" s="41">
        <f t="shared" si="1"/>
        <v>-100000</v>
      </c>
    </row>
    <row r="115" spans="1:5" ht="13.5">
      <c r="A115" s="21" t="s">
        <v>149</v>
      </c>
      <c r="B115" s="36">
        <v>421400</v>
      </c>
      <c r="C115" s="36">
        <v>78691.62</v>
      </c>
      <c r="D115" s="40">
        <f t="shared" si="0"/>
        <v>18.673853820598005</v>
      </c>
      <c r="E115" s="41">
        <f t="shared" si="1"/>
        <v>-342708.38</v>
      </c>
    </row>
    <row r="116" spans="1:5" ht="13.5">
      <c r="A116" s="21" t="s">
        <v>295</v>
      </c>
      <c r="B116" s="36">
        <v>0</v>
      </c>
      <c r="C116" s="36">
        <v>0</v>
      </c>
      <c r="D116" s="40" t="str">
        <f>IF(B116=0,"   ",C116/B116*100)</f>
        <v>   </v>
      </c>
      <c r="E116" s="41">
        <f>C116-B116</f>
        <v>0</v>
      </c>
    </row>
    <row r="117" spans="1:5" ht="27">
      <c r="A117" s="21" t="s">
        <v>296</v>
      </c>
      <c r="B117" s="36">
        <v>0</v>
      </c>
      <c r="C117" s="36">
        <v>0</v>
      </c>
      <c r="D117" s="40" t="str">
        <f>IF(B117=0,"   ",C117/B117*100)</f>
        <v>   </v>
      </c>
      <c r="E117" s="41">
        <f>C117-B117</f>
        <v>0</v>
      </c>
    </row>
    <row r="118" spans="1:5" ht="27">
      <c r="A118" s="17" t="s">
        <v>195</v>
      </c>
      <c r="B118" s="36">
        <f>SUM(B119:B121)</f>
        <v>0</v>
      </c>
      <c r="C118" s="36">
        <f>SUM(C119:C121)</f>
        <v>0</v>
      </c>
      <c r="D118" s="40" t="str">
        <f>IF(B118=0,"   ",C118/B118*100)</f>
        <v>   </v>
      </c>
      <c r="E118" s="41">
        <f>C118-B118</f>
        <v>0</v>
      </c>
    </row>
    <row r="119" spans="1:5" ht="27">
      <c r="A119" s="17" t="s">
        <v>177</v>
      </c>
      <c r="B119" s="36">
        <v>0</v>
      </c>
      <c r="C119" s="36">
        <v>0</v>
      </c>
      <c r="D119" s="40" t="str">
        <f>IF(B119=0,"   ",C119/B119*100)</f>
        <v>   </v>
      </c>
      <c r="E119" s="41">
        <f>C119-B119</f>
        <v>0</v>
      </c>
    </row>
    <row r="120" spans="1:5" ht="27">
      <c r="A120" s="17" t="s">
        <v>189</v>
      </c>
      <c r="B120" s="36">
        <v>0</v>
      </c>
      <c r="C120" s="36">
        <v>0</v>
      </c>
      <c r="D120" s="40" t="str">
        <f t="shared" si="0"/>
        <v>   </v>
      </c>
      <c r="E120" s="41">
        <f t="shared" si="1"/>
        <v>0</v>
      </c>
    </row>
    <row r="121" spans="1:5" ht="27">
      <c r="A121" s="17" t="s">
        <v>201</v>
      </c>
      <c r="B121" s="36">
        <v>0</v>
      </c>
      <c r="C121" s="36">
        <v>0</v>
      </c>
      <c r="D121" s="40" t="str">
        <f t="shared" si="0"/>
        <v>   </v>
      </c>
      <c r="E121" s="41">
        <f t="shared" si="1"/>
        <v>0</v>
      </c>
    </row>
    <row r="122" spans="1:5" ht="13.5">
      <c r="A122" s="21" t="s">
        <v>270</v>
      </c>
      <c r="B122" s="36">
        <v>0</v>
      </c>
      <c r="C122" s="36">
        <v>0</v>
      </c>
      <c r="D122" s="40" t="str">
        <f t="shared" si="0"/>
        <v>   </v>
      </c>
      <c r="E122" s="41">
        <f t="shared" si="1"/>
        <v>0</v>
      </c>
    </row>
    <row r="123" spans="1:5" ht="13.5">
      <c r="A123" s="21" t="s">
        <v>273</v>
      </c>
      <c r="B123" s="36">
        <v>0</v>
      </c>
      <c r="C123" s="36">
        <v>0</v>
      </c>
      <c r="D123" s="40" t="str">
        <f t="shared" si="0"/>
        <v>   </v>
      </c>
      <c r="E123" s="41">
        <f t="shared" si="1"/>
        <v>0</v>
      </c>
    </row>
    <row r="124" spans="1:5" ht="27">
      <c r="A124" s="21" t="s">
        <v>310</v>
      </c>
      <c r="B124" s="36">
        <v>0</v>
      </c>
      <c r="C124" s="36">
        <v>0</v>
      </c>
      <c r="D124" s="40" t="str">
        <f t="shared" si="0"/>
        <v>   </v>
      </c>
      <c r="E124" s="41">
        <f t="shared" si="1"/>
        <v>0</v>
      </c>
    </row>
    <row r="125" spans="1:5" ht="13.5">
      <c r="A125" s="21" t="s">
        <v>311</v>
      </c>
      <c r="B125" s="36">
        <v>300000</v>
      </c>
      <c r="C125" s="36">
        <v>0</v>
      </c>
      <c r="D125" s="40">
        <f t="shared" si="0"/>
        <v>0</v>
      </c>
      <c r="E125" s="41">
        <f t="shared" si="1"/>
        <v>-300000</v>
      </c>
    </row>
    <row r="126" spans="1:5" ht="16.5" customHeight="1">
      <c r="A126" s="128" t="s">
        <v>63</v>
      </c>
      <c r="B126" s="158">
        <f>B127+B129+B130+B131+B132+B134+B138+B139+B143+B145+B128+B133+B144</f>
        <v>33853636.41</v>
      </c>
      <c r="C126" s="158">
        <f>C127+C129+C130+C131+C132+C134+C138+C139+C143+C145+C128+C133+C144</f>
        <v>1981694.59</v>
      </c>
      <c r="D126" s="40">
        <f t="shared" si="0"/>
        <v>5.853712629272018</v>
      </c>
      <c r="E126" s="41">
        <f t="shared" si="1"/>
        <v>-31871941.819999997</v>
      </c>
    </row>
    <row r="127" spans="1:5" ht="13.5">
      <c r="A127" s="21" t="s">
        <v>65</v>
      </c>
      <c r="B127" s="36">
        <v>5670000</v>
      </c>
      <c r="C127" s="107">
        <v>1408345.04</v>
      </c>
      <c r="D127" s="40">
        <f t="shared" si="0"/>
        <v>24.838536860670192</v>
      </c>
      <c r="E127" s="41">
        <f t="shared" si="1"/>
        <v>-4261654.96</v>
      </c>
    </row>
    <row r="128" spans="1:5" ht="27">
      <c r="A128" s="21" t="s">
        <v>207</v>
      </c>
      <c r="B128" s="36">
        <v>6000</v>
      </c>
      <c r="C128" s="107">
        <v>0</v>
      </c>
      <c r="D128" s="40">
        <f t="shared" si="0"/>
        <v>0</v>
      </c>
      <c r="E128" s="41">
        <f t="shared" si="1"/>
        <v>-6000</v>
      </c>
    </row>
    <row r="129" spans="1:5" ht="13.5">
      <c r="A129" s="21" t="s">
        <v>66</v>
      </c>
      <c r="B129" s="36">
        <v>266600</v>
      </c>
      <c r="C129" s="107">
        <v>0</v>
      </c>
      <c r="D129" s="40">
        <f>IF(B129=0,"   ",C129/B129*100)</f>
        <v>0</v>
      </c>
      <c r="E129" s="41">
        <f t="shared" si="1"/>
        <v>-266600</v>
      </c>
    </row>
    <row r="130" spans="1:5" ht="13.5">
      <c r="A130" s="21" t="s">
        <v>67</v>
      </c>
      <c r="B130" s="36">
        <v>100000</v>
      </c>
      <c r="C130" s="107">
        <v>0</v>
      </c>
      <c r="D130" s="40">
        <f>IF(B130=0,"   ",C130/B130*100)</f>
        <v>0</v>
      </c>
      <c r="E130" s="41">
        <f t="shared" si="1"/>
        <v>-100000</v>
      </c>
    </row>
    <row r="131" spans="1:5" ht="13.5">
      <c r="A131" s="21" t="s">
        <v>68</v>
      </c>
      <c r="B131" s="36">
        <v>3892856.6</v>
      </c>
      <c r="C131" s="107">
        <v>521693.77</v>
      </c>
      <c r="D131" s="40">
        <f>IF(B131=0,"   ",C131/B131*100)</f>
        <v>13.401309722017501</v>
      </c>
      <c r="E131" s="41">
        <f t="shared" si="1"/>
        <v>-3371162.83</v>
      </c>
    </row>
    <row r="132" spans="1:5" ht="18" customHeight="1">
      <c r="A132" s="17" t="s">
        <v>327</v>
      </c>
      <c r="B132" s="36">
        <v>0</v>
      </c>
      <c r="C132" s="107">
        <v>0</v>
      </c>
      <c r="D132" s="40" t="str">
        <f>IF(B132=0,"   ",C132/B132*100)</f>
        <v>   </v>
      </c>
      <c r="E132" s="41">
        <f t="shared" si="1"/>
        <v>0</v>
      </c>
    </row>
    <row r="133" spans="1:5" ht="16.5" customHeight="1">
      <c r="A133" s="17" t="s">
        <v>312</v>
      </c>
      <c r="B133" s="36">
        <v>0</v>
      </c>
      <c r="C133" s="107">
        <v>0</v>
      </c>
      <c r="D133" s="40" t="str">
        <f>IF(B133=0,"   ",C133/B133*100)</f>
        <v>   </v>
      </c>
      <c r="E133" s="41">
        <f t="shared" si="1"/>
        <v>0</v>
      </c>
    </row>
    <row r="134" spans="1:5" ht="18" customHeight="1">
      <c r="A134" s="17" t="s">
        <v>172</v>
      </c>
      <c r="B134" s="39">
        <f>B135+B137+B136</f>
        <v>5739532.75</v>
      </c>
      <c r="C134" s="39">
        <f>C135+C137+C136</f>
        <v>0</v>
      </c>
      <c r="D134" s="50">
        <f aca="true" t="shared" si="4" ref="D134:D148">IF(B134=0,"   ",C134/B134)</f>
        <v>0</v>
      </c>
      <c r="E134" s="51">
        <f aca="true" t="shared" si="5" ref="E134:E149">C134-B134</f>
        <v>-5739532.75</v>
      </c>
    </row>
    <row r="135" spans="1:5" ht="13.5">
      <c r="A135" s="17" t="s">
        <v>170</v>
      </c>
      <c r="B135" s="39">
        <v>5682137.42</v>
      </c>
      <c r="C135" s="39">
        <v>0</v>
      </c>
      <c r="D135" s="50">
        <f t="shared" si="4"/>
        <v>0</v>
      </c>
      <c r="E135" s="51">
        <f t="shared" si="5"/>
        <v>-5682137.42</v>
      </c>
    </row>
    <row r="136" spans="1:5" ht="13.5">
      <c r="A136" s="17" t="s">
        <v>171</v>
      </c>
      <c r="B136" s="39">
        <v>40176.73</v>
      </c>
      <c r="C136" s="39">
        <v>0</v>
      </c>
      <c r="D136" s="50">
        <f t="shared" si="4"/>
        <v>0</v>
      </c>
      <c r="E136" s="51">
        <f t="shared" si="5"/>
        <v>-40176.73</v>
      </c>
    </row>
    <row r="137" spans="1:5" ht="13.5">
      <c r="A137" s="17" t="s">
        <v>182</v>
      </c>
      <c r="B137" s="39">
        <v>17218.6</v>
      </c>
      <c r="C137" s="39">
        <v>0</v>
      </c>
      <c r="D137" s="50">
        <f t="shared" si="4"/>
        <v>0</v>
      </c>
      <c r="E137" s="51">
        <f t="shared" si="5"/>
        <v>-17218.6</v>
      </c>
    </row>
    <row r="138" spans="1:5" ht="14.25" customHeight="1">
      <c r="A138" s="62" t="s">
        <v>229</v>
      </c>
      <c r="B138" s="39">
        <v>276800</v>
      </c>
      <c r="C138" s="39">
        <v>51655.78</v>
      </c>
      <c r="D138" s="50">
        <f t="shared" si="4"/>
        <v>0.18661770231213873</v>
      </c>
      <c r="E138" s="51">
        <f t="shared" si="5"/>
        <v>-225144.22</v>
      </c>
    </row>
    <row r="139" spans="1:5" ht="16.5" customHeight="1">
      <c r="A139" s="17" t="s">
        <v>195</v>
      </c>
      <c r="B139" s="39">
        <f>SUM(B140:B142)</f>
        <v>0</v>
      </c>
      <c r="C139" s="39">
        <f>SUM(C140:C142)</f>
        <v>0</v>
      </c>
      <c r="D139" s="40" t="str">
        <f>IF(B139=0,"   ",C139/B139*100)</f>
        <v>   </v>
      </c>
      <c r="E139" s="41">
        <f t="shared" si="5"/>
        <v>0</v>
      </c>
    </row>
    <row r="140" spans="1:5" ht="27">
      <c r="A140" s="17" t="s">
        <v>177</v>
      </c>
      <c r="B140" s="39">
        <v>0</v>
      </c>
      <c r="C140" s="39">
        <v>0</v>
      </c>
      <c r="D140" s="40" t="str">
        <f>IF(B140=0,"   ",C140/B140*100)</f>
        <v>   </v>
      </c>
      <c r="E140" s="41">
        <f t="shared" si="5"/>
        <v>0</v>
      </c>
    </row>
    <row r="141" spans="1:5" ht="27">
      <c r="A141" s="17" t="s">
        <v>189</v>
      </c>
      <c r="B141" s="39">
        <v>0</v>
      </c>
      <c r="C141" s="39">
        <v>0</v>
      </c>
      <c r="D141" s="40" t="str">
        <f>IF(B141=0,"   ",C141/B141*100)</f>
        <v>   </v>
      </c>
      <c r="E141" s="41">
        <f t="shared" si="5"/>
        <v>0</v>
      </c>
    </row>
    <row r="142" spans="1:5" ht="27">
      <c r="A142" s="17" t="s">
        <v>201</v>
      </c>
      <c r="B142" s="39">
        <v>0</v>
      </c>
      <c r="C142" s="39">
        <v>0</v>
      </c>
      <c r="D142" s="40" t="str">
        <f>IF(B142=0,"   ",C142/B142*100)</f>
        <v>   </v>
      </c>
      <c r="E142" s="41">
        <f t="shared" si="5"/>
        <v>0</v>
      </c>
    </row>
    <row r="143" spans="1:5" ht="13.5">
      <c r="A143" s="17" t="s">
        <v>235</v>
      </c>
      <c r="B143" s="39">
        <v>666675</v>
      </c>
      <c r="C143" s="39">
        <v>0</v>
      </c>
      <c r="D143" s="50">
        <f t="shared" si="4"/>
        <v>0</v>
      </c>
      <c r="E143" s="51">
        <f t="shared" si="5"/>
        <v>-666675</v>
      </c>
    </row>
    <row r="144" spans="1:5" ht="13.5">
      <c r="A144" s="17" t="s">
        <v>286</v>
      </c>
      <c r="B144" s="39">
        <v>0</v>
      </c>
      <c r="C144" s="39">
        <v>0</v>
      </c>
      <c r="D144" s="50" t="str">
        <f t="shared" si="4"/>
        <v>   </v>
      </c>
      <c r="E144" s="51">
        <f t="shared" si="5"/>
        <v>0</v>
      </c>
    </row>
    <row r="145" spans="1:5" ht="17.25" customHeight="1">
      <c r="A145" s="17" t="s">
        <v>304</v>
      </c>
      <c r="B145" s="39">
        <f>SUM(B146:B148)</f>
        <v>17235172.06</v>
      </c>
      <c r="C145" s="39">
        <f>SUM(C146:C148)</f>
        <v>0</v>
      </c>
      <c r="D145" s="40">
        <f>IF(B145=0,"   ",C145/B145*100)</f>
        <v>0</v>
      </c>
      <c r="E145" s="41">
        <f>C145-B145</f>
        <v>-17235172.06</v>
      </c>
    </row>
    <row r="146" spans="1:5" ht="24.75" customHeight="1">
      <c r="A146" s="17" t="s">
        <v>305</v>
      </c>
      <c r="B146" s="107">
        <v>16201061.74</v>
      </c>
      <c r="C146" s="39">
        <v>0</v>
      </c>
      <c r="D146" s="40">
        <f>IF(B146=0,"   ",C146/B146*100)</f>
        <v>0</v>
      </c>
      <c r="E146" s="41">
        <f>C146-B146</f>
        <v>-16201061.74</v>
      </c>
    </row>
    <row r="147" spans="1:5" ht="15.75" customHeight="1">
      <c r="A147" s="17" t="s">
        <v>306</v>
      </c>
      <c r="B147" s="107">
        <v>1034110.32</v>
      </c>
      <c r="C147" s="39">
        <v>0</v>
      </c>
      <c r="D147" s="40">
        <f>IF(B147=0,"   ",C147/B147*100)</f>
        <v>0</v>
      </c>
      <c r="E147" s="41">
        <f>C147-B147</f>
        <v>-1034110.32</v>
      </c>
    </row>
    <row r="148" spans="1:5" ht="18" customHeight="1" thickBot="1">
      <c r="A148" s="17" t="s">
        <v>307</v>
      </c>
      <c r="B148" s="107">
        <v>0</v>
      </c>
      <c r="C148" s="39">
        <v>0</v>
      </c>
      <c r="D148" s="50" t="str">
        <f t="shared" si="4"/>
        <v>   </v>
      </c>
      <c r="E148" s="51">
        <f t="shared" si="5"/>
        <v>0</v>
      </c>
    </row>
    <row r="149" spans="1:5" ht="18" customHeight="1">
      <c r="A149" s="62" t="s">
        <v>302</v>
      </c>
      <c r="B149" s="166">
        <f>SUM(B150:B153)</f>
        <v>60158940</v>
      </c>
      <c r="C149" s="166">
        <f>SUM(C153)</f>
        <v>0</v>
      </c>
      <c r="D149" s="40">
        <f aca="true" t="shared" si="6" ref="D149:D168">IF(B149=0,"   ",C149/B149*100)</f>
        <v>0</v>
      </c>
      <c r="E149" s="41">
        <f t="shared" si="5"/>
        <v>-60158940</v>
      </c>
    </row>
    <row r="150" spans="1:5" ht="29.25" customHeight="1">
      <c r="A150" s="62" t="s">
        <v>364</v>
      </c>
      <c r="B150" s="143">
        <v>50000000</v>
      </c>
      <c r="C150" s="143">
        <v>0</v>
      </c>
      <c r="D150" s="40">
        <f t="shared" si="6"/>
        <v>0</v>
      </c>
      <c r="E150" s="41">
        <f>C150-B150</f>
        <v>-50000000</v>
      </c>
    </row>
    <row r="151" spans="1:5" ht="29.25" customHeight="1">
      <c r="A151" s="62" t="s">
        <v>335</v>
      </c>
      <c r="B151" s="143">
        <v>9548369.6</v>
      </c>
      <c r="C151" s="143">
        <v>0</v>
      </c>
      <c r="D151" s="40">
        <f t="shared" si="6"/>
        <v>0</v>
      </c>
      <c r="E151" s="41">
        <f>C151-B151</f>
        <v>-9548369.6</v>
      </c>
    </row>
    <row r="152" spans="1:5" ht="29.25" customHeight="1">
      <c r="A152" s="62" t="s">
        <v>365</v>
      </c>
      <c r="B152" s="143">
        <v>609470.4</v>
      </c>
      <c r="C152" s="143">
        <v>0</v>
      </c>
      <c r="D152" s="40">
        <f t="shared" si="6"/>
        <v>0</v>
      </c>
      <c r="E152" s="41">
        <f>C152-B152</f>
        <v>-609470.4</v>
      </c>
    </row>
    <row r="153" spans="1:5" ht="18" customHeight="1">
      <c r="A153" s="62" t="s">
        <v>259</v>
      </c>
      <c r="B153" s="107">
        <v>1100</v>
      </c>
      <c r="C153" s="39">
        <v>0</v>
      </c>
      <c r="D153" s="40">
        <f t="shared" si="6"/>
        <v>0</v>
      </c>
      <c r="E153" s="41">
        <f>C153-B153</f>
        <v>-1100</v>
      </c>
    </row>
    <row r="154" spans="1:5" ht="15" customHeight="1">
      <c r="A154" s="21" t="s">
        <v>17</v>
      </c>
      <c r="B154" s="36">
        <v>0</v>
      </c>
      <c r="C154" s="36">
        <v>0</v>
      </c>
      <c r="D154" s="40" t="str">
        <f t="shared" si="6"/>
        <v>   </v>
      </c>
      <c r="E154" s="41">
        <f t="shared" si="1"/>
        <v>0</v>
      </c>
    </row>
    <row r="155" spans="1:5" ht="18.75" customHeight="1">
      <c r="A155" s="21" t="s">
        <v>41</v>
      </c>
      <c r="B155" s="143">
        <f>B156</f>
        <v>10091200</v>
      </c>
      <c r="C155" s="143">
        <f>C156</f>
        <v>3552597</v>
      </c>
      <c r="D155" s="40">
        <f t="shared" si="6"/>
        <v>35.2049013001427</v>
      </c>
      <c r="E155" s="41">
        <f t="shared" si="1"/>
        <v>-6538603</v>
      </c>
    </row>
    <row r="156" spans="1:5" ht="15.75" customHeight="1">
      <c r="A156" s="21" t="s">
        <v>42</v>
      </c>
      <c r="B156" s="158">
        <f>B157+B158+B159+B161+B160</f>
        <v>10091200</v>
      </c>
      <c r="C156" s="158">
        <f>C157+C158+C159+C161+C160</f>
        <v>3552597</v>
      </c>
      <c r="D156" s="40">
        <f t="shared" si="6"/>
        <v>35.2049013001427</v>
      </c>
      <c r="E156" s="41">
        <f t="shared" si="1"/>
        <v>-6538603</v>
      </c>
    </row>
    <row r="157" spans="1:5" ht="19.5" customHeight="1">
      <c r="A157" s="21" t="s">
        <v>134</v>
      </c>
      <c r="B157" s="36">
        <v>4600000</v>
      </c>
      <c r="C157" s="107">
        <v>650000</v>
      </c>
      <c r="D157" s="40">
        <f t="shared" si="6"/>
        <v>14.130434782608695</v>
      </c>
      <c r="E157" s="41">
        <f t="shared" si="1"/>
        <v>-3950000</v>
      </c>
    </row>
    <row r="158" spans="1:5" ht="16.5" customHeight="1">
      <c r="A158" s="21" t="s">
        <v>183</v>
      </c>
      <c r="B158" s="36">
        <v>2903500</v>
      </c>
      <c r="C158" s="107">
        <v>2582597</v>
      </c>
      <c r="D158" s="40">
        <f t="shared" si="6"/>
        <v>88.94771827105218</v>
      </c>
      <c r="E158" s="41">
        <f t="shared" si="1"/>
        <v>-320903</v>
      </c>
    </row>
    <row r="159" spans="1:5" ht="18" customHeight="1">
      <c r="A159" s="21" t="s">
        <v>135</v>
      </c>
      <c r="B159" s="36">
        <v>1409400</v>
      </c>
      <c r="C159" s="107">
        <v>320000</v>
      </c>
      <c r="D159" s="40">
        <f t="shared" si="6"/>
        <v>22.70469703419895</v>
      </c>
      <c r="E159" s="41">
        <f t="shared" si="1"/>
        <v>-1089400</v>
      </c>
    </row>
    <row r="160" spans="1:5" ht="18" customHeight="1">
      <c r="A160" s="21" t="s">
        <v>265</v>
      </c>
      <c r="B160" s="36">
        <v>0</v>
      </c>
      <c r="C160" s="107">
        <v>0</v>
      </c>
      <c r="D160" s="40" t="str">
        <f t="shared" si="6"/>
        <v>   </v>
      </c>
      <c r="E160" s="41">
        <f t="shared" si="1"/>
        <v>0</v>
      </c>
    </row>
    <row r="161" spans="1:5" ht="18" customHeight="1">
      <c r="A161" s="21" t="s">
        <v>297</v>
      </c>
      <c r="B161" s="36">
        <f>SUM(B162:B163)</f>
        <v>1178300</v>
      </c>
      <c r="C161" s="36">
        <f>SUM(C162:C163)</f>
        <v>0</v>
      </c>
      <c r="D161" s="40">
        <f t="shared" si="6"/>
        <v>0</v>
      </c>
      <c r="E161" s="41">
        <f t="shared" si="1"/>
        <v>-1178300</v>
      </c>
    </row>
    <row r="162" spans="1:5" ht="18" customHeight="1">
      <c r="A162" s="17" t="s">
        <v>298</v>
      </c>
      <c r="B162" s="36">
        <v>1107600</v>
      </c>
      <c r="C162" s="107">
        <v>0</v>
      </c>
      <c r="D162" s="40">
        <f t="shared" si="6"/>
        <v>0</v>
      </c>
      <c r="E162" s="41">
        <f>C162-B162</f>
        <v>-1107600</v>
      </c>
    </row>
    <row r="163" spans="1:5" ht="18" customHeight="1">
      <c r="A163" s="17" t="s">
        <v>299</v>
      </c>
      <c r="B163" s="36">
        <v>70700</v>
      </c>
      <c r="C163" s="107">
        <v>0</v>
      </c>
      <c r="D163" s="40">
        <f t="shared" si="6"/>
        <v>0</v>
      </c>
      <c r="E163" s="41">
        <f t="shared" si="1"/>
        <v>-70700</v>
      </c>
    </row>
    <row r="164" spans="1:5" ht="13.5">
      <c r="A164" s="21" t="s">
        <v>119</v>
      </c>
      <c r="B164" s="36">
        <f>SUM(B165,)</f>
        <v>105000</v>
      </c>
      <c r="C164" s="36">
        <f>SUM(C165,)</f>
        <v>2883</v>
      </c>
      <c r="D164" s="40">
        <f t="shared" si="6"/>
        <v>2.7457142857142856</v>
      </c>
      <c r="E164" s="41">
        <f t="shared" si="1"/>
        <v>-102117</v>
      </c>
    </row>
    <row r="165" spans="1:5" ht="14.25" customHeight="1">
      <c r="A165" s="21" t="s">
        <v>43</v>
      </c>
      <c r="B165" s="36">
        <v>105000</v>
      </c>
      <c r="C165" s="99">
        <v>2883</v>
      </c>
      <c r="D165" s="40">
        <f t="shared" si="6"/>
        <v>2.7457142857142856</v>
      </c>
      <c r="E165" s="41">
        <f t="shared" si="1"/>
        <v>-102117</v>
      </c>
    </row>
    <row r="166" spans="1:5" ht="19.5" customHeight="1">
      <c r="A166" s="21" t="s">
        <v>136</v>
      </c>
      <c r="B166" s="36">
        <f>SUM(B167:B167)</f>
        <v>0</v>
      </c>
      <c r="C166" s="36">
        <f>SUM(C167:C167)</f>
        <v>0</v>
      </c>
      <c r="D166" s="40" t="str">
        <f t="shared" si="6"/>
        <v>   </v>
      </c>
      <c r="E166" s="41">
        <f t="shared" si="1"/>
        <v>0</v>
      </c>
    </row>
    <row r="167" spans="1:5" ht="19.5" customHeight="1">
      <c r="A167" s="21" t="s">
        <v>137</v>
      </c>
      <c r="B167" s="36">
        <v>0</v>
      </c>
      <c r="C167" s="107">
        <v>0</v>
      </c>
      <c r="D167" s="40" t="str">
        <f t="shared" si="6"/>
        <v>   </v>
      </c>
      <c r="E167" s="41">
        <f t="shared" si="1"/>
        <v>0</v>
      </c>
    </row>
    <row r="168" spans="1:5" ht="20.25" customHeight="1">
      <c r="A168" s="44" t="s">
        <v>15</v>
      </c>
      <c r="B168" s="116">
        <f>B64+B74+B76+B81+B109+B154+B155+B164+B166</f>
        <v>132589420.81</v>
      </c>
      <c r="C168" s="116">
        <f>C64+C74+C76+C81+C109+C154+C155+C164+C166</f>
        <v>7240608.92</v>
      </c>
      <c r="D168" s="46">
        <f t="shared" si="6"/>
        <v>5.460925069109215</v>
      </c>
      <c r="E168" s="47">
        <f t="shared" si="1"/>
        <v>-125348811.89</v>
      </c>
    </row>
    <row r="169" spans="1:5" s="13" customFormat="1" ht="36.75" customHeight="1">
      <c r="A169" s="71" t="s">
        <v>288</v>
      </c>
      <c r="B169" s="71"/>
      <c r="C169" s="167"/>
      <c r="D169" s="167"/>
      <c r="E169" s="167"/>
    </row>
    <row r="170" spans="1:5" s="13" customFormat="1" ht="12" customHeight="1">
      <c r="A170" s="71" t="s">
        <v>145</v>
      </c>
      <c r="B170" s="71"/>
      <c r="C170" s="72" t="s">
        <v>289</v>
      </c>
      <c r="D170" s="73"/>
      <c r="E170" s="74"/>
    </row>
    <row r="171" spans="1:5" ht="13.5">
      <c r="A171" s="71"/>
      <c r="B171" s="71"/>
      <c r="C171" s="117"/>
      <c r="D171" s="71"/>
      <c r="E171" s="118"/>
    </row>
    <row r="172" spans="1:5" ht="15">
      <c r="A172" s="18"/>
      <c r="B172" s="18"/>
      <c r="C172" s="19"/>
      <c r="D172" s="18"/>
      <c r="E172" s="20"/>
    </row>
    <row r="173" spans="1:5" ht="12.75">
      <c r="A173" s="6"/>
      <c r="B173" s="6"/>
      <c r="C173" s="5"/>
      <c r="D173" s="6"/>
      <c r="E173" s="2"/>
    </row>
    <row r="174" spans="1:5" ht="12.75">
      <c r="A174" s="6"/>
      <c r="B174" s="6"/>
      <c r="C174" s="5"/>
      <c r="D174" s="6"/>
      <c r="E174" s="2"/>
    </row>
  </sheetData>
  <sheetProtection/>
  <mergeCells count="2">
    <mergeCell ref="A1:E1"/>
    <mergeCell ref="C169:E169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9"/>
  <sheetViews>
    <sheetView zoomScalePageLayoutView="0" workbookViewId="0" topLeftCell="A82">
      <selection activeCell="C103" sqref="C103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3.5">
      <c r="A1" s="168" t="s">
        <v>359</v>
      </c>
      <c r="B1" s="168"/>
      <c r="C1" s="168"/>
      <c r="D1" s="168"/>
      <c r="E1" s="168"/>
    </row>
    <row r="2" spans="1:5" ht="13.5">
      <c r="A2" s="22"/>
      <c r="B2" s="22"/>
      <c r="C2" s="148"/>
      <c r="D2" s="148"/>
      <c r="E2" s="148"/>
    </row>
    <row r="3" spans="1:5" ht="1.5" customHeight="1" thickBot="1">
      <c r="A3" s="22"/>
      <c r="B3" s="22"/>
      <c r="C3" s="23"/>
      <c r="D3" s="22"/>
      <c r="E3" s="22" t="s">
        <v>0</v>
      </c>
    </row>
    <row r="4" spans="1:5" ht="66.75" customHeight="1">
      <c r="A4" s="24" t="s">
        <v>1</v>
      </c>
      <c r="B4" s="25" t="s">
        <v>331</v>
      </c>
      <c r="C4" s="26" t="s">
        <v>351</v>
      </c>
      <c r="D4" s="25" t="s">
        <v>332</v>
      </c>
      <c r="E4" s="27" t="s">
        <v>333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8" customHeight="1">
      <c r="A7" s="38" t="s">
        <v>45</v>
      </c>
      <c r="B7" s="143">
        <f>SUM(B8)</f>
        <v>33600</v>
      </c>
      <c r="C7" s="143">
        <f>SUM(C8)</f>
        <v>10056.63</v>
      </c>
      <c r="D7" s="40">
        <f aca="true" t="shared" si="0" ref="D7:D104">IF(B7=0,"   ",C7/B7*100)</f>
        <v>29.93044642857143</v>
      </c>
      <c r="E7" s="41">
        <f aca="true" t="shared" si="1" ref="E7:E105">C7-B7</f>
        <v>-23543.370000000003</v>
      </c>
    </row>
    <row r="8" spans="1:5" ht="13.5">
      <c r="A8" s="21" t="s">
        <v>44</v>
      </c>
      <c r="B8" s="36">
        <v>33600</v>
      </c>
      <c r="C8" s="86">
        <v>10056.63</v>
      </c>
      <c r="D8" s="40">
        <f t="shared" si="0"/>
        <v>29.93044642857143</v>
      </c>
      <c r="E8" s="41">
        <f t="shared" si="1"/>
        <v>-23543.370000000003</v>
      </c>
    </row>
    <row r="9" spans="1:5" ht="15" customHeight="1">
      <c r="A9" s="38" t="s">
        <v>129</v>
      </c>
      <c r="B9" s="143">
        <f>SUM(B10)</f>
        <v>715500</v>
      </c>
      <c r="C9" s="143">
        <f>SUM(C10)</f>
        <v>189056.4</v>
      </c>
      <c r="D9" s="40">
        <f t="shared" si="0"/>
        <v>26.42297693920335</v>
      </c>
      <c r="E9" s="41">
        <f t="shared" si="1"/>
        <v>-526443.6</v>
      </c>
    </row>
    <row r="10" spans="1:5" ht="13.5">
      <c r="A10" s="21" t="s">
        <v>130</v>
      </c>
      <c r="B10" s="36">
        <v>715500</v>
      </c>
      <c r="C10" s="86">
        <v>189056.4</v>
      </c>
      <c r="D10" s="40">
        <f t="shared" si="0"/>
        <v>26.42297693920335</v>
      </c>
      <c r="E10" s="41">
        <f t="shared" si="1"/>
        <v>-526443.6</v>
      </c>
    </row>
    <row r="11" spans="1:5" ht="18.75" customHeight="1">
      <c r="A11" s="21" t="s">
        <v>7</v>
      </c>
      <c r="B11" s="36">
        <f>SUM(B12:B12)</f>
        <v>1300</v>
      </c>
      <c r="C11" s="36">
        <f>SUM(C12:C12)</f>
        <v>2794.42</v>
      </c>
      <c r="D11" s="40">
        <f t="shared" si="0"/>
        <v>214.95538461538462</v>
      </c>
      <c r="E11" s="41">
        <f t="shared" si="1"/>
        <v>1494.42</v>
      </c>
    </row>
    <row r="12" spans="1:5" ht="21" customHeight="1">
      <c r="A12" s="21" t="s">
        <v>26</v>
      </c>
      <c r="B12" s="36">
        <v>1300</v>
      </c>
      <c r="C12" s="107">
        <v>2794.42</v>
      </c>
      <c r="D12" s="40">
        <f t="shared" si="0"/>
        <v>214.95538461538462</v>
      </c>
      <c r="E12" s="41">
        <f t="shared" si="1"/>
        <v>1494.42</v>
      </c>
    </row>
    <row r="13" spans="1:5" ht="21" customHeight="1">
      <c r="A13" s="21" t="s">
        <v>9</v>
      </c>
      <c r="B13" s="36">
        <f>SUM(B14:B15)</f>
        <v>223000</v>
      </c>
      <c r="C13" s="36">
        <f>SUM(C14:C15)</f>
        <v>10706.449999999999</v>
      </c>
      <c r="D13" s="40">
        <f t="shared" si="0"/>
        <v>4.80109865470852</v>
      </c>
      <c r="E13" s="41">
        <f t="shared" si="1"/>
        <v>-212293.55</v>
      </c>
    </row>
    <row r="14" spans="1:5" ht="13.5">
      <c r="A14" s="21" t="s">
        <v>27</v>
      </c>
      <c r="B14" s="36">
        <v>73000</v>
      </c>
      <c r="C14" s="86">
        <v>3775.68</v>
      </c>
      <c r="D14" s="40">
        <f t="shared" si="0"/>
        <v>5.172164383561643</v>
      </c>
      <c r="E14" s="41">
        <f t="shared" si="1"/>
        <v>-69224.32</v>
      </c>
    </row>
    <row r="15" spans="1:5" ht="13.5">
      <c r="A15" s="21" t="s">
        <v>151</v>
      </c>
      <c r="B15" s="36">
        <f>SUM(B16:B17)</f>
        <v>150000</v>
      </c>
      <c r="C15" s="36">
        <f>SUM(C16:C17)</f>
        <v>6930.7699999999995</v>
      </c>
      <c r="D15" s="40">
        <f t="shared" si="0"/>
        <v>4.620513333333333</v>
      </c>
      <c r="E15" s="41">
        <f t="shared" si="1"/>
        <v>-143069.23</v>
      </c>
    </row>
    <row r="16" spans="1:5" ht="13.5">
      <c r="A16" s="21" t="s">
        <v>152</v>
      </c>
      <c r="B16" s="36">
        <v>9000</v>
      </c>
      <c r="C16" s="86">
        <v>1664.41</v>
      </c>
      <c r="D16" s="40">
        <f t="shared" si="0"/>
        <v>18.493444444444446</v>
      </c>
      <c r="E16" s="41">
        <f t="shared" si="1"/>
        <v>-7335.59</v>
      </c>
    </row>
    <row r="17" spans="1:5" ht="13.5">
      <c r="A17" s="21" t="s">
        <v>153</v>
      </c>
      <c r="B17" s="36">
        <v>141000</v>
      </c>
      <c r="C17" s="86">
        <v>5266.36</v>
      </c>
      <c r="D17" s="40">
        <f t="shared" si="0"/>
        <v>3.735007092198581</v>
      </c>
      <c r="E17" s="41">
        <f t="shared" si="1"/>
        <v>-135733.64</v>
      </c>
    </row>
    <row r="18" spans="1:5" ht="18.75" customHeight="1">
      <c r="A18" s="21" t="s">
        <v>186</v>
      </c>
      <c r="B18" s="36">
        <v>0</v>
      </c>
      <c r="C18" s="86">
        <v>0</v>
      </c>
      <c r="D18" s="40" t="str">
        <f t="shared" si="0"/>
        <v>   </v>
      </c>
      <c r="E18" s="41">
        <f t="shared" si="1"/>
        <v>0</v>
      </c>
    </row>
    <row r="19" spans="1:5" ht="27" customHeight="1">
      <c r="A19" s="21" t="s">
        <v>86</v>
      </c>
      <c r="B19" s="36">
        <v>0</v>
      </c>
      <c r="C19" s="86">
        <v>0</v>
      </c>
      <c r="D19" s="40" t="str">
        <f t="shared" si="0"/>
        <v>   </v>
      </c>
      <c r="E19" s="41">
        <f t="shared" si="1"/>
        <v>0</v>
      </c>
    </row>
    <row r="20" spans="1:5" ht="30.75" customHeight="1">
      <c r="A20" s="21" t="s">
        <v>28</v>
      </c>
      <c r="B20" s="36">
        <f>SUM(B21:B23)</f>
        <v>173800</v>
      </c>
      <c r="C20" s="36">
        <f>SUM(C21:C23)</f>
        <v>161.46</v>
      </c>
      <c r="D20" s="40">
        <f t="shared" si="0"/>
        <v>0.09289988492520139</v>
      </c>
      <c r="E20" s="41">
        <f t="shared" si="1"/>
        <v>-173638.54</v>
      </c>
    </row>
    <row r="21" spans="1:5" ht="21.75" customHeight="1">
      <c r="A21" s="21" t="s">
        <v>143</v>
      </c>
      <c r="B21" s="36">
        <v>173800</v>
      </c>
      <c r="C21" s="107">
        <v>161.46</v>
      </c>
      <c r="D21" s="40">
        <f t="shared" si="0"/>
        <v>0.09289988492520139</v>
      </c>
      <c r="E21" s="41">
        <f t="shared" si="1"/>
        <v>-173638.54</v>
      </c>
    </row>
    <row r="22" spans="1:5" ht="21" customHeight="1">
      <c r="A22" s="21" t="s">
        <v>30</v>
      </c>
      <c r="B22" s="36">
        <v>0</v>
      </c>
      <c r="C22" s="107">
        <v>0</v>
      </c>
      <c r="D22" s="40" t="str">
        <f t="shared" si="0"/>
        <v>   </v>
      </c>
      <c r="E22" s="41">
        <f t="shared" si="1"/>
        <v>0</v>
      </c>
    </row>
    <row r="23" spans="1:5" ht="21" customHeight="1">
      <c r="A23" s="21" t="s">
        <v>248</v>
      </c>
      <c r="B23" s="36">
        <v>0</v>
      </c>
      <c r="C23" s="107">
        <v>0</v>
      </c>
      <c r="D23" s="40" t="str">
        <f t="shared" si="0"/>
        <v>   </v>
      </c>
      <c r="E23" s="41">
        <f t="shared" si="1"/>
        <v>0</v>
      </c>
    </row>
    <row r="24" spans="1:5" ht="20.25" customHeight="1">
      <c r="A24" s="21" t="s">
        <v>83</v>
      </c>
      <c r="B24" s="36">
        <v>0</v>
      </c>
      <c r="C24" s="107">
        <v>0</v>
      </c>
      <c r="D24" s="40" t="str">
        <f t="shared" si="0"/>
        <v>   </v>
      </c>
      <c r="E24" s="41">
        <f t="shared" si="1"/>
        <v>0</v>
      </c>
    </row>
    <row r="25" spans="1:5" ht="17.25" customHeight="1">
      <c r="A25" s="21" t="s">
        <v>76</v>
      </c>
      <c r="B25" s="143">
        <f>B26</f>
        <v>0</v>
      </c>
      <c r="C25" s="143">
        <f>C26</f>
        <v>0</v>
      </c>
      <c r="D25" s="40" t="str">
        <f t="shared" si="0"/>
        <v>   </v>
      </c>
      <c r="E25" s="41">
        <f t="shared" si="1"/>
        <v>0</v>
      </c>
    </row>
    <row r="26" spans="1:5" ht="27.75" customHeight="1">
      <c r="A26" s="21" t="s">
        <v>301</v>
      </c>
      <c r="B26" s="36">
        <v>0</v>
      </c>
      <c r="C26" s="107">
        <v>0</v>
      </c>
      <c r="D26" s="40" t="str">
        <f t="shared" si="0"/>
        <v>   </v>
      </c>
      <c r="E26" s="41">
        <f t="shared" si="1"/>
        <v>0</v>
      </c>
    </row>
    <row r="27" spans="1:5" ht="17.25" customHeight="1">
      <c r="A27" s="21" t="s">
        <v>32</v>
      </c>
      <c r="B27" s="36">
        <f>B28+B29</f>
        <v>0</v>
      </c>
      <c r="C27" s="36">
        <f>SUM(C28:C29)</f>
        <v>0</v>
      </c>
      <c r="D27" s="40" t="str">
        <f t="shared" si="0"/>
        <v>   </v>
      </c>
      <c r="E27" s="41">
        <f t="shared" si="1"/>
        <v>0</v>
      </c>
    </row>
    <row r="28" spans="1:5" ht="13.5">
      <c r="A28" s="21" t="s">
        <v>46</v>
      </c>
      <c r="B28" s="36">
        <v>0</v>
      </c>
      <c r="C28" s="36">
        <v>0</v>
      </c>
      <c r="D28" s="40" t="str">
        <f t="shared" si="0"/>
        <v>   </v>
      </c>
      <c r="E28" s="41"/>
    </row>
    <row r="29" spans="1:5" ht="13.5">
      <c r="A29" s="21" t="s">
        <v>50</v>
      </c>
      <c r="B29" s="36">
        <v>0</v>
      </c>
      <c r="C29" s="107">
        <v>0</v>
      </c>
      <c r="D29" s="40" t="str">
        <f t="shared" si="0"/>
        <v>   </v>
      </c>
      <c r="E29" s="41">
        <f t="shared" si="1"/>
        <v>0</v>
      </c>
    </row>
    <row r="30" spans="1:5" ht="15.75" customHeight="1">
      <c r="A30" s="21" t="s">
        <v>31</v>
      </c>
      <c r="B30" s="36">
        <v>0</v>
      </c>
      <c r="C30" s="36">
        <v>0</v>
      </c>
      <c r="D30" s="40" t="str">
        <f t="shared" si="0"/>
        <v>   </v>
      </c>
      <c r="E30" s="41">
        <f t="shared" si="1"/>
        <v>0</v>
      </c>
    </row>
    <row r="31" spans="1:5" ht="16.5" customHeight="1">
      <c r="A31" s="44" t="s">
        <v>10</v>
      </c>
      <c r="B31" s="116">
        <f>SUM(B7,B9,B11,B13,B20,B24,B25,B27,B30,B19,B18)</f>
        <v>1147200</v>
      </c>
      <c r="C31" s="116">
        <f>SUM(C7,C9,C11,C13,C20,C24,C25,C27,C30,C19,C18)</f>
        <v>212775.36000000002</v>
      </c>
      <c r="D31" s="46">
        <f t="shared" si="0"/>
        <v>18.547364016736402</v>
      </c>
      <c r="E31" s="47">
        <f t="shared" si="1"/>
        <v>-934424.64</v>
      </c>
    </row>
    <row r="32" spans="1:5" ht="13.5" customHeight="1">
      <c r="A32" s="62" t="s">
        <v>132</v>
      </c>
      <c r="B32" s="145">
        <f>SUM(B33:B36,B39:B42,B47)</f>
        <v>5911581.2</v>
      </c>
      <c r="C32" s="145">
        <f>SUM(C33:C36,C39:C42,C47)</f>
        <v>863936.8</v>
      </c>
      <c r="D32" s="46">
        <f t="shared" si="0"/>
        <v>14.614309958222346</v>
      </c>
      <c r="E32" s="47">
        <f t="shared" si="1"/>
        <v>-5047644.4</v>
      </c>
    </row>
    <row r="33" spans="1:5" ht="19.5" customHeight="1">
      <c r="A33" s="38" t="s">
        <v>34</v>
      </c>
      <c r="B33" s="143">
        <v>2547000</v>
      </c>
      <c r="C33" s="86">
        <v>636800</v>
      </c>
      <c r="D33" s="40">
        <f t="shared" si="0"/>
        <v>25.001963093835883</v>
      </c>
      <c r="E33" s="41">
        <f t="shared" si="1"/>
        <v>-1910200</v>
      </c>
    </row>
    <row r="34" spans="1:5" ht="19.5" customHeight="1">
      <c r="A34" s="38" t="s">
        <v>217</v>
      </c>
      <c r="B34" s="143">
        <v>0</v>
      </c>
      <c r="C34" s="86">
        <v>0</v>
      </c>
      <c r="D34" s="40" t="str">
        <f t="shared" si="0"/>
        <v>   </v>
      </c>
      <c r="E34" s="41">
        <f t="shared" si="1"/>
        <v>0</v>
      </c>
    </row>
    <row r="35" spans="1:5" ht="30.75" customHeight="1">
      <c r="A35" s="52" t="s">
        <v>51</v>
      </c>
      <c r="B35" s="85">
        <v>94400</v>
      </c>
      <c r="C35" s="86">
        <v>29000</v>
      </c>
      <c r="D35" s="54">
        <f t="shared" si="0"/>
        <v>30.720338983050848</v>
      </c>
      <c r="E35" s="55">
        <f t="shared" si="1"/>
        <v>-65400</v>
      </c>
    </row>
    <row r="36" spans="1:5" ht="24.75" customHeight="1">
      <c r="A36" s="52" t="s">
        <v>139</v>
      </c>
      <c r="B36" s="85">
        <f>SUM(B37:B38)</f>
        <v>100</v>
      </c>
      <c r="C36" s="85">
        <f>SUM(C37:C38)</f>
        <v>0</v>
      </c>
      <c r="D36" s="54">
        <f t="shared" si="0"/>
        <v>0</v>
      </c>
      <c r="E36" s="55">
        <f t="shared" si="1"/>
        <v>-100</v>
      </c>
    </row>
    <row r="37" spans="1:5" ht="16.5" customHeight="1">
      <c r="A37" s="52" t="s">
        <v>154</v>
      </c>
      <c r="B37" s="85">
        <v>100</v>
      </c>
      <c r="C37" s="153">
        <v>0</v>
      </c>
      <c r="D37" s="54">
        <f t="shared" si="0"/>
        <v>0</v>
      </c>
      <c r="E37" s="55">
        <f t="shared" si="1"/>
        <v>-100</v>
      </c>
    </row>
    <row r="38" spans="1:5" ht="25.5" customHeight="1">
      <c r="A38" s="52" t="s">
        <v>155</v>
      </c>
      <c r="B38" s="85">
        <v>0</v>
      </c>
      <c r="C38" s="153">
        <v>0</v>
      </c>
      <c r="D38" s="54" t="str">
        <f t="shared" si="0"/>
        <v>   </v>
      </c>
      <c r="E38" s="55">
        <f t="shared" si="1"/>
        <v>0</v>
      </c>
    </row>
    <row r="39" spans="1:5" ht="40.5" customHeight="1">
      <c r="A39" s="159" t="s">
        <v>125</v>
      </c>
      <c r="B39" s="85">
        <v>0</v>
      </c>
      <c r="C39" s="85">
        <v>0</v>
      </c>
      <c r="D39" s="54" t="str">
        <f t="shared" si="0"/>
        <v>   </v>
      </c>
      <c r="E39" s="55">
        <f t="shared" si="1"/>
        <v>0</v>
      </c>
    </row>
    <row r="40" spans="1:5" ht="27.75" customHeight="1">
      <c r="A40" s="159" t="s">
        <v>322</v>
      </c>
      <c r="B40" s="85">
        <v>0</v>
      </c>
      <c r="C40" s="85">
        <v>0</v>
      </c>
      <c r="D40" s="54" t="str">
        <f t="shared" si="0"/>
        <v>   </v>
      </c>
      <c r="E40" s="55">
        <f t="shared" si="1"/>
        <v>0</v>
      </c>
    </row>
    <row r="41" spans="1:5" ht="61.5" customHeight="1">
      <c r="A41" s="21" t="s">
        <v>225</v>
      </c>
      <c r="B41" s="85">
        <v>1005900</v>
      </c>
      <c r="C41" s="85">
        <v>0</v>
      </c>
      <c r="D41" s="54">
        <f t="shared" si="0"/>
        <v>0</v>
      </c>
      <c r="E41" s="55">
        <f t="shared" si="1"/>
        <v>-1005900</v>
      </c>
    </row>
    <row r="42" spans="1:5" ht="15.75" customHeight="1">
      <c r="A42" s="21" t="s">
        <v>55</v>
      </c>
      <c r="B42" s="36">
        <f>B46+B43+B45+B44</f>
        <v>2264181.2</v>
      </c>
      <c r="C42" s="36">
        <f>C46+C43+C45</f>
        <v>198136.8</v>
      </c>
      <c r="D42" s="40">
        <f t="shared" si="0"/>
        <v>8.750925058471468</v>
      </c>
      <c r="E42" s="41">
        <f t="shared" si="1"/>
        <v>-2066044.4000000001</v>
      </c>
    </row>
    <row r="43" spans="1:5" ht="30" customHeight="1">
      <c r="A43" s="21" t="s">
        <v>178</v>
      </c>
      <c r="B43" s="36">
        <v>120931.2</v>
      </c>
      <c r="C43" s="36">
        <v>0</v>
      </c>
      <c r="D43" s="40">
        <f>IF(B43=0,"   ",C43/B43*100)</f>
        <v>0</v>
      </c>
      <c r="E43" s="41">
        <f>C43-B43</f>
        <v>-120931.2</v>
      </c>
    </row>
    <row r="44" spans="1:5" ht="15" customHeight="1">
      <c r="A44" s="21" t="s">
        <v>290</v>
      </c>
      <c r="B44" s="36">
        <v>559700</v>
      </c>
      <c r="C44" s="36">
        <v>0</v>
      </c>
      <c r="D44" s="40">
        <f>IF(B44=0,"   ",C44/B44*100)</f>
        <v>0</v>
      </c>
      <c r="E44" s="41">
        <f>C44-B44</f>
        <v>-559700</v>
      </c>
    </row>
    <row r="45" spans="1:5" ht="15" customHeight="1">
      <c r="A45" s="21" t="s">
        <v>267</v>
      </c>
      <c r="B45" s="36">
        <v>1192450</v>
      </c>
      <c r="C45" s="36">
        <v>0</v>
      </c>
      <c r="D45" s="40">
        <f>IF(B45=0,"   ",C45/B45*100)</f>
        <v>0</v>
      </c>
      <c r="E45" s="41">
        <f>C45-B45</f>
        <v>-1192450</v>
      </c>
    </row>
    <row r="46" spans="1:5" s="6" customFormat="1" ht="16.5" customHeight="1">
      <c r="A46" s="21" t="s">
        <v>104</v>
      </c>
      <c r="B46" s="36">
        <v>391100</v>
      </c>
      <c r="C46" s="36">
        <v>198136.8</v>
      </c>
      <c r="D46" s="36">
        <f t="shared" si="0"/>
        <v>50.6614165175147</v>
      </c>
      <c r="E46" s="41">
        <f t="shared" si="1"/>
        <v>-192963.2</v>
      </c>
    </row>
    <row r="47" spans="1:5" s="6" customFormat="1" ht="23.25" customHeight="1">
      <c r="A47" s="21" t="s">
        <v>188</v>
      </c>
      <c r="B47" s="36">
        <v>0</v>
      </c>
      <c r="C47" s="36">
        <v>0</v>
      </c>
      <c r="D47" s="36" t="str">
        <f>IF(B47=0,"   ",C47/B47*100)</f>
        <v>   </v>
      </c>
      <c r="E47" s="41">
        <f>C47-B47</f>
        <v>0</v>
      </c>
    </row>
    <row r="48" spans="1:5" ht="40.5" customHeight="1">
      <c r="A48" s="44" t="s">
        <v>11</v>
      </c>
      <c r="B48" s="116">
        <f>SUM(B31,B32,)</f>
        <v>7058781.2</v>
      </c>
      <c r="C48" s="116">
        <f>SUM(C31,C32,)</f>
        <v>1076712.1600000001</v>
      </c>
      <c r="D48" s="46">
        <f t="shared" si="0"/>
        <v>15.253513736904045</v>
      </c>
      <c r="E48" s="47">
        <f t="shared" si="1"/>
        <v>-5982069.04</v>
      </c>
    </row>
    <row r="49" spans="1:5" ht="41.25" customHeight="1">
      <c r="A49" s="33" t="s">
        <v>12</v>
      </c>
      <c r="B49" s="154"/>
      <c r="C49" s="155"/>
      <c r="D49" s="40" t="str">
        <f t="shared" si="0"/>
        <v>   </v>
      </c>
      <c r="E49" s="41">
        <f t="shared" si="1"/>
        <v>0</v>
      </c>
    </row>
    <row r="50" spans="1:5" ht="21" customHeight="1">
      <c r="A50" s="21" t="s">
        <v>35</v>
      </c>
      <c r="B50" s="36">
        <f>SUM(B51,B54,B55)</f>
        <v>1392000</v>
      </c>
      <c r="C50" s="36">
        <f>SUM(C51,C54,C55)</f>
        <v>243934.02</v>
      </c>
      <c r="D50" s="40">
        <f t="shared" si="0"/>
        <v>17.523995689655173</v>
      </c>
      <c r="E50" s="41">
        <f t="shared" si="1"/>
        <v>-1148065.98</v>
      </c>
    </row>
    <row r="51" spans="1:5" ht="14.25" customHeight="1">
      <c r="A51" s="21" t="s">
        <v>36</v>
      </c>
      <c r="B51" s="36">
        <v>1376500</v>
      </c>
      <c r="C51" s="36">
        <v>243934.02</v>
      </c>
      <c r="D51" s="40">
        <f t="shared" si="0"/>
        <v>17.72132364693062</v>
      </c>
      <c r="E51" s="41">
        <f t="shared" si="1"/>
        <v>-1132565.98</v>
      </c>
    </row>
    <row r="52" spans="1:5" ht="13.5">
      <c r="A52" s="21" t="s">
        <v>116</v>
      </c>
      <c r="B52" s="36">
        <v>886329</v>
      </c>
      <c r="C52" s="99">
        <v>124462</v>
      </c>
      <c r="D52" s="40">
        <f t="shared" si="0"/>
        <v>14.042415401053107</v>
      </c>
      <c r="E52" s="41">
        <f t="shared" si="1"/>
        <v>-761867</v>
      </c>
    </row>
    <row r="53" spans="1:5" ht="13.5">
      <c r="A53" s="21" t="s">
        <v>324</v>
      </c>
      <c r="B53" s="36">
        <v>0</v>
      </c>
      <c r="C53" s="99">
        <v>0</v>
      </c>
      <c r="D53" s="40" t="str">
        <f>IF(B53=0,"   ",C53/B53*100)</f>
        <v>   </v>
      </c>
      <c r="E53" s="41">
        <f>C53-B53</f>
        <v>0</v>
      </c>
    </row>
    <row r="54" spans="1:5" ht="13.5">
      <c r="A54" s="21" t="s">
        <v>91</v>
      </c>
      <c r="B54" s="36">
        <v>500</v>
      </c>
      <c r="C54" s="107">
        <v>0</v>
      </c>
      <c r="D54" s="40">
        <f t="shared" si="0"/>
        <v>0</v>
      </c>
      <c r="E54" s="41">
        <f t="shared" si="1"/>
        <v>-500</v>
      </c>
    </row>
    <row r="55" spans="1:5" ht="13.5">
      <c r="A55" s="21" t="s">
        <v>52</v>
      </c>
      <c r="B55" s="36">
        <f>B56+B57</f>
        <v>15000</v>
      </c>
      <c r="C55" s="36">
        <f>C56</f>
        <v>0</v>
      </c>
      <c r="D55" s="40">
        <f t="shared" si="0"/>
        <v>0</v>
      </c>
      <c r="E55" s="41">
        <f t="shared" si="1"/>
        <v>-15000</v>
      </c>
    </row>
    <row r="56" spans="1:5" ht="27">
      <c r="A56" s="17" t="s">
        <v>231</v>
      </c>
      <c r="B56" s="36">
        <v>15000</v>
      </c>
      <c r="C56" s="107">
        <v>0</v>
      </c>
      <c r="D56" s="40">
        <f t="shared" si="0"/>
        <v>0</v>
      </c>
      <c r="E56" s="41">
        <f t="shared" si="1"/>
        <v>-15000</v>
      </c>
    </row>
    <row r="57" spans="1:5" ht="13.5">
      <c r="A57" s="17" t="s">
        <v>230</v>
      </c>
      <c r="B57" s="36">
        <v>0</v>
      </c>
      <c r="C57" s="107">
        <v>0</v>
      </c>
      <c r="D57" s="40" t="str">
        <f t="shared" si="0"/>
        <v>   </v>
      </c>
      <c r="E57" s="41">
        <f t="shared" si="1"/>
        <v>0</v>
      </c>
    </row>
    <row r="58" spans="1:5" ht="19.5" customHeight="1">
      <c r="A58" s="21" t="s">
        <v>49</v>
      </c>
      <c r="B58" s="107">
        <f>SUM(B59)</f>
        <v>94400</v>
      </c>
      <c r="C58" s="107">
        <f>SUM(C59)</f>
        <v>20900.78</v>
      </c>
      <c r="D58" s="40">
        <f t="shared" si="0"/>
        <v>22.140656779661015</v>
      </c>
      <c r="E58" s="41">
        <f t="shared" si="1"/>
        <v>-73499.22</v>
      </c>
    </row>
    <row r="59" spans="1:5" ht="15.75" customHeight="1">
      <c r="A59" s="21" t="s">
        <v>102</v>
      </c>
      <c r="B59" s="36">
        <v>94400</v>
      </c>
      <c r="C59" s="107">
        <v>20900.78</v>
      </c>
      <c r="D59" s="40">
        <f t="shared" si="0"/>
        <v>22.140656779661015</v>
      </c>
      <c r="E59" s="41">
        <f t="shared" si="1"/>
        <v>-73499.22</v>
      </c>
    </row>
    <row r="60" spans="1:5" ht="21" customHeight="1">
      <c r="A60" s="21" t="s">
        <v>37</v>
      </c>
      <c r="B60" s="36">
        <f>SUM(B61)</f>
        <v>5000</v>
      </c>
      <c r="C60" s="107">
        <f>SUM(C61)</f>
        <v>0</v>
      </c>
      <c r="D60" s="40">
        <f t="shared" si="0"/>
        <v>0</v>
      </c>
      <c r="E60" s="41">
        <f t="shared" si="1"/>
        <v>-5000</v>
      </c>
    </row>
    <row r="61" spans="1:5" ht="15" customHeight="1">
      <c r="A61" s="60" t="s">
        <v>315</v>
      </c>
      <c r="B61" s="36">
        <v>5000</v>
      </c>
      <c r="C61" s="107">
        <v>0</v>
      </c>
      <c r="D61" s="40">
        <f t="shared" si="0"/>
        <v>0</v>
      </c>
      <c r="E61" s="41">
        <f t="shared" si="1"/>
        <v>-5000</v>
      </c>
    </row>
    <row r="62" spans="1:5" ht="19.5" customHeight="1">
      <c r="A62" s="21" t="s">
        <v>38</v>
      </c>
      <c r="B62" s="36">
        <f>SUM(B70+B63+B68+B78)</f>
        <v>2768900</v>
      </c>
      <c r="C62" s="36">
        <f>SUM(C70+C63+C68+C78)</f>
        <v>248960.59999999998</v>
      </c>
      <c r="D62" s="40">
        <f t="shared" si="0"/>
        <v>8.991317851854525</v>
      </c>
      <c r="E62" s="41">
        <f t="shared" si="1"/>
        <v>-2519939.4</v>
      </c>
    </row>
    <row r="63" spans="1:5" ht="15" customHeight="1">
      <c r="A63" s="62" t="s">
        <v>156</v>
      </c>
      <c r="B63" s="36">
        <f>SUM(B64:B67)</f>
        <v>595500</v>
      </c>
      <c r="C63" s="36">
        <f>SUM(C64:C67)</f>
        <v>0</v>
      </c>
      <c r="D63" s="40">
        <f aca="true" t="shared" si="2" ref="D63:D69">IF(B63=0,"   ",C63/B63*100)</f>
        <v>0</v>
      </c>
      <c r="E63" s="41">
        <f aca="true" t="shared" si="3" ref="E63:E69">C63-B63</f>
        <v>-595500</v>
      </c>
    </row>
    <row r="64" spans="1:5" ht="15.75" customHeight="1">
      <c r="A64" s="62" t="s">
        <v>157</v>
      </c>
      <c r="B64" s="36">
        <v>0</v>
      </c>
      <c r="C64" s="36">
        <v>0</v>
      </c>
      <c r="D64" s="40" t="str">
        <f t="shared" si="2"/>
        <v>   </v>
      </c>
      <c r="E64" s="41">
        <f t="shared" si="3"/>
        <v>0</v>
      </c>
    </row>
    <row r="65" spans="1:5" ht="19.5" customHeight="1">
      <c r="A65" s="62" t="s">
        <v>160</v>
      </c>
      <c r="B65" s="36">
        <v>0</v>
      </c>
      <c r="C65" s="36">
        <v>0</v>
      </c>
      <c r="D65" s="40" t="str">
        <f t="shared" si="2"/>
        <v>   </v>
      </c>
      <c r="E65" s="41">
        <f t="shared" si="3"/>
        <v>0</v>
      </c>
    </row>
    <row r="66" spans="1:5" ht="19.5" customHeight="1">
      <c r="A66" s="62" t="s">
        <v>291</v>
      </c>
      <c r="B66" s="36">
        <v>559700</v>
      </c>
      <c r="C66" s="36">
        <v>0</v>
      </c>
      <c r="D66" s="40">
        <f t="shared" si="2"/>
        <v>0</v>
      </c>
      <c r="E66" s="41">
        <f t="shared" si="3"/>
        <v>-559700</v>
      </c>
    </row>
    <row r="67" spans="1:5" ht="19.5" customHeight="1">
      <c r="A67" s="62" t="s">
        <v>292</v>
      </c>
      <c r="B67" s="36">
        <v>35800</v>
      </c>
      <c r="C67" s="36">
        <v>0</v>
      </c>
      <c r="D67" s="40">
        <f t="shared" si="2"/>
        <v>0</v>
      </c>
      <c r="E67" s="41">
        <f t="shared" si="3"/>
        <v>-35800</v>
      </c>
    </row>
    <row r="68" spans="1:5" ht="19.5" customHeight="1">
      <c r="A68" s="62" t="s">
        <v>219</v>
      </c>
      <c r="B68" s="36">
        <f>SUM(B69)</f>
        <v>0</v>
      </c>
      <c r="C68" s="36">
        <f>SUM(C69)</f>
        <v>0</v>
      </c>
      <c r="D68" s="40" t="str">
        <f t="shared" si="2"/>
        <v>   </v>
      </c>
      <c r="E68" s="41">
        <f t="shared" si="3"/>
        <v>0</v>
      </c>
    </row>
    <row r="69" spans="1:5" ht="19.5" customHeight="1">
      <c r="A69" s="62" t="s">
        <v>220</v>
      </c>
      <c r="B69" s="36">
        <v>0</v>
      </c>
      <c r="C69" s="36">
        <v>0</v>
      </c>
      <c r="D69" s="40" t="str">
        <f t="shared" si="2"/>
        <v>   </v>
      </c>
      <c r="E69" s="41">
        <f t="shared" si="3"/>
        <v>0</v>
      </c>
    </row>
    <row r="70" spans="1:5" ht="12.75" customHeight="1">
      <c r="A70" s="62" t="s">
        <v>124</v>
      </c>
      <c r="B70" s="36">
        <f>SUM(B71:B77)</f>
        <v>2112500</v>
      </c>
      <c r="C70" s="36">
        <f>SUM(C71:C77)</f>
        <v>248960.59999999998</v>
      </c>
      <c r="D70" s="40">
        <f t="shared" si="0"/>
        <v>11.785117159763313</v>
      </c>
      <c r="E70" s="41">
        <f t="shared" si="1"/>
        <v>-1863539.4</v>
      </c>
    </row>
    <row r="71" spans="1:5" ht="24.75" customHeight="1">
      <c r="A71" s="60" t="s">
        <v>140</v>
      </c>
      <c r="B71" s="36">
        <v>0</v>
      </c>
      <c r="C71" s="36">
        <v>0</v>
      </c>
      <c r="D71" s="40" t="str">
        <f t="shared" si="0"/>
        <v>   </v>
      </c>
      <c r="E71" s="55">
        <f t="shared" si="1"/>
        <v>0</v>
      </c>
    </row>
    <row r="72" spans="1:5" ht="33.75" customHeight="1">
      <c r="A72" s="17" t="s">
        <v>236</v>
      </c>
      <c r="B72" s="36">
        <v>510200</v>
      </c>
      <c r="C72" s="36">
        <v>17801</v>
      </c>
      <c r="D72" s="40">
        <f t="shared" si="0"/>
        <v>3.4890239121912976</v>
      </c>
      <c r="E72" s="55">
        <f t="shared" si="1"/>
        <v>-492399</v>
      </c>
    </row>
    <row r="73" spans="1:5" ht="26.25" customHeight="1">
      <c r="A73" s="17" t="s">
        <v>237</v>
      </c>
      <c r="B73" s="36">
        <v>50000</v>
      </c>
      <c r="C73" s="36">
        <v>0</v>
      </c>
      <c r="D73" s="40">
        <f t="shared" si="0"/>
        <v>0</v>
      </c>
      <c r="E73" s="41">
        <f t="shared" si="1"/>
        <v>-50000</v>
      </c>
    </row>
    <row r="74" spans="1:5" ht="26.25" customHeight="1">
      <c r="A74" s="17" t="s">
        <v>238</v>
      </c>
      <c r="B74" s="36">
        <v>1005900</v>
      </c>
      <c r="C74" s="36">
        <v>0</v>
      </c>
      <c r="D74" s="40">
        <f t="shared" si="0"/>
        <v>0</v>
      </c>
      <c r="E74" s="41">
        <f t="shared" si="1"/>
        <v>-1005900</v>
      </c>
    </row>
    <row r="75" spans="1:5" ht="26.25" customHeight="1">
      <c r="A75" s="17" t="s">
        <v>239</v>
      </c>
      <c r="B75" s="36">
        <v>111800</v>
      </c>
      <c r="C75" s="36">
        <v>0</v>
      </c>
      <c r="D75" s="40">
        <f>IF(B75=0,"   ",C75/B75*100)</f>
        <v>0</v>
      </c>
      <c r="E75" s="41">
        <f>C75-B75</f>
        <v>-111800</v>
      </c>
    </row>
    <row r="76" spans="1:5" ht="26.25" customHeight="1">
      <c r="A76" s="17" t="s">
        <v>240</v>
      </c>
      <c r="B76" s="36">
        <v>391100</v>
      </c>
      <c r="C76" s="36">
        <v>198136.8</v>
      </c>
      <c r="D76" s="40">
        <f>IF(B76=0,"   ",C76/B76*100)</f>
        <v>50.6614165175147</v>
      </c>
      <c r="E76" s="41">
        <f>C76-B76</f>
        <v>-192963.2</v>
      </c>
    </row>
    <row r="77" spans="1:5" ht="25.5" customHeight="1">
      <c r="A77" s="17" t="s">
        <v>241</v>
      </c>
      <c r="B77" s="36">
        <v>43500</v>
      </c>
      <c r="C77" s="36">
        <v>33022.8</v>
      </c>
      <c r="D77" s="40">
        <f t="shared" si="0"/>
        <v>75.9144827586207</v>
      </c>
      <c r="E77" s="41">
        <f t="shared" si="1"/>
        <v>-10477.199999999997</v>
      </c>
    </row>
    <row r="78" spans="1:5" ht="18.75" customHeight="1">
      <c r="A78" s="68" t="s">
        <v>167</v>
      </c>
      <c r="B78" s="36">
        <f>SUM(B79+B80)</f>
        <v>60900</v>
      </c>
      <c r="C78" s="36">
        <f>SUM(C79+C80)</f>
        <v>0</v>
      </c>
      <c r="D78" s="40">
        <f>IF(B78=0,"   ",C78/B78*100)</f>
        <v>0</v>
      </c>
      <c r="E78" s="41">
        <f>C78-B78</f>
        <v>-60900</v>
      </c>
    </row>
    <row r="79" spans="1:5" ht="31.5" customHeight="1">
      <c r="A79" s="17" t="s">
        <v>146</v>
      </c>
      <c r="B79" s="36">
        <v>31000</v>
      </c>
      <c r="C79" s="36">
        <v>0</v>
      </c>
      <c r="D79" s="40">
        <f>IF(B79=0,"   ",C79/B79*100)</f>
        <v>0</v>
      </c>
      <c r="E79" s="41">
        <f>C79-B79</f>
        <v>-31000</v>
      </c>
    </row>
    <row r="80" spans="1:5" ht="23.25" customHeight="1">
      <c r="A80" s="60" t="s">
        <v>168</v>
      </c>
      <c r="B80" s="36">
        <v>29900</v>
      </c>
      <c r="C80" s="36">
        <v>0</v>
      </c>
      <c r="D80" s="40">
        <f>IF(B80=0,"   ",C80/B80*100)</f>
        <v>0</v>
      </c>
      <c r="E80" s="41">
        <f>C80-B80</f>
        <v>-29900</v>
      </c>
    </row>
    <row r="81" spans="1:5" ht="18.75" customHeight="1">
      <c r="A81" s="21" t="s">
        <v>13</v>
      </c>
      <c r="B81" s="36">
        <f>SUM(B90+B82+B84+B98)</f>
        <v>1563481.2</v>
      </c>
      <c r="C81" s="36">
        <f>SUM(C90+C82+C84)</f>
        <v>11577.46</v>
      </c>
      <c r="D81" s="40">
        <f t="shared" si="0"/>
        <v>0.7404924344469253</v>
      </c>
      <c r="E81" s="41">
        <f t="shared" si="1"/>
        <v>-1551903.74</v>
      </c>
    </row>
    <row r="82" spans="1:5" ht="12.75" customHeight="1">
      <c r="A82" s="128" t="s">
        <v>14</v>
      </c>
      <c r="B82" s="36">
        <f>B83</f>
        <v>0</v>
      </c>
      <c r="C82" s="36">
        <f>C83</f>
        <v>0</v>
      </c>
      <c r="D82" s="40" t="str">
        <f aca="true" t="shared" si="4" ref="D82:D89">IF(B82=0,"   ",C82/B82*100)</f>
        <v>   </v>
      </c>
      <c r="E82" s="41">
        <f aca="true" t="shared" si="5" ref="E82:E89">C82-B82</f>
        <v>0</v>
      </c>
    </row>
    <row r="83" spans="1:5" ht="12.75" customHeight="1">
      <c r="A83" s="21" t="s">
        <v>162</v>
      </c>
      <c r="B83" s="36">
        <v>0</v>
      </c>
      <c r="C83" s="36">
        <v>0</v>
      </c>
      <c r="D83" s="40" t="str">
        <f t="shared" si="4"/>
        <v>   </v>
      </c>
      <c r="E83" s="41">
        <f t="shared" si="5"/>
        <v>0</v>
      </c>
    </row>
    <row r="84" spans="1:5" ht="13.5" customHeight="1">
      <c r="A84" s="128" t="s">
        <v>64</v>
      </c>
      <c r="B84" s="36">
        <f>SUM(B85:B89)</f>
        <v>1212450</v>
      </c>
      <c r="C84" s="36">
        <f>SUM(C85:C89)</f>
        <v>0</v>
      </c>
      <c r="D84" s="40">
        <f t="shared" si="4"/>
        <v>0</v>
      </c>
      <c r="E84" s="41">
        <f t="shared" si="5"/>
        <v>-1212450</v>
      </c>
    </row>
    <row r="85" spans="1:5" ht="30" customHeight="1">
      <c r="A85" s="21" t="s">
        <v>185</v>
      </c>
      <c r="B85" s="36">
        <v>20000</v>
      </c>
      <c r="C85" s="36">
        <v>0</v>
      </c>
      <c r="D85" s="40">
        <f t="shared" si="4"/>
        <v>0</v>
      </c>
      <c r="E85" s="41">
        <f t="shared" si="5"/>
        <v>-20000</v>
      </c>
    </row>
    <row r="86" spans="1:5" ht="14.25" customHeight="1">
      <c r="A86" s="38" t="s">
        <v>263</v>
      </c>
      <c r="B86" s="36">
        <v>0</v>
      </c>
      <c r="C86" s="36">
        <v>0</v>
      </c>
      <c r="D86" s="40" t="str">
        <f t="shared" si="4"/>
        <v>   </v>
      </c>
      <c r="E86" s="41">
        <f t="shared" si="5"/>
        <v>0</v>
      </c>
    </row>
    <row r="87" spans="1:5" ht="14.25" customHeight="1">
      <c r="A87" s="21" t="s">
        <v>316</v>
      </c>
      <c r="B87" s="36">
        <v>0</v>
      </c>
      <c r="C87" s="36">
        <v>0</v>
      </c>
      <c r="D87" s="40" t="str">
        <f t="shared" si="4"/>
        <v>   </v>
      </c>
      <c r="E87" s="41">
        <f t="shared" si="5"/>
        <v>0</v>
      </c>
    </row>
    <row r="88" spans="1:5" ht="14.25" customHeight="1">
      <c r="A88" s="21" t="s">
        <v>270</v>
      </c>
      <c r="B88" s="36">
        <v>1192450</v>
      </c>
      <c r="C88" s="36">
        <v>0</v>
      </c>
      <c r="D88" s="40">
        <f t="shared" si="4"/>
        <v>0</v>
      </c>
      <c r="E88" s="41">
        <f t="shared" si="5"/>
        <v>-1192450</v>
      </c>
    </row>
    <row r="89" spans="1:5" ht="14.25" customHeight="1">
      <c r="A89" s="21" t="s">
        <v>279</v>
      </c>
      <c r="B89" s="36">
        <v>0</v>
      </c>
      <c r="C89" s="36">
        <v>0</v>
      </c>
      <c r="D89" s="40" t="str">
        <f t="shared" si="4"/>
        <v>   </v>
      </c>
      <c r="E89" s="41">
        <f t="shared" si="5"/>
        <v>0</v>
      </c>
    </row>
    <row r="90" spans="1:5" ht="13.5">
      <c r="A90" s="21" t="s">
        <v>58</v>
      </c>
      <c r="B90" s="36">
        <f>B91+B93+B92+B94</f>
        <v>350931.2</v>
      </c>
      <c r="C90" s="36">
        <f>C91+C93+C92+C98+C94</f>
        <v>11577.46</v>
      </c>
      <c r="D90" s="40">
        <f t="shared" si="0"/>
        <v>3.299068307406124</v>
      </c>
      <c r="E90" s="41">
        <f t="shared" si="1"/>
        <v>-339353.74</v>
      </c>
    </row>
    <row r="91" spans="1:5" ht="13.5">
      <c r="A91" s="21" t="s">
        <v>56</v>
      </c>
      <c r="B91" s="36">
        <v>180000</v>
      </c>
      <c r="C91" s="107">
        <v>11577.46</v>
      </c>
      <c r="D91" s="40">
        <f t="shared" si="0"/>
        <v>6.431922222222222</v>
      </c>
      <c r="E91" s="41">
        <f t="shared" si="1"/>
        <v>-168422.54</v>
      </c>
    </row>
    <row r="92" spans="1:5" ht="27">
      <c r="A92" s="17" t="s">
        <v>271</v>
      </c>
      <c r="B92" s="36">
        <v>0</v>
      </c>
      <c r="C92" s="107">
        <v>0</v>
      </c>
      <c r="D92" s="40" t="str">
        <f t="shared" si="0"/>
        <v>   </v>
      </c>
      <c r="E92" s="41">
        <f t="shared" si="1"/>
        <v>0</v>
      </c>
    </row>
    <row r="93" spans="1:5" ht="13.5">
      <c r="A93" s="21" t="s">
        <v>59</v>
      </c>
      <c r="B93" s="36">
        <v>50000</v>
      </c>
      <c r="C93" s="107">
        <v>0</v>
      </c>
      <c r="D93" s="40">
        <f t="shared" si="0"/>
        <v>0</v>
      </c>
      <c r="E93" s="41">
        <f t="shared" si="1"/>
        <v>-50000</v>
      </c>
    </row>
    <row r="94" spans="1:5" ht="13.5" customHeight="1">
      <c r="A94" s="17" t="s">
        <v>341</v>
      </c>
      <c r="B94" s="36">
        <f>SUM(B95:B97)</f>
        <v>120931.2</v>
      </c>
      <c r="C94" s="36">
        <f>SUM(C95:C97)</f>
        <v>0</v>
      </c>
      <c r="D94" s="40">
        <f>IF(B94=0,"   ",C94/B94*100)</f>
        <v>0</v>
      </c>
      <c r="E94" s="41">
        <f>C94-B94</f>
        <v>-120931.2</v>
      </c>
    </row>
    <row r="95" spans="1:5" ht="13.5">
      <c r="A95" s="17" t="s">
        <v>344</v>
      </c>
      <c r="B95" s="36">
        <v>120931.2</v>
      </c>
      <c r="C95" s="107">
        <v>0</v>
      </c>
      <c r="D95" s="40">
        <f t="shared" si="0"/>
        <v>0</v>
      </c>
      <c r="E95" s="41">
        <f t="shared" si="1"/>
        <v>-120931.2</v>
      </c>
    </row>
    <row r="96" spans="1:5" ht="13.5">
      <c r="A96" s="17" t="s">
        <v>345</v>
      </c>
      <c r="B96" s="36">
        <v>0</v>
      </c>
      <c r="C96" s="107">
        <v>0</v>
      </c>
      <c r="D96" s="40" t="str">
        <f t="shared" si="0"/>
        <v>   </v>
      </c>
      <c r="E96" s="41">
        <f t="shared" si="1"/>
        <v>0</v>
      </c>
    </row>
    <row r="97" spans="1:5" ht="14.25" thickBot="1">
      <c r="A97" s="17" t="s">
        <v>346</v>
      </c>
      <c r="B97" s="36">
        <v>0</v>
      </c>
      <c r="C97" s="107">
        <v>0</v>
      </c>
      <c r="D97" s="40" t="str">
        <f t="shared" si="0"/>
        <v>   </v>
      </c>
      <c r="E97" s="41">
        <f t="shared" si="1"/>
        <v>0</v>
      </c>
    </row>
    <row r="98" spans="1:5" ht="14.25" thickBot="1">
      <c r="A98" s="62" t="s">
        <v>302</v>
      </c>
      <c r="B98" s="111">
        <f>SUM(B99)</f>
        <v>100</v>
      </c>
      <c r="C98" s="111">
        <f>SUM(C99)</f>
        <v>0</v>
      </c>
      <c r="D98" s="40">
        <f t="shared" si="0"/>
        <v>0</v>
      </c>
      <c r="E98" s="41">
        <f t="shared" si="1"/>
        <v>-100</v>
      </c>
    </row>
    <row r="99" spans="1:5" ht="13.5">
      <c r="A99" s="62" t="s">
        <v>259</v>
      </c>
      <c r="B99" s="36">
        <v>100</v>
      </c>
      <c r="C99" s="99">
        <v>0</v>
      </c>
      <c r="D99" s="40">
        <f>IF(B99=0,"   ",C99/B99*100)</f>
        <v>0</v>
      </c>
      <c r="E99" s="41">
        <f>C99-B99</f>
        <v>-100</v>
      </c>
    </row>
    <row r="100" spans="1:5" ht="14.25" customHeight="1">
      <c r="A100" s="21" t="s">
        <v>17</v>
      </c>
      <c r="B100" s="36">
        <v>8000</v>
      </c>
      <c r="C100" s="36">
        <v>0</v>
      </c>
      <c r="D100" s="40">
        <f t="shared" si="0"/>
        <v>0</v>
      </c>
      <c r="E100" s="41">
        <f t="shared" si="1"/>
        <v>-8000</v>
      </c>
    </row>
    <row r="101" spans="1:5" ht="13.5" customHeight="1">
      <c r="A101" s="21" t="s">
        <v>41</v>
      </c>
      <c r="B101" s="143">
        <f>B102</f>
        <v>1207000</v>
      </c>
      <c r="C101" s="143">
        <f>C102</f>
        <v>307680</v>
      </c>
      <c r="D101" s="40">
        <f t="shared" si="0"/>
        <v>25.491300745650374</v>
      </c>
      <c r="E101" s="41">
        <f t="shared" si="1"/>
        <v>-899320</v>
      </c>
    </row>
    <row r="102" spans="1:5" ht="13.5">
      <c r="A102" s="21" t="s">
        <v>42</v>
      </c>
      <c r="B102" s="36">
        <v>1207000</v>
      </c>
      <c r="C102" s="107">
        <v>307680</v>
      </c>
      <c r="D102" s="40">
        <f t="shared" si="0"/>
        <v>25.491300745650374</v>
      </c>
      <c r="E102" s="41">
        <f t="shared" si="1"/>
        <v>-899320</v>
      </c>
    </row>
    <row r="103" spans="1:5" ht="18.75" customHeight="1">
      <c r="A103" s="21" t="s">
        <v>119</v>
      </c>
      <c r="B103" s="36">
        <f>SUM(B104,)</f>
        <v>20000</v>
      </c>
      <c r="C103" s="36">
        <f>SUM(C104,)</f>
        <v>0</v>
      </c>
      <c r="D103" s="40">
        <f t="shared" si="0"/>
        <v>0</v>
      </c>
      <c r="E103" s="41">
        <f t="shared" si="1"/>
        <v>-20000</v>
      </c>
    </row>
    <row r="104" spans="1:5" ht="13.5">
      <c r="A104" s="21" t="s">
        <v>43</v>
      </c>
      <c r="B104" s="36">
        <v>20000</v>
      </c>
      <c r="C104" s="99">
        <v>0</v>
      </c>
      <c r="D104" s="40">
        <f t="shared" si="0"/>
        <v>0</v>
      </c>
      <c r="E104" s="41">
        <f t="shared" si="1"/>
        <v>-20000</v>
      </c>
    </row>
    <row r="105" spans="1:5" ht="22.5" customHeight="1">
      <c r="A105" s="44" t="s">
        <v>15</v>
      </c>
      <c r="B105" s="116">
        <f>B50+B58+B60+B62+B81+B100+B101+B103</f>
        <v>7058781.2</v>
      </c>
      <c r="C105" s="116">
        <f>C50+C58+C60+C62+C81+C100+C101+C103</f>
        <v>833052.86</v>
      </c>
      <c r="D105" s="46">
        <f>IF(B105=0,"   ",C105/B105*100)</f>
        <v>11.801652953912214</v>
      </c>
      <c r="E105" s="47">
        <f t="shared" si="1"/>
        <v>-6225728.34</v>
      </c>
    </row>
    <row r="106" spans="1:5" s="13" customFormat="1" ht="33" customHeight="1">
      <c r="A106" s="71" t="s">
        <v>288</v>
      </c>
      <c r="B106" s="71"/>
      <c r="C106" s="167"/>
      <c r="D106" s="167"/>
      <c r="E106" s="167"/>
    </row>
    <row r="107" spans="1:5" s="13" customFormat="1" ht="12" customHeight="1">
      <c r="A107" s="71" t="s">
        <v>145</v>
      </c>
      <c r="B107" s="71"/>
      <c r="C107" s="72" t="s">
        <v>289</v>
      </c>
      <c r="D107" s="73"/>
      <c r="E107" s="74"/>
    </row>
    <row r="108" spans="1:5" ht="13.5">
      <c r="A108" s="71"/>
      <c r="B108" s="71"/>
      <c r="C108" s="117"/>
      <c r="D108" s="71"/>
      <c r="E108" s="118"/>
    </row>
    <row r="109" spans="1:5" ht="13.5">
      <c r="A109" s="71"/>
      <c r="B109" s="71"/>
      <c r="C109" s="117"/>
      <c r="D109" s="71"/>
      <c r="E109" s="118"/>
    </row>
    <row r="110" spans="1:5" ht="13.5">
      <c r="A110" s="71"/>
      <c r="B110" s="71"/>
      <c r="C110" s="117"/>
      <c r="D110" s="71"/>
      <c r="E110" s="118"/>
    </row>
    <row r="111" spans="1:5" ht="13.5">
      <c r="A111" s="71"/>
      <c r="B111" s="71"/>
      <c r="C111" s="117"/>
      <c r="D111" s="71"/>
      <c r="E111" s="118"/>
    </row>
    <row r="112" spans="1:5" ht="13.5">
      <c r="A112" s="22"/>
      <c r="B112" s="160"/>
      <c r="C112" s="160"/>
      <c r="D112" s="160"/>
      <c r="E112" s="160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  <row r="124" ht="12.75">
      <c r="A124" s="3"/>
    </row>
    <row r="125" ht="12.75">
      <c r="A125" s="3"/>
    </row>
    <row r="126" ht="12.75">
      <c r="A126" s="3"/>
    </row>
    <row r="127" ht="12.75">
      <c r="A127" s="3"/>
    </row>
    <row r="128" ht="12.75">
      <c r="A128" s="3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  <row r="153" ht="12.75">
      <c r="A153" s="3"/>
    </row>
    <row r="154" ht="12.75">
      <c r="A154" s="3"/>
    </row>
    <row r="155" ht="12.75">
      <c r="A155" s="3"/>
    </row>
    <row r="156" ht="12.75">
      <c r="A156" s="3"/>
    </row>
    <row r="157" ht="12.75">
      <c r="A157" s="3"/>
    </row>
    <row r="158" ht="12.75">
      <c r="A158" s="3"/>
    </row>
    <row r="159" ht="12.75">
      <c r="A159" s="3"/>
    </row>
    <row r="160" ht="12.75">
      <c r="A160" s="3"/>
    </row>
    <row r="161" ht="12.75">
      <c r="A161" s="3"/>
    </row>
    <row r="162" ht="12.75">
      <c r="A162" s="3"/>
    </row>
    <row r="163" ht="12.75">
      <c r="A163" s="3"/>
    </row>
    <row r="164" ht="12.75">
      <c r="A164" s="3"/>
    </row>
    <row r="165" ht="12.75">
      <c r="A165" s="3"/>
    </row>
    <row r="166" ht="12.75">
      <c r="A166" s="3"/>
    </row>
    <row r="167" ht="12.75">
      <c r="A167" s="3"/>
    </row>
    <row r="168" ht="12.75">
      <c r="A168" s="3"/>
    </row>
    <row r="169" ht="12.75">
      <c r="A169" s="3"/>
    </row>
    <row r="170" ht="12.75">
      <c r="A170" s="3"/>
    </row>
    <row r="171" ht="12.75">
      <c r="A171" s="3"/>
    </row>
    <row r="172" ht="12.75">
      <c r="A172" s="3"/>
    </row>
    <row r="173" ht="12.75">
      <c r="A173" s="3"/>
    </row>
    <row r="174" ht="12.75">
      <c r="A174" s="3"/>
    </row>
    <row r="175" ht="12.75">
      <c r="A175" s="3"/>
    </row>
    <row r="176" ht="12.75">
      <c r="A176" s="3"/>
    </row>
    <row r="177" ht="12.75">
      <c r="A177" s="3"/>
    </row>
    <row r="178" ht="12.75">
      <c r="A178" s="3"/>
    </row>
    <row r="179" ht="12.75">
      <c r="A179" s="3"/>
    </row>
    <row r="180" ht="12.75">
      <c r="A180" s="3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  <row r="208" ht="12.75">
      <c r="A208" s="3"/>
    </row>
    <row r="209" ht="12.75">
      <c r="A209" s="3"/>
    </row>
    <row r="210" ht="12.75">
      <c r="A210" s="3"/>
    </row>
    <row r="211" ht="12.75">
      <c r="A211" s="3"/>
    </row>
    <row r="212" ht="12.75">
      <c r="A212" s="3"/>
    </row>
    <row r="213" ht="12.75">
      <c r="A213" s="3"/>
    </row>
    <row r="214" ht="12.75">
      <c r="A214" s="3"/>
    </row>
    <row r="215" ht="12.75">
      <c r="A215" s="3"/>
    </row>
    <row r="216" ht="12.75">
      <c r="A216" s="3"/>
    </row>
    <row r="217" ht="12.75">
      <c r="A217" s="3"/>
    </row>
    <row r="218" ht="12.75">
      <c r="A218" s="3"/>
    </row>
    <row r="219" ht="12.75">
      <c r="A219" s="3"/>
    </row>
    <row r="220" ht="12.75">
      <c r="A220" s="3"/>
    </row>
    <row r="221" ht="12.75">
      <c r="A221" s="3"/>
    </row>
    <row r="222" ht="12.75">
      <c r="A222" s="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</sheetData>
  <sheetProtection/>
  <mergeCells count="2">
    <mergeCell ref="A1:E1"/>
    <mergeCell ref="C106:E106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zoomScalePageLayoutView="0" workbookViewId="0" topLeftCell="A99">
      <selection activeCell="C111" sqref="C111"/>
    </sheetView>
  </sheetViews>
  <sheetFormatPr defaultColWidth="9.00390625" defaultRowHeight="12.75"/>
  <cols>
    <col min="1" max="1" width="114.125" style="0" customWidth="1"/>
    <col min="2" max="2" width="15.125" style="0" customWidth="1"/>
    <col min="3" max="3" width="18.625" style="0" customWidth="1"/>
    <col min="4" max="4" width="18.50390625" style="0" customWidth="1"/>
    <col min="5" max="5" width="16.00390625" style="0" customWidth="1"/>
  </cols>
  <sheetData>
    <row r="1" spans="1:5" ht="13.5">
      <c r="A1" s="168" t="s">
        <v>360</v>
      </c>
      <c r="B1" s="168"/>
      <c r="C1" s="168"/>
      <c r="D1" s="168"/>
      <c r="E1" s="168"/>
    </row>
    <row r="2" spans="1:5" ht="12.75" customHeight="1" thickBot="1">
      <c r="A2" s="22"/>
      <c r="B2" s="22"/>
      <c r="C2" s="148"/>
      <c r="D2" s="148"/>
      <c r="E2" s="148"/>
    </row>
    <row r="3" spans="1:5" ht="5.25" customHeight="1" hidden="1" thickBot="1">
      <c r="A3" s="22"/>
      <c r="B3" s="22"/>
      <c r="C3" s="23"/>
      <c r="D3" s="22"/>
      <c r="E3" s="22" t="s">
        <v>0</v>
      </c>
    </row>
    <row r="4" spans="1:5" ht="72.75" customHeight="1">
      <c r="A4" s="24" t="s">
        <v>1</v>
      </c>
      <c r="B4" s="25" t="s">
        <v>331</v>
      </c>
      <c r="C4" s="26" t="s">
        <v>351</v>
      </c>
      <c r="D4" s="25" t="s">
        <v>332</v>
      </c>
      <c r="E4" s="27" t="s">
        <v>333</v>
      </c>
    </row>
    <row r="5" spans="1:5" ht="13.5">
      <c r="A5" s="28">
        <v>1</v>
      </c>
      <c r="B5" s="29">
        <v>2</v>
      </c>
      <c r="C5" s="30">
        <v>3</v>
      </c>
      <c r="D5" s="31">
        <v>4</v>
      </c>
      <c r="E5" s="32">
        <v>5</v>
      </c>
    </row>
    <row r="6" spans="1:5" ht="14.25">
      <c r="A6" s="33" t="s">
        <v>2</v>
      </c>
      <c r="B6" s="34"/>
      <c r="C6" s="35"/>
      <c r="D6" s="36"/>
      <c r="E6" s="37"/>
    </row>
    <row r="7" spans="1:5" ht="16.5" customHeight="1">
      <c r="A7" s="38" t="s">
        <v>45</v>
      </c>
      <c r="B7" s="143">
        <f>SUM(B8)</f>
        <v>406500</v>
      </c>
      <c r="C7" s="143">
        <f>SUM(C8)</f>
        <v>77264.03</v>
      </c>
      <c r="D7" s="40">
        <f aca="true" t="shared" si="0" ref="D7:D112">IF(B7=0,"   ",C7/B7*100)</f>
        <v>19.007141451414515</v>
      </c>
      <c r="E7" s="41">
        <f aca="true" t="shared" si="1" ref="E7:E113">C7-B7</f>
        <v>-329235.97</v>
      </c>
    </row>
    <row r="8" spans="1:5" ht="13.5">
      <c r="A8" s="21" t="s">
        <v>44</v>
      </c>
      <c r="B8" s="36">
        <v>406500</v>
      </c>
      <c r="C8" s="86">
        <v>77264.03</v>
      </c>
      <c r="D8" s="40">
        <f t="shared" si="0"/>
        <v>19.007141451414515</v>
      </c>
      <c r="E8" s="41">
        <f t="shared" si="1"/>
        <v>-329235.97</v>
      </c>
    </row>
    <row r="9" spans="1:5" ht="18" customHeight="1">
      <c r="A9" s="38" t="s">
        <v>129</v>
      </c>
      <c r="B9" s="143">
        <f>SUM(B10)</f>
        <v>999400</v>
      </c>
      <c r="C9" s="143">
        <f>SUM(C10)</f>
        <v>264078.76</v>
      </c>
      <c r="D9" s="40">
        <f t="shared" si="0"/>
        <v>26.423730238142884</v>
      </c>
      <c r="E9" s="41">
        <f t="shared" si="1"/>
        <v>-735321.24</v>
      </c>
    </row>
    <row r="10" spans="1:5" ht="13.5">
      <c r="A10" s="21" t="s">
        <v>130</v>
      </c>
      <c r="B10" s="36">
        <v>999400</v>
      </c>
      <c r="C10" s="86">
        <v>264078.76</v>
      </c>
      <c r="D10" s="40">
        <f t="shared" si="0"/>
        <v>26.423730238142884</v>
      </c>
      <c r="E10" s="41">
        <f t="shared" si="1"/>
        <v>-735321.24</v>
      </c>
    </row>
    <row r="11" spans="1:5" ht="16.5" customHeight="1">
      <c r="A11" s="21" t="s">
        <v>7</v>
      </c>
      <c r="B11" s="36">
        <f>SUM(B12:B12)</f>
        <v>46300</v>
      </c>
      <c r="C11" s="36">
        <f>C12</f>
        <v>86289.9</v>
      </c>
      <c r="D11" s="40">
        <f t="shared" si="0"/>
        <v>186.37127429805614</v>
      </c>
      <c r="E11" s="41">
        <f t="shared" si="1"/>
        <v>39989.899999999994</v>
      </c>
    </row>
    <row r="12" spans="1:5" ht="13.5">
      <c r="A12" s="21" t="s">
        <v>26</v>
      </c>
      <c r="B12" s="36">
        <v>46300</v>
      </c>
      <c r="C12" s="86">
        <v>86289.9</v>
      </c>
      <c r="D12" s="40">
        <f t="shared" si="0"/>
        <v>186.37127429805614</v>
      </c>
      <c r="E12" s="41">
        <f t="shared" si="1"/>
        <v>39989.899999999994</v>
      </c>
    </row>
    <row r="13" spans="1:5" ht="18" customHeight="1">
      <c r="A13" s="21" t="s">
        <v>9</v>
      </c>
      <c r="B13" s="36">
        <f>SUM(B14:B15)</f>
        <v>1098000</v>
      </c>
      <c r="C13" s="36">
        <f>SUM(C14:C15)</f>
        <v>157339.97</v>
      </c>
      <c r="D13" s="40">
        <f t="shared" si="0"/>
        <v>14.329687613843351</v>
      </c>
      <c r="E13" s="41">
        <f t="shared" si="1"/>
        <v>-940660.03</v>
      </c>
    </row>
    <row r="14" spans="1:5" ht="13.5">
      <c r="A14" s="21" t="s">
        <v>27</v>
      </c>
      <c r="B14" s="36">
        <v>512000</v>
      </c>
      <c r="C14" s="86">
        <v>60828.17</v>
      </c>
      <c r="D14" s="40">
        <f t="shared" si="0"/>
        <v>11.880501953125</v>
      </c>
      <c r="E14" s="41">
        <f t="shared" si="1"/>
        <v>-451171.83</v>
      </c>
    </row>
    <row r="15" spans="1:5" ht="13.5">
      <c r="A15" s="21" t="s">
        <v>151</v>
      </c>
      <c r="B15" s="36">
        <f>SUM(B16:B17)</f>
        <v>586000</v>
      </c>
      <c r="C15" s="36">
        <f>SUM(C16:C17)</f>
        <v>96511.8</v>
      </c>
      <c r="D15" s="40">
        <f t="shared" si="0"/>
        <v>16.46959044368601</v>
      </c>
      <c r="E15" s="41">
        <f t="shared" si="1"/>
        <v>-489488.2</v>
      </c>
    </row>
    <row r="16" spans="1:5" ht="13.5">
      <c r="A16" s="21" t="s">
        <v>152</v>
      </c>
      <c r="B16" s="36">
        <v>336000</v>
      </c>
      <c r="C16" s="86">
        <v>47185.33</v>
      </c>
      <c r="D16" s="40">
        <f t="shared" si="0"/>
        <v>14.043252976190477</v>
      </c>
      <c r="E16" s="41">
        <f t="shared" si="1"/>
        <v>-288814.67</v>
      </c>
    </row>
    <row r="17" spans="1:5" ht="13.5">
      <c r="A17" s="21" t="s">
        <v>153</v>
      </c>
      <c r="B17" s="36">
        <v>250000</v>
      </c>
      <c r="C17" s="86">
        <v>49326.47</v>
      </c>
      <c r="D17" s="40">
        <f t="shared" si="0"/>
        <v>19.730588</v>
      </c>
      <c r="E17" s="41">
        <f t="shared" si="1"/>
        <v>-200673.53</v>
      </c>
    </row>
    <row r="18" spans="1:5" ht="13.5">
      <c r="A18" s="21" t="s">
        <v>186</v>
      </c>
      <c r="B18" s="36">
        <v>0</v>
      </c>
      <c r="C18" s="86">
        <v>0</v>
      </c>
      <c r="D18" s="40" t="str">
        <f t="shared" si="0"/>
        <v>   </v>
      </c>
      <c r="E18" s="41">
        <f t="shared" si="1"/>
        <v>0</v>
      </c>
    </row>
    <row r="19" spans="1:5" ht="18" customHeight="1">
      <c r="A19" s="21" t="s">
        <v>86</v>
      </c>
      <c r="B19" s="36">
        <v>0</v>
      </c>
      <c r="C19" s="107">
        <v>0</v>
      </c>
      <c r="D19" s="40" t="str">
        <f t="shared" si="0"/>
        <v>   </v>
      </c>
      <c r="E19" s="41">
        <f t="shared" si="1"/>
        <v>0</v>
      </c>
    </row>
    <row r="20" spans="1:5" ht="36" customHeight="1">
      <c r="A20" s="21" t="s">
        <v>28</v>
      </c>
      <c r="B20" s="36">
        <f>SUM(B21:B24)</f>
        <v>144500</v>
      </c>
      <c r="C20" s="36">
        <f>SUM(C21:C24)</f>
        <v>46225.01</v>
      </c>
      <c r="D20" s="40">
        <f t="shared" si="0"/>
        <v>31.989626297577857</v>
      </c>
      <c r="E20" s="41">
        <f t="shared" si="1"/>
        <v>-98274.98999999999</v>
      </c>
    </row>
    <row r="21" spans="1:5" ht="13.5">
      <c r="A21" s="21" t="s">
        <v>29</v>
      </c>
      <c r="B21" s="36">
        <v>0</v>
      </c>
      <c r="C21" s="107">
        <v>0</v>
      </c>
      <c r="D21" s="40" t="str">
        <f t="shared" si="0"/>
        <v>   </v>
      </c>
      <c r="E21" s="41">
        <f t="shared" si="1"/>
        <v>0</v>
      </c>
    </row>
    <row r="22" spans="1:5" ht="13.5">
      <c r="A22" s="21" t="s">
        <v>143</v>
      </c>
      <c r="B22" s="36">
        <v>67500</v>
      </c>
      <c r="C22" s="107">
        <v>21101.03</v>
      </c>
      <c r="D22" s="40">
        <f t="shared" si="0"/>
        <v>31.260785185185185</v>
      </c>
      <c r="E22" s="41">
        <f t="shared" si="1"/>
        <v>-46398.97</v>
      </c>
    </row>
    <row r="23" spans="1:5" ht="15.75" customHeight="1">
      <c r="A23" s="21" t="s">
        <v>30</v>
      </c>
      <c r="B23" s="36">
        <v>57000</v>
      </c>
      <c r="C23" s="36">
        <v>19318.54</v>
      </c>
      <c r="D23" s="40">
        <f t="shared" si="0"/>
        <v>33.892175438596496</v>
      </c>
      <c r="E23" s="41">
        <f t="shared" si="1"/>
        <v>-37681.46</v>
      </c>
    </row>
    <row r="24" spans="1:5" ht="42" customHeight="1">
      <c r="A24" s="21" t="s">
        <v>214</v>
      </c>
      <c r="B24" s="36">
        <v>20000</v>
      </c>
      <c r="C24" s="86">
        <v>5805.44</v>
      </c>
      <c r="D24" s="40">
        <f t="shared" si="0"/>
        <v>29.027199999999997</v>
      </c>
      <c r="E24" s="41">
        <f t="shared" si="1"/>
        <v>-14194.560000000001</v>
      </c>
    </row>
    <row r="25" spans="1:5" ht="15.75" customHeight="1">
      <c r="A25" s="21" t="s">
        <v>88</v>
      </c>
      <c r="B25" s="36">
        <v>0</v>
      </c>
      <c r="C25" s="86">
        <v>0</v>
      </c>
      <c r="D25" s="40" t="str">
        <f t="shared" si="0"/>
        <v>   </v>
      </c>
      <c r="E25" s="41">
        <f t="shared" si="1"/>
        <v>0</v>
      </c>
    </row>
    <row r="26" spans="1:5" ht="15" customHeight="1">
      <c r="A26" s="21" t="s">
        <v>78</v>
      </c>
      <c r="B26" s="36">
        <f>SUM(B27:B28)</f>
        <v>0</v>
      </c>
      <c r="C26" s="36">
        <f>SUM(C27:C28)</f>
        <v>0</v>
      </c>
      <c r="D26" s="40" t="str">
        <f t="shared" si="0"/>
        <v>   </v>
      </c>
      <c r="E26" s="41">
        <f t="shared" si="1"/>
        <v>0</v>
      </c>
    </row>
    <row r="27" spans="1:5" ht="13.5" customHeight="1">
      <c r="A27" s="21" t="s">
        <v>127</v>
      </c>
      <c r="B27" s="36">
        <v>0</v>
      </c>
      <c r="C27" s="86">
        <v>0</v>
      </c>
      <c r="D27" s="40" t="str">
        <f t="shared" si="0"/>
        <v>   </v>
      </c>
      <c r="E27" s="41">
        <f t="shared" si="1"/>
        <v>0</v>
      </c>
    </row>
    <row r="28" spans="1:5" ht="26.25" customHeight="1">
      <c r="A28" s="21" t="s">
        <v>79</v>
      </c>
      <c r="B28" s="36">
        <v>0</v>
      </c>
      <c r="C28" s="86">
        <v>0</v>
      </c>
      <c r="D28" s="40" t="str">
        <f t="shared" si="0"/>
        <v>   </v>
      </c>
      <c r="E28" s="41">
        <f t="shared" si="1"/>
        <v>0</v>
      </c>
    </row>
    <row r="29" spans="1:5" ht="16.5" customHeight="1">
      <c r="A29" s="21" t="s">
        <v>31</v>
      </c>
      <c r="B29" s="36">
        <v>0</v>
      </c>
      <c r="C29" s="36">
        <v>0</v>
      </c>
      <c r="D29" s="40"/>
      <c r="E29" s="41">
        <f t="shared" si="1"/>
        <v>0</v>
      </c>
    </row>
    <row r="30" spans="1:5" ht="18.75" customHeight="1">
      <c r="A30" s="21" t="s">
        <v>32</v>
      </c>
      <c r="B30" s="36">
        <f>B31+B33+B32</f>
        <v>0</v>
      </c>
      <c r="C30" s="36">
        <f>C31+C33+C32</f>
        <v>0</v>
      </c>
      <c r="D30" s="40" t="str">
        <f t="shared" si="0"/>
        <v>   </v>
      </c>
      <c r="E30" s="41">
        <f t="shared" si="1"/>
        <v>0</v>
      </c>
    </row>
    <row r="31" spans="1:5" ht="13.5" customHeight="1">
      <c r="A31" s="21" t="s">
        <v>121</v>
      </c>
      <c r="B31" s="36">
        <v>0</v>
      </c>
      <c r="C31" s="107">
        <v>0</v>
      </c>
      <c r="D31" s="40" t="str">
        <f t="shared" si="0"/>
        <v>   </v>
      </c>
      <c r="E31" s="41">
        <f t="shared" si="1"/>
        <v>0</v>
      </c>
    </row>
    <row r="32" spans="1:5" ht="13.5" customHeight="1">
      <c r="A32" s="21" t="s">
        <v>313</v>
      </c>
      <c r="B32" s="36">
        <v>0</v>
      </c>
      <c r="C32" s="107">
        <v>0</v>
      </c>
      <c r="D32" s="40"/>
      <c r="E32" s="41"/>
    </row>
    <row r="33" spans="1:5" ht="13.5" customHeight="1">
      <c r="A33" s="21" t="s">
        <v>122</v>
      </c>
      <c r="B33" s="36">
        <v>0</v>
      </c>
      <c r="C33" s="107">
        <v>0</v>
      </c>
      <c r="D33" s="40"/>
      <c r="E33" s="41">
        <f t="shared" si="1"/>
        <v>0</v>
      </c>
    </row>
    <row r="34" spans="1:5" ht="25.5" customHeight="1">
      <c r="A34" s="44" t="s">
        <v>10</v>
      </c>
      <c r="B34" s="156">
        <f>SUM(B7,B9,B11,B13,B19,B20,B25,B26,B29,B30,B18)</f>
        <v>2694700</v>
      </c>
      <c r="C34" s="156">
        <f>SUM(C7,C9,C11,C13,C19,C20,C25,C26,C29,C30,C18)</f>
        <v>631197.67</v>
      </c>
      <c r="D34" s="46">
        <f t="shared" si="0"/>
        <v>23.42367128066204</v>
      </c>
      <c r="E34" s="47">
        <f t="shared" si="1"/>
        <v>-2063502.33</v>
      </c>
    </row>
    <row r="35" spans="1:5" ht="18.75" customHeight="1">
      <c r="A35" s="62" t="s">
        <v>132</v>
      </c>
      <c r="B35" s="145">
        <f>SUM(B36:B39,B43:B44,B49,B50,B51,B42)</f>
        <v>6377300</v>
      </c>
      <c r="C35" s="145">
        <f>SUM(C36:C39,C44:C44,C49,C50,C51,C42)</f>
        <v>1367027</v>
      </c>
      <c r="D35" s="46">
        <f t="shared" si="0"/>
        <v>21.43582707415364</v>
      </c>
      <c r="E35" s="47">
        <f t="shared" si="1"/>
        <v>-5010273</v>
      </c>
    </row>
    <row r="36" spans="1:5" ht="16.5" customHeight="1">
      <c r="A36" s="38" t="s">
        <v>34</v>
      </c>
      <c r="B36" s="143">
        <v>4271600</v>
      </c>
      <c r="C36" s="86">
        <v>1067920</v>
      </c>
      <c r="D36" s="40">
        <f t="shared" si="0"/>
        <v>25.00046820863377</v>
      </c>
      <c r="E36" s="41">
        <f t="shared" si="1"/>
        <v>-3203680</v>
      </c>
    </row>
    <row r="37" spans="1:5" ht="16.5" customHeight="1">
      <c r="A37" s="38" t="s">
        <v>217</v>
      </c>
      <c r="B37" s="143">
        <v>0</v>
      </c>
      <c r="C37" s="86">
        <v>0</v>
      </c>
      <c r="D37" s="40" t="str">
        <f>IF(B37=0,"   ",C37/B37*100)</f>
        <v>   </v>
      </c>
      <c r="E37" s="41">
        <f>C37-B37</f>
        <v>0</v>
      </c>
    </row>
    <row r="38" spans="1:5" ht="24.75" customHeight="1">
      <c r="A38" s="52" t="s">
        <v>51</v>
      </c>
      <c r="B38" s="85">
        <v>235800</v>
      </c>
      <c r="C38" s="86">
        <v>29600</v>
      </c>
      <c r="D38" s="54">
        <f t="shared" si="0"/>
        <v>12.55301102629347</v>
      </c>
      <c r="E38" s="55">
        <f t="shared" si="1"/>
        <v>-206200</v>
      </c>
    </row>
    <row r="39" spans="1:5" ht="24.75" customHeight="1">
      <c r="A39" s="52" t="s">
        <v>139</v>
      </c>
      <c r="B39" s="85">
        <f>SUM(B40:B41)</f>
        <v>300</v>
      </c>
      <c r="C39" s="85">
        <f>SUM(C40:C41)</f>
        <v>0</v>
      </c>
      <c r="D39" s="54">
        <f t="shared" si="0"/>
        <v>0</v>
      </c>
      <c r="E39" s="55">
        <f t="shared" si="1"/>
        <v>-300</v>
      </c>
    </row>
    <row r="40" spans="1:5" ht="12.75" customHeight="1">
      <c r="A40" s="52" t="s">
        <v>154</v>
      </c>
      <c r="B40" s="85">
        <v>300</v>
      </c>
      <c r="C40" s="85">
        <v>0</v>
      </c>
      <c r="D40" s="54">
        <f>IF(B40=0,"   ",C40/B40*100)</f>
        <v>0</v>
      </c>
      <c r="E40" s="55">
        <f>C40-B40</f>
        <v>-300</v>
      </c>
    </row>
    <row r="41" spans="1:5" ht="24.75" customHeight="1">
      <c r="A41" s="52" t="s">
        <v>155</v>
      </c>
      <c r="B41" s="85">
        <v>0</v>
      </c>
      <c r="C41" s="85">
        <v>0</v>
      </c>
      <c r="D41" s="54" t="str">
        <f>IF(B41=0,"   ",C41/B41*100)</f>
        <v>   </v>
      </c>
      <c r="E41" s="55">
        <f>C41-B41</f>
        <v>0</v>
      </c>
    </row>
    <row r="42" spans="1:5" ht="41.25" customHeight="1">
      <c r="A42" s="21" t="s">
        <v>225</v>
      </c>
      <c r="B42" s="85">
        <v>1324900</v>
      </c>
      <c r="C42" s="85">
        <v>0</v>
      </c>
      <c r="D42" s="54">
        <f>IF(B42=0,"   ",C42/B42*100)</f>
        <v>0</v>
      </c>
      <c r="E42" s="55">
        <f>C42-B42</f>
        <v>-1324900</v>
      </c>
    </row>
    <row r="43" spans="1:5" ht="30" customHeight="1">
      <c r="A43" s="21" t="s">
        <v>250</v>
      </c>
      <c r="B43" s="85">
        <v>0</v>
      </c>
      <c r="C43" s="85">
        <v>0</v>
      </c>
      <c r="D43" s="54" t="str">
        <f>IF(B43=0,"   ",C43/B43*100)</f>
        <v>   </v>
      </c>
      <c r="E43" s="55">
        <f>C43-B43</f>
        <v>0</v>
      </c>
    </row>
    <row r="44" spans="1:5" ht="18" customHeight="1">
      <c r="A44" s="21" t="s">
        <v>55</v>
      </c>
      <c r="B44" s="36">
        <f>SUM(B45:B48)</f>
        <v>544700</v>
      </c>
      <c r="C44" s="36">
        <f>SUM(C45:C48)</f>
        <v>269507</v>
      </c>
      <c r="D44" s="40">
        <f t="shared" si="0"/>
        <v>49.47806131815678</v>
      </c>
      <c r="E44" s="41">
        <f t="shared" si="1"/>
        <v>-275193</v>
      </c>
    </row>
    <row r="45" spans="1:5" ht="18" customHeight="1">
      <c r="A45" s="21" t="s">
        <v>178</v>
      </c>
      <c r="B45" s="36">
        <v>0</v>
      </c>
      <c r="C45" s="36">
        <v>0</v>
      </c>
      <c r="D45" s="40" t="str">
        <f t="shared" si="0"/>
        <v>   </v>
      </c>
      <c r="E45" s="41">
        <f t="shared" si="1"/>
        <v>0</v>
      </c>
    </row>
    <row r="46" spans="1:5" ht="16.5" customHeight="1">
      <c r="A46" s="21" t="s">
        <v>290</v>
      </c>
      <c r="B46" s="36">
        <v>0</v>
      </c>
      <c r="C46" s="36">
        <v>0</v>
      </c>
      <c r="D46" s="40" t="str">
        <f t="shared" si="0"/>
        <v>   </v>
      </c>
      <c r="E46" s="41">
        <f t="shared" si="1"/>
        <v>0</v>
      </c>
    </row>
    <row r="47" spans="1:5" ht="18" customHeight="1">
      <c r="A47" s="21" t="s">
        <v>267</v>
      </c>
      <c r="B47" s="36">
        <v>0</v>
      </c>
      <c r="C47" s="36">
        <v>0</v>
      </c>
      <c r="D47" s="40" t="str">
        <f t="shared" si="0"/>
        <v>   </v>
      </c>
      <c r="E47" s="41">
        <f t="shared" si="1"/>
        <v>0</v>
      </c>
    </row>
    <row r="48" spans="1:5" s="6" customFormat="1" ht="15.75" customHeight="1">
      <c r="A48" s="21" t="s">
        <v>104</v>
      </c>
      <c r="B48" s="36">
        <v>544700</v>
      </c>
      <c r="C48" s="36">
        <v>269507</v>
      </c>
      <c r="D48" s="36">
        <f t="shared" si="0"/>
        <v>49.47806131815678</v>
      </c>
      <c r="E48" s="41">
        <f t="shared" si="1"/>
        <v>-275193</v>
      </c>
    </row>
    <row r="49" spans="1:5" ht="27.75" customHeight="1">
      <c r="A49" s="21" t="s">
        <v>272</v>
      </c>
      <c r="B49" s="36">
        <v>0</v>
      </c>
      <c r="C49" s="36">
        <v>0</v>
      </c>
      <c r="D49" s="40" t="str">
        <f t="shared" si="0"/>
        <v>   </v>
      </c>
      <c r="E49" s="41">
        <f t="shared" si="1"/>
        <v>0</v>
      </c>
    </row>
    <row r="50" spans="1:5" ht="30" customHeight="1">
      <c r="A50" s="159" t="s">
        <v>322</v>
      </c>
      <c r="B50" s="36">
        <v>0</v>
      </c>
      <c r="C50" s="36">
        <v>0</v>
      </c>
      <c r="D50" s="40" t="str">
        <f t="shared" si="0"/>
        <v>   </v>
      </c>
      <c r="E50" s="41">
        <f t="shared" si="1"/>
        <v>0</v>
      </c>
    </row>
    <row r="51" spans="1:5" ht="15" customHeight="1">
      <c r="A51" s="21" t="s">
        <v>188</v>
      </c>
      <c r="B51" s="36">
        <v>0</v>
      </c>
      <c r="C51" s="36">
        <v>0</v>
      </c>
      <c r="D51" s="40" t="str">
        <f t="shared" si="0"/>
        <v>   </v>
      </c>
      <c r="E51" s="41">
        <f t="shared" si="1"/>
        <v>0</v>
      </c>
    </row>
    <row r="52" spans="1:5" ht="33" customHeight="1">
      <c r="A52" s="44" t="s">
        <v>11</v>
      </c>
      <c r="B52" s="116">
        <f>SUM(B34,B35,)</f>
        <v>9072000</v>
      </c>
      <c r="C52" s="116">
        <f>SUM(C34,C35,)</f>
        <v>1998224.67</v>
      </c>
      <c r="D52" s="46">
        <f t="shared" si="0"/>
        <v>22.026286044973546</v>
      </c>
      <c r="E52" s="47">
        <f t="shared" si="1"/>
        <v>-7073775.33</v>
      </c>
    </row>
    <row r="53" spans="1:5" ht="12.75" customHeight="1">
      <c r="A53" s="33" t="s">
        <v>12</v>
      </c>
      <c r="B53" s="154"/>
      <c r="C53" s="155"/>
      <c r="D53" s="40" t="str">
        <f t="shared" si="0"/>
        <v>   </v>
      </c>
      <c r="E53" s="41"/>
    </row>
    <row r="54" spans="1:5" ht="24" customHeight="1">
      <c r="A54" s="21" t="s">
        <v>35</v>
      </c>
      <c r="B54" s="36">
        <f>SUM(B55,B58,B59)</f>
        <v>1323700</v>
      </c>
      <c r="C54" s="36">
        <f>SUM(C55,C58,C59)</f>
        <v>288782.72</v>
      </c>
      <c r="D54" s="40">
        <f t="shared" si="0"/>
        <v>21.816326962302636</v>
      </c>
      <c r="E54" s="41">
        <f t="shared" si="1"/>
        <v>-1034917.28</v>
      </c>
    </row>
    <row r="55" spans="1:5" ht="12.75" customHeight="1">
      <c r="A55" s="21" t="s">
        <v>36</v>
      </c>
      <c r="B55" s="36">
        <v>1283200</v>
      </c>
      <c r="C55" s="36">
        <v>288782.72</v>
      </c>
      <c r="D55" s="40">
        <f t="shared" si="0"/>
        <v>22.50488778054863</v>
      </c>
      <c r="E55" s="41">
        <f t="shared" si="1"/>
        <v>-994417.28</v>
      </c>
    </row>
    <row r="56" spans="1:5" ht="13.5">
      <c r="A56" s="21" t="s">
        <v>116</v>
      </c>
      <c r="B56" s="36">
        <v>801536</v>
      </c>
      <c r="C56" s="99">
        <v>184427.33</v>
      </c>
      <c r="D56" s="40">
        <f t="shared" si="0"/>
        <v>23.009238512056847</v>
      </c>
      <c r="E56" s="41">
        <f t="shared" si="1"/>
        <v>-617108.67</v>
      </c>
    </row>
    <row r="57" spans="1:5" ht="13.5">
      <c r="A57" s="21" t="s">
        <v>324</v>
      </c>
      <c r="B57" s="36">
        <v>0</v>
      </c>
      <c r="C57" s="99">
        <v>0</v>
      </c>
      <c r="D57" s="40" t="str">
        <f>IF(B57=0,"   ",C57/B57*100)</f>
        <v>   </v>
      </c>
      <c r="E57" s="41">
        <f>C57-B57</f>
        <v>0</v>
      </c>
    </row>
    <row r="58" spans="1:5" ht="13.5">
      <c r="A58" s="21" t="s">
        <v>91</v>
      </c>
      <c r="B58" s="36">
        <v>500</v>
      </c>
      <c r="C58" s="107">
        <v>0</v>
      </c>
      <c r="D58" s="40">
        <f t="shared" si="0"/>
        <v>0</v>
      </c>
      <c r="E58" s="41">
        <f t="shared" si="1"/>
        <v>-500</v>
      </c>
    </row>
    <row r="59" spans="1:5" ht="13.5">
      <c r="A59" s="21" t="s">
        <v>52</v>
      </c>
      <c r="B59" s="107">
        <f>SUM(B60)</f>
        <v>40000</v>
      </c>
      <c r="C59" s="107">
        <f>SUM(C60:C60)</f>
        <v>0</v>
      </c>
      <c r="D59" s="40">
        <f t="shared" si="0"/>
        <v>0</v>
      </c>
      <c r="E59" s="41">
        <f t="shared" si="1"/>
        <v>-40000</v>
      </c>
    </row>
    <row r="60" spans="1:5" ht="25.5" customHeight="1">
      <c r="A60" s="17" t="s">
        <v>231</v>
      </c>
      <c r="B60" s="36">
        <v>40000</v>
      </c>
      <c r="C60" s="107">
        <v>0</v>
      </c>
      <c r="D60" s="40">
        <f t="shared" si="0"/>
        <v>0</v>
      </c>
      <c r="E60" s="41">
        <f t="shared" si="1"/>
        <v>-40000</v>
      </c>
    </row>
    <row r="61" spans="1:5" ht="15" customHeight="1">
      <c r="A61" s="21" t="s">
        <v>49</v>
      </c>
      <c r="B61" s="107">
        <f>SUM(B62)</f>
        <v>235800</v>
      </c>
      <c r="C61" s="107">
        <f>SUM(C62)</f>
        <v>29450.04</v>
      </c>
      <c r="D61" s="40">
        <f t="shared" si="0"/>
        <v>12.48941475826972</v>
      </c>
      <c r="E61" s="41">
        <f t="shared" si="1"/>
        <v>-206349.96</v>
      </c>
    </row>
    <row r="62" spans="1:5" ht="12" customHeight="1">
      <c r="A62" s="21" t="s">
        <v>102</v>
      </c>
      <c r="B62" s="36">
        <v>235800</v>
      </c>
      <c r="C62" s="107">
        <v>29450.04</v>
      </c>
      <c r="D62" s="40">
        <f t="shared" si="0"/>
        <v>12.48941475826972</v>
      </c>
      <c r="E62" s="41">
        <f t="shared" si="1"/>
        <v>-206349.96</v>
      </c>
    </row>
    <row r="63" spans="1:5" ht="16.5" customHeight="1">
      <c r="A63" s="21" t="s">
        <v>37</v>
      </c>
      <c r="B63" s="36">
        <f>SUM(B64)</f>
        <v>5000</v>
      </c>
      <c r="C63" s="107">
        <f>SUM(C64)</f>
        <v>0</v>
      </c>
      <c r="D63" s="40">
        <f t="shared" si="0"/>
        <v>0</v>
      </c>
      <c r="E63" s="41">
        <f t="shared" si="1"/>
        <v>-5000</v>
      </c>
    </row>
    <row r="64" spans="1:5" ht="18" customHeight="1">
      <c r="A64" s="60" t="s">
        <v>315</v>
      </c>
      <c r="B64" s="36">
        <v>5000</v>
      </c>
      <c r="C64" s="107">
        <v>0</v>
      </c>
      <c r="D64" s="40">
        <f t="shared" si="0"/>
        <v>0</v>
      </c>
      <c r="E64" s="41">
        <f t="shared" si="1"/>
        <v>-5000</v>
      </c>
    </row>
    <row r="65" spans="1:5" ht="21.75" customHeight="1">
      <c r="A65" s="21" t="s">
        <v>38</v>
      </c>
      <c r="B65" s="107">
        <f>B71+B66+B79</f>
        <v>2929000</v>
      </c>
      <c r="C65" s="107">
        <f>C71+C66+C79</f>
        <v>339025</v>
      </c>
      <c r="D65" s="40">
        <f t="shared" si="0"/>
        <v>11.574769545920109</v>
      </c>
      <c r="E65" s="41">
        <f t="shared" si="1"/>
        <v>-2589975</v>
      </c>
    </row>
    <row r="66" spans="1:5" ht="21.75" customHeight="1">
      <c r="A66" s="60" t="s">
        <v>156</v>
      </c>
      <c r="B66" s="36">
        <f>SUM(B67:B70)</f>
        <v>0</v>
      </c>
      <c r="C66" s="36">
        <f>SUM(C67:C70)</f>
        <v>0</v>
      </c>
      <c r="D66" s="40" t="str">
        <f>IF(B66=0,"   ",C66/B66*100)</f>
        <v>   </v>
      </c>
      <c r="E66" s="41">
        <f>C66-B66</f>
        <v>0</v>
      </c>
    </row>
    <row r="67" spans="1:5" ht="11.25" customHeight="1">
      <c r="A67" s="60" t="s">
        <v>157</v>
      </c>
      <c r="B67" s="36">
        <v>0</v>
      </c>
      <c r="C67" s="114">
        <v>0</v>
      </c>
      <c r="D67" s="40" t="str">
        <f>IF(B67=0,"   ",C67/B67*100)</f>
        <v>   </v>
      </c>
      <c r="E67" s="41">
        <f>C67-B67</f>
        <v>0</v>
      </c>
    </row>
    <row r="68" spans="1:5" ht="12" customHeight="1">
      <c r="A68" s="60" t="s">
        <v>160</v>
      </c>
      <c r="B68" s="96">
        <v>0</v>
      </c>
      <c r="C68" s="114">
        <v>0</v>
      </c>
      <c r="D68" s="40" t="str">
        <f>IF(B68=0,"   ",C68/B68*100)</f>
        <v>   </v>
      </c>
      <c r="E68" s="41">
        <f>C68-B68</f>
        <v>0</v>
      </c>
    </row>
    <row r="69" spans="1:5" ht="15.75" customHeight="1">
      <c r="A69" s="60" t="s">
        <v>291</v>
      </c>
      <c r="B69" s="96">
        <v>0</v>
      </c>
      <c r="C69" s="114">
        <v>0</v>
      </c>
      <c r="D69" s="40" t="str">
        <f>IF(B69=0,"   ",C69/B69*100)</f>
        <v>   </v>
      </c>
      <c r="E69" s="41">
        <f>C69-B69</f>
        <v>0</v>
      </c>
    </row>
    <row r="70" spans="1:5" ht="12" customHeight="1">
      <c r="A70" s="60" t="s">
        <v>292</v>
      </c>
      <c r="B70" s="96">
        <v>0</v>
      </c>
      <c r="C70" s="114">
        <v>0</v>
      </c>
      <c r="D70" s="40" t="str">
        <f>IF(B70=0,"   ",C70/B70*100)</f>
        <v>   </v>
      </c>
      <c r="E70" s="41">
        <f>C70-B70</f>
        <v>0</v>
      </c>
    </row>
    <row r="71" spans="1:5" ht="15.75" customHeight="1">
      <c r="A71" s="68" t="s">
        <v>124</v>
      </c>
      <c r="B71" s="96">
        <f>SUM(B72:B78)</f>
        <v>2869000</v>
      </c>
      <c r="C71" s="96">
        <f>SUM(C72:C78)</f>
        <v>339025</v>
      </c>
      <c r="D71" s="40">
        <f t="shared" si="0"/>
        <v>11.816835134193099</v>
      </c>
      <c r="E71" s="41">
        <f t="shared" si="1"/>
        <v>-2529975</v>
      </c>
    </row>
    <row r="72" spans="1:5" ht="18" customHeight="1">
      <c r="A72" s="60" t="s">
        <v>140</v>
      </c>
      <c r="B72" s="36">
        <v>0</v>
      </c>
      <c r="C72" s="107">
        <v>0</v>
      </c>
      <c r="D72" s="40" t="str">
        <f t="shared" si="0"/>
        <v>   </v>
      </c>
      <c r="E72" s="41">
        <f t="shared" si="1"/>
        <v>0</v>
      </c>
    </row>
    <row r="73" spans="1:5" ht="30.75" customHeight="1">
      <c r="A73" s="17" t="s">
        <v>236</v>
      </c>
      <c r="B73" s="36">
        <v>691500</v>
      </c>
      <c r="C73" s="107">
        <v>39573</v>
      </c>
      <c r="D73" s="40">
        <f t="shared" si="0"/>
        <v>5.722776572668113</v>
      </c>
      <c r="E73" s="41">
        <f t="shared" si="1"/>
        <v>-651927</v>
      </c>
    </row>
    <row r="74" spans="1:5" ht="29.25" customHeight="1">
      <c r="A74" s="17" t="s">
        <v>237</v>
      </c>
      <c r="B74" s="36">
        <v>100000</v>
      </c>
      <c r="C74" s="107">
        <v>0</v>
      </c>
      <c r="D74" s="40">
        <f t="shared" si="0"/>
        <v>0</v>
      </c>
      <c r="E74" s="41">
        <f t="shared" si="1"/>
        <v>-100000</v>
      </c>
    </row>
    <row r="75" spans="1:5" ht="27" customHeight="1">
      <c r="A75" s="17" t="s">
        <v>238</v>
      </c>
      <c r="B75" s="36">
        <v>1324900</v>
      </c>
      <c r="C75" s="107">
        <v>0</v>
      </c>
      <c r="D75" s="40">
        <f t="shared" si="0"/>
        <v>0</v>
      </c>
      <c r="E75" s="41">
        <f t="shared" si="1"/>
        <v>-1324900</v>
      </c>
    </row>
    <row r="76" spans="1:5" ht="27" customHeight="1">
      <c r="A76" s="17" t="s">
        <v>239</v>
      </c>
      <c r="B76" s="108">
        <v>147300</v>
      </c>
      <c r="C76" s="107">
        <v>0</v>
      </c>
      <c r="D76" s="40">
        <f t="shared" si="0"/>
        <v>0</v>
      </c>
      <c r="E76" s="41">
        <f t="shared" si="1"/>
        <v>-147300</v>
      </c>
    </row>
    <row r="77" spans="1:5" ht="27" customHeight="1">
      <c r="A77" s="17" t="s">
        <v>240</v>
      </c>
      <c r="B77" s="108">
        <v>544700</v>
      </c>
      <c r="C77" s="107">
        <v>269507</v>
      </c>
      <c r="D77" s="40">
        <f t="shared" si="0"/>
        <v>49.47806131815678</v>
      </c>
      <c r="E77" s="41">
        <f t="shared" si="1"/>
        <v>-275193</v>
      </c>
    </row>
    <row r="78" spans="1:5" ht="27" customHeight="1">
      <c r="A78" s="62" t="s">
        <v>241</v>
      </c>
      <c r="B78" s="108">
        <v>60600</v>
      </c>
      <c r="C78" s="107">
        <v>29945</v>
      </c>
      <c r="D78" s="40">
        <f t="shared" si="0"/>
        <v>49.414191419141915</v>
      </c>
      <c r="E78" s="41">
        <f t="shared" si="1"/>
        <v>-30655</v>
      </c>
    </row>
    <row r="79" spans="1:5" ht="17.25" customHeight="1">
      <c r="A79" s="62" t="s">
        <v>167</v>
      </c>
      <c r="B79" s="108">
        <f>SUM(B80:B81)</f>
        <v>60000</v>
      </c>
      <c r="C79" s="108">
        <f>SUM(C80:C81)</f>
        <v>0</v>
      </c>
      <c r="D79" s="40">
        <f>IF(B79=0,"   ",C79/B79*100)</f>
        <v>0</v>
      </c>
      <c r="E79" s="41">
        <f>C79-B79</f>
        <v>-60000</v>
      </c>
    </row>
    <row r="80" spans="1:5" ht="33" customHeight="1">
      <c r="A80" s="62" t="s">
        <v>146</v>
      </c>
      <c r="B80" s="108">
        <v>30000</v>
      </c>
      <c r="C80" s="107">
        <v>0</v>
      </c>
      <c r="D80" s="40">
        <f>IF(B80=0,"   ",C80/B80*100)</f>
        <v>0</v>
      </c>
      <c r="E80" s="41">
        <f>C80-B80</f>
        <v>-30000</v>
      </c>
    </row>
    <row r="81" spans="1:5" ht="27" customHeight="1">
      <c r="A81" s="62" t="s">
        <v>168</v>
      </c>
      <c r="B81" s="108">
        <v>30000</v>
      </c>
      <c r="C81" s="107">
        <v>0</v>
      </c>
      <c r="D81" s="40">
        <f>IF(B81=0,"   ",C81/B81*100)</f>
        <v>0</v>
      </c>
      <c r="E81" s="41">
        <f>C81-B81</f>
        <v>-30000</v>
      </c>
    </row>
    <row r="82" spans="1:5" ht="20.25" customHeight="1">
      <c r="A82" s="21" t="s">
        <v>13</v>
      </c>
      <c r="B82" s="36">
        <f>SUM(B83,B85,B97,B106)</f>
        <v>1900000</v>
      </c>
      <c r="C82" s="36">
        <f>SUM(C83,C85,C97,C106)</f>
        <v>614311.45</v>
      </c>
      <c r="D82" s="40">
        <f t="shared" si="0"/>
        <v>32.33218157894736</v>
      </c>
      <c r="E82" s="41">
        <f t="shared" si="1"/>
        <v>-1285688.55</v>
      </c>
    </row>
    <row r="83" spans="1:5" ht="13.5">
      <c r="A83" s="21" t="s">
        <v>14</v>
      </c>
      <c r="B83" s="36">
        <f>SUM(B84:B84)</f>
        <v>120000</v>
      </c>
      <c r="C83" s="36">
        <f>SUM(C84:C84)</f>
        <v>0</v>
      </c>
      <c r="D83" s="40">
        <f t="shared" si="0"/>
        <v>0</v>
      </c>
      <c r="E83" s="41">
        <f t="shared" si="1"/>
        <v>-120000</v>
      </c>
    </row>
    <row r="84" spans="1:5" ht="15.75" customHeight="1">
      <c r="A84" s="21" t="s">
        <v>93</v>
      </c>
      <c r="B84" s="36">
        <v>120000</v>
      </c>
      <c r="C84" s="107">
        <v>0</v>
      </c>
      <c r="D84" s="40">
        <f t="shared" si="0"/>
        <v>0</v>
      </c>
      <c r="E84" s="41">
        <f t="shared" si="1"/>
        <v>-120000</v>
      </c>
    </row>
    <row r="85" spans="1:5" ht="13.5">
      <c r="A85" s="21" t="s">
        <v>87</v>
      </c>
      <c r="B85" s="36">
        <f>SUM(B86:B93)</f>
        <v>520000</v>
      </c>
      <c r="C85" s="36">
        <f>SUM(C86:C93)</f>
        <v>392710</v>
      </c>
      <c r="D85" s="40">
        <f t="shared" si="0"/>
        <v>75.52115384615384</v>
      </c>
      <c r="E85" s="41">
        <f t="shared" si="1"/>
        <v>-127290</v>
      </c>
    </row>
    <row r="86" spans="1:5" ht="13.5">
      <c r="A86" s="21" t="s">
        <v>270</v>
      </c>
      <c r="B86" s="36">
        <v>0</v>
      </c>
      <c r="C86" s="36">
        <v>0</v>
      </c>
      <c r="D86" s="40" t="str">
        <f aca="true" t="shared" si="2" ref="D86:D95">IF(B86=0,"   ",C86/B86*100)</f>
        <v>   </v>
      </c>
      <c r="E86" s="41">
        <f aca="true" t="shared" si="3" ref="E86:E95">C86-B86</f>
        <v>0</v>
      </c>
    </row>
    <row r="87" spans="1:5" ht="13.5">
      <c r="A87" s="21" t="s">
        <v>279</v>
      </c>
      <c r="B87" s="36">
        <v>0</v>
      </c>
      <c r="C87" s="36">
        <v>0</v>
      </c>
      <c r="D87" s="40" t="str">
        <f t="shared" si="2"/>
        <v>   </v>
      </c>
      <c r="E87" s="41">
        <f t="shared" si="3"/>
        <v>0</v>
      </c>
    </row>
    <row r="88" spans="1:5" ht="27">
      <c r="A88" s="21" t="s">
        <v>185</v>
      </c>
      <c r="B88" s="36">
        <v>20000</v>
      </c>
      <c r="C88" s="36">
        <v>0</v>
      </c>
      <c r="D88" s="40">
        <f t="shared" si="2"/>
        <v>0</v>
      </c>
      <c r="E88" s="41">
        <f t="shared" si="3"/>
        <v>-20000</v>
      </c>
    </row>
    <row r="89" spans="1:5" ht="13.5">
      <c r="A89" s="38" t="s">
        <v>150</v>
      </c>
      <c r="B89" s="36">
        <v>0</v>
      </c>
      <c r="C89" s="36">
        <v>0</v>
      </c>
      <c r="D89" s="40" t="str">
        <f t="shared" si="2"/>
        <v>   </v>
      </c>
      <c r="E89" s="41">
        <f t="shared" si="3"/>
        <v>0</v>
      </c>
    </row>
    <row r="90" spans="1:5" ht="13.5">
      <c r="A90" s="38" t="s">
        <v>318</v>
      </c>
      <c r="B90" s="36">
        <v>0</v>
      </c>
      <c r="C90" s="36">
        <v>0</v>
      </c>
      <c r="D90" s="40" t="str">
        <f t="shared" si="2"/>
        <v>   </v>
      </c>
      <c r="E90" s="41">
        <f t="shared" si="3"/>
        <v>0</v>
      </c>
    </row>
    <row r="91" spans="1:5" ht="13.5">
      <c r="A91" s="21" t="s">
        <v>316</v>
      </c>
      <c r="B91" s="36">
        <v>500000</v>
      </c>
      <c r="C91" s="36">
        <v>392710</v>
      </c>
      <c r="D91" s="40">
        <f t="shared" si="2"/>
        <v>78.542</v>
      </c>
      <c r="E91" s="41">
        <f t="shared" si="3"/>
        <v>-107290</v>
      </c>
    </row>
    <row r="92" spans="1:5" ht="14.25" customHeight="1">
      <c r="A92" s="38" t="s">
        <v>319</v>
      </c>
      <c r="B92" s="36">
        <v>0</v>
      </c>
      <c r="C92" s="36">
        <v>0</v>
      </c>
      <c r="D92" s="40" t="str">
        <f t="shared" si="2"/>
        <v>   </v>
      </c>
      <c r="E92" s="41">
        <f t="shared" si="3"/>
        <v>0</v>
      </c>
    </row>
    <row r="93" spans="1:5" ht="16.5" customHeight="1">
      <c r="A93" s="17" t="s">
        <v>195</v>
      </c>
      <c r="B93" s="36">
        <f>SUM(B94:B96)</f>
        <v>0</v>
      </c>
      <c r="C93" s="36">
        <f>SUM(C94:C96)</f>
        <v>0</v>
      </c>
      <c r="D93" s="40" t="str">
        <f t="shared" si="2"/>
        <v>   </v>
      </c>
      <c r="E93" s="41">
        <f t="shared" si="3"/>
        <v>0</v>
      </c>
    </row>
    <row r="94" spans="1:5" ht="27">
      <c r="A94" s="17" t="s">
        <v>202</v>
      </c>
      <c r="B94" s="36">
        <v>0</v>
      </c>
      <c r="C94" s="36">
        <v>0</v>
      </c>
      <c r="D94" s="40" t="str">
        <f t="shared" si="2"/>
        <v>   </v>
      </c>
      <c r="E94" s="41">
        <f t="shared" si="3"/>
        <v>0</v>
      </c>
    </row>
    <row r="95" spans="1:5" ht="27">
      <c r="A95" s="17" t="s">
        <v>203</v>
      </c>
      <c r="B95" s="36">
        <v>0</v>
      </c>
      <c r="C95" s="36">
        <v>0</v>
      </c>
      <c r="D95" s="40" t="str">
        <f t="shared" si="2"/>
        <v>   </v>
      </c>
      <c r="E95" s="41">
        <f t="shared" si="3"/>
        <v>0</v>
      </c>
    </row>
    <row r="96" spans="1:5" ht="27">
      <c r="A96" s="17" t="s">
        <v>204</v>
      </c>
      <c r="B96" s="36">
        <v>0</v>
      </c>
      <c r="C96" s="107">
        <v>0</v>
      </c>
      <c r="D96" s="40" t="str">
        <f t="shared" si="0"/>
        <v>   </v>
      </c>
      <c r="E96" s="41">
        <f t="shared" si="1"/>
        <v>0</v>
      </c>
    </row>
    <row r="97" spans="1:5" ht="13.5">
      <c r="A97" s="21" t="s">
        <v>69</v>
      </c>
      <c r="B97" s="36">
        <f>B98+B99+B100+B102+B101</f>
        <v>1259700</v>
      </c>
      <c r="C97" s="36">
        <f>C98+C99+C100+C102+C101</f>
        <v>221601.45</v>
      </c>
      <c r="D97" s="40">
        <f t="shared" si="0"/>
        <v>17.591605144081925</v>
      </c>
      <c r="E97" s="41">
        <f t="shared" si="1"/>
        <v>-1038098.55</v>
      </c>
    </row>
    <row r="98" spans="1:5" ht="13.5">
      <c r="A98" s="21" t="s">
        <v>56</v>
      </c>
      <c r="B98" s="36">
        <v>1120000</v>
      </c>
      <c r="C98" s="107">
        <v>221601.45</v>
      </c>
      <c r="D98" s="40">
        <f t="shared" si="0"/>
        <v>19.78584375</v>
      </c>
      <c r="E98" s="41">
        <f t="shared" si="1"/>
        <v>-898398.55</v>
      </c>
    </row>
    <row r="99" spans="1:5" ht="13.5">
      <c r="A99" s="21" t="s">
        <v>57</v>
      </c>
      <c r="B99" s="36">
        <v>139700</v>
      </c>
      <c r="C99" s="107">
        <v>0</v>
      </c>
      <c r="D99" s="40">
        <f t="shared" si="0"/>
        <v>0</v>
      </c>
      <c r="E99" s="41">
        <f t="shared" si="1"/>
        <v>-139700</v>
      </c>
    </row>
    <row r="100" spans="1:5" ht="27">
      <c r="A100" s="21" t="s">
        <v>320</v>
      </c>
      <c r="B100" s="36">
        <v>0</v>
      </c>
      <c r="C100" s="107">
        <v>0</v>
      </c>
      <c r="D100" s="40" t="str">
        <f t="shared" si="0"/>
        <v>   </v>
      </c>
      <c r="E100" s="41">
        <f t="shared" si="1"/>
        <v>0</v>
      </c>
    </row>
    <row r="101" spans="1:5" ht="27">
      <c r="A101" s="17" t="s">
        <v>271</v>
      </c>
      <c r="B101" s="36">
        <v>0</v>
      </c>
      <c r="C101" s="107">
        <v>0</v>
      </c>
      <c r="D101" s="40" t="str">
        <f t="shared" si="0"/>
        <v>   </v>
      </c>
      <c r="E101" s="41">
        <f t="shared" si="1"/>
        <v>0</v>
      </c>
    </row>
    <row r="102" spans="1:5" ht="15.75" customHeight="1">
      <c r="A102" s="17" t="s">
        <v>195</v>
      </c>
      <c r="B102" s="36">
        <f>SUM(B103:B105)</f>
        <v>0</v>
      </c>
      <c r="C102" s="36">
        <f>SUM(C103:C105)</f>
        <v>0</v>
      </c>
      <c r="D102" s="40" t="str">
        <f aca="true" t="shared" si="4" ref="D102:D107">IF(B102=0,"   ",C102/B102*100)</f>
        <v>   </v>
      </c>
      <c r="E102" s="41">
        <f aca="true" t="shared" si="5" ref="E102:E107">C102-B102</f>
        <v>0</v>
      </c>
    </row>
    <row r="103" spans="1:5" ht="27">
      <c r="A103" s="17" t="s">
        <v>202</v>
      </c>
      <c r="B103" s="36">
        <v>0</v>
      </c>
      <c r="C103" s="107">
        <v>0</v>
      </c>
      <c r="D103" s="40" t="str">
        <f t="shared" si="4"/>
        <v>   </v>
      </c>
      <c r="E103" s="41">
        <f t="shared" si="5"/>
        <v>0</v>
      </c>
    </row>
    <row r="104" spans="1:5" ht="27">
      <c r="A104" s="17" t="s">
        <v>203</v>
      </c>
      <c r="B104" s="36">
        <v>0</v>
      </c>
      <c r="C104" s="107">
        <v>0</v>
      </c>
      <c r="D104" s="40" t="str">
        <f t="shared" si="4"/>
        <v>   </v>
      </c>
      <c r="E104" s="41">
        <f t="shared" si="5"/>
        <v>0</v>
      </c>
    </row>
    <row r="105" spans="1:5" ht="27.75" thickBot="1">
      <c r="A105" s="17" t="s">
        <v>204</v>
      </c>
      <c r="B105" s="36">
        <v>0</v>
      </c>
      <c r="C105" s="107">
        <v>0</v>
      </c>
      <c r="D105" s="40" t="str">
        <f t="shared" si="4"/>
        <v>   </v>
      </c>
      <c r="E105" s="41">
        <f t="shared" si="5"/>
        <v>0</v>
      </c>
    </row>
    <row r="106" spans="1:5" ht="14.25" thickBot="1">
      <c r="A106" s="62" t="s">
        <v>302</v>
      </c>
      <c r="B106" s="111">
        <f>SUM(B107)</f>
        <v>300</v>
      </c>
      <c r="C106" s="111">
        <f>SUM(C107)</f>
        <v>0</v>
      </c>
      <c r="D106" s="40">
        <f t="shared" si="4"/>
        <v>0</v>
      </c>
      <c r="E106" s="41">
        <f t="shared" si="5"/>
        <v>-300</v>
      </c>
    </row>
    <row r="107" spans="1:5" ht="13.5">
      <c r="A107" s="62" t="s">
        <v>259</v>
      </c>
      <c r="B107" s="36">
        <v>300</v>
      </c>
      <c r="C107" s="99">
        <v>0</v>
      </c>
      <c r="D107" s="40">
        <f t="shared" si="4"/>
        <v>0</v>
      </c>
      <c r="E107" s="41">
        <f t="shared" si="5"/>
        <v>-300</v>
      </c>
    </row>
    <row r="108" spans="1:5" ht="20.25" customHeight="1">
      <c r="A108" s="21" t="s">
        <v>17</v>
      </c>
      <c r="B108" s="36">
        <v>0</v>
      </c>
      <c r="C108" s="36">
        <v>0</v>
      </c>
      <c r="D108" s="40" t="str">
        <f t="shared" si="0"/>
        <v>   </v>
      </c>
      <c r="E108" s="41">
        <f t="shared" si="1"/>
        <v>0</v>
      </c>
    </row>
    <row r="109" spans="1:5" ht="18" customHeight="1">
      <c r="A109" s="21" t="s">
        <v>41</v>
      </c>
      <c r="B109" s="143">
        <f>SUM(B110,)</f>
        <v>2658500</v>
      </c>
      <c r="C109" s="143">
        <f>SUM(C110,)</f>
        <v>702600</v>
      </c>
      <c r="D109" s="40">
        <f t="shared" si="0"/>
        <v>26.428437088583788</v>
      </c>
      <c r="E109" s="41">
        <f t="shared" si="1"/>
        <v>-1955900</v>
      </c>
    </row>
    <row r="110" spans="1:5" ht="14.25" customHeight="1">
      <c r="A110" s="21" t="s">
        <v>42</v>
      </c>
      <c r="B110" s="36">
        <v>2658500</v>
      </c>
      <c r="C110" s="107">
        <v>702600</v>
      </c>
      <c r="D110" s="40">
        <f t="shared" si="0"/>
        <v>26.428437088583788</v>
      </c>
      <c r="E110" s="41">
        <f t="shared" si="1"/>
        <v>-1955900</v>
      </c>
    </row>
    <row r="111" spans="1:5" ht="18.75" customHeight="1">
      <c r="A111" s="21" t="s">
        <v>119</v>
      </c>
      <c r="B111" s="36">
        <f>SUM(B112,)</f>
        <v>20000</v>
      </c>
      <c r="C111" s="36">
        <f>C112</f>
        <v>0</v>
      </c>
      <c r="D111" s="40">
        <f t="shared" si="0"/>
        <v>0</v>
      </c>
      <c r="E111" s="41">
        <f t="shared" si="1"/>
        <v>-20000</v>
      </c>
    </row>
    <row r="112" spans="1:5" ht="12.75" customHeight="1">
      <c r="A112" s="21" t="s">
        <v>43</v>
      </c>
      <c r="B112" s="36">
        <v>20000</v>
      </c>
      <c r="C112" s="99">
        <v>0</v>
      </c>
      <c r="D112" s="40">
        <f t="shared" si="0"/>
        <v>0</v>
      </c>
      <c r="E112" s="41">
        <f t="shared" si="1"/>
        <v>-20000</v>
      </c>
    </row>
    <row r="113" spans="1:5" ht="30.75" customHeight="1">
      <c r="A113" s="44" t="s">
        <v>15</v>
      </c>
      <c r="B113" s="116">
        <f>SUM(B54,B61,B63,B65,B82,B108,B109,B111,)</f>
        <v>9072000</v>
      </c>
      <c r="C113" s="116">
        <f>SUM(C54,C61,C63,C65,C82,C108,C109,C111,)</f>
        <v>1974169.21</v>
      </c>
      <c r="D113" s="46">
        <f>IF(B113=0,"   ",C113/B113*100)</f>
        <v>21.761124448853614</v>
      </c>
      <c r="E113" s="47">
        <f t="shared" si="1"/>
        <v>-7097830.79</v>
      </c>
    </row>
    <row r="114" spans="1:5" s="13" customFormat="1" ht="30.75" customHeight="1">
      <c r="A114" s="71" t="s">
        <v>288</v>
      </c>
      <c r="B114" s="71"/>
      <c r="C114" s="167"/>
      <c r="D114" s="167"/>
      <c r="E114" s="167"/>
    </row>
    <row r="115" spans="1:5" s="13" customFormat="1" ht="12" customHeight="1">
      <c r="A115" s="71" t="s">
        <v>145</v>
      </c>
      <c r="B115" s="71"/>
      <c r="C115" s="72" t="s">
        <v>289</v>
      </c>
      <c r="D115" s="73"/>
      <c r="E115" s="74"/>
    </row>
    <row r="116" spans="1:5" ht="15" customHeight="1">
      <c r="A116" s="71"/>
      <c r="B116" s="71"/>
      <c r="C116" s="117"/>
      <c r="D116" s="71"/>
      <c r="E116" s="118"/>
    </row>
    <row r="117" spans="1:5" ht="12" customHeight="1">
      <c r="A117" s="71"/>
      <c r="B117" s="71"/>
      <c r="C117" s="72"/>
      <c r="D117" s="73"/>
      <c r="E117" s="74"/>
    </row>
    <row r="118" spans="1:5" ht="12.75">
      <c r="A118" s="6"/>
      <c r="B118" s="6"/>
      <c r="C118" s="5"/>
      <c r="D118" s="6"/>
      <c r="E118" s="2"/>
    </row>
    <row r="119" spans="1:5" ht="12.75">
      <c r="A119" s="6"/>
      <c r="B119" s="6"/>
      <c r="C119" s="5"/>
      <c r="D119" s="6"/>
      <c r="E119" s="2"/>
    </row>
    <row r="120" spans="1:5" ht="12.75">
      <c r="A120" s="6"/>
      <c r="B120" s="6"/>
      <c r="C120" s="5"/>
      <c r="D120" s="6"/>
      <c r="E120" s="2"/>
    </row>
    <row r="121" spans="1:5" ht="12.75">
      <c r="A121" s="6"/>
      <c r="B121" s="6"/>
      <c r="C121" s="5"/>
      <c r="D121" s="6"/>
      <c r="E121" s="2"/>
    </row>
  </sheetData>
  <sheetProtection/>
  <mergeCells count="2">
    <mergeCell ref="A1:E1"/>
    <mergeCell ref="C114:E114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2021-12-23T07:04:28Z</cp:lastPrinted>
  <dcterms:created xsi:type="dcterms:W3CDTF">2001-03-21T05:21:19Z</dcterms:created>
  <dcterms:modified xsi:type="dcterms:W3CDTF">2022-04-04T09:42:39Z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